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0376" windowHeight="11988" tabRatio="929"/>
  </bookViews>
  <sheets>
    <sheet name="Pielik_1_Izdevumi_KOPĀ" sheetId="21" r:id="rId1"/>
    <sheet name="Pielik_2._Grozs_gadā_PA" sheetId="1" r:id="rId2"/>
    <sheet name="Pielik_2.1._transporta_noma" sheetId="3" r:id="rId3"/>
    <sheet name="Pielik_2.2._km_degviela" sheetId="7" r:id="rId4"/>
    <sheet name="Pielik_2.3._Datortehn_ nodroš" sheetId="10" r:id="rId5"/>
    <sheet name="Pielik_2.4._supervizijas" sheetId="6" r:id="rId6"/>
    <sheet name="Pielik_3._pārraudzība" sheetId="19" r:id="rId7"/>
    <sheet name="Sheet1" sheetId="13" r:id="rId8"/>
  </sheets>
  <calcPr calcId="152511"/>
</workbook>
</file>

<file path=xl/calcChain.xml><?xml version="1.0" encoding="utf-8"?>
<calcChain xmlns="http://schemas.openxmlformats.org/spreadsheetml/2006/main">
  <c r="I9" i="19" l="1"/>
  <c r="J9" i="19" s="1"/>
  <c r="I8" i="19"/>
  <c r="J8" i="19" s="1"/>
  <c r="I7" i="19"/>
  <c r="J7" i="19" s="1"/>
  <c r="G6" i="19"/>
  <c r="K8" i="19" l="1"/>
  <c r="L8" i="19" s="1"/>
  <c r="K7" i="19"/>
  <c r="J6" i="19"/>
  <c r="K9" i="19"/>
  <c r="L9" i="19" s="1"/>
  <c r="K6" i="19" l="1"/>
  <c r="L7" i="19"/>
  <c r="L6" i="19" s="1"/>
  <c r="G6" i="21" l="1"/>
  <c r="F6" i="21"/>
  <c r="E6" i="21"/>
  <c r="C11" i="1"/>
  <c r="D10" i="1"/>
  <c r="D9" i="1"/>
  <c r="D13" i="1"/>
  <c r="D11" i="1" l="1"/>
  <c r="C12" i="1"/>
  <c r="D12" i="1" s="1"/>
  <c r="L26" i="1"/>
  <c r="J28" i="1"/>
  <c r="J27" i="1"/>
  <c r="J24" i="1"/>
  <c r="L24" i="1" s="1"/>
  <c r="J22" i="1"/>
  <c r="K10" i="1"/>
  <c r="K9" i="1"/>
  <c r="J10" i="1"/>
  <c r="J13" i="1"/>
  <c r="J9" i="1"/>
  <c r="G8" i="1"/>
  <c r="F8" i="1"/>
  <c r="K8" i="1" l="1"/>
  <c r="J8" i="1"/>
  <c r="B4" i="7"/>
  <c r="B5" i="7" s="1"/>
  <c r="D5" i="7" s="1"/>
  <c r="D4" i="7"/>
  <c r="C23" i="7" l="1"/>
  <c r="C20" i="6" l="1"/>
  <c r="G20" i="6" s="1"/>
  <c r="I20" i="6" s="1"/>
  <c r="F22" i="6"/>
  <c r="H22" i="6" s="1"/>
  <c r="C22" i="6"/>
  <c r="G22" i="6" s="1"/>
  <c r="I22" i="6" s="1"/>
  <c r="F21" i="6"/>
  <c r="H21" i="6" s="1"/>
  <c r="C21" i="6"/>
  <c r="G21" i="6" s="1"/>
  <c r="I21" i="6" s="1"/>
  <c r="F20" i="6"/>
  <c r="H20" i="6" s="1"/>
  <c r="J22" i="6" l="1"/>
  <c r="K22" i="6" s="1"/>
  <c r="F6" i="6" s="1"/>
  <c r="J21" i="6"/>
  <c r="K21" i="6" s="1"/>
  <c r="F7" i="6" s="1"/>
  <c r="J20" i="6"/>
  <c r="K20" i="6" s="1"/>
  <c r="F5" i="6" s="1"/>
  <c r="G5" i="6" s="1"/>
  <c r="E17" i="7" l="1"/>
  <c r="E11" i="1" l="1"/>
  <c r="H11" i="1" s="1"/>
  <c r="E23" i="1"/>
  <c r="J23" i="1" s="1"/>
  <c r="L23" i="1" s="1"/>
  <c r="H17" i="7"/>
  <c r="I17" i="7"/>
  <c r="D7" i="6"/>
  <c r="E33" i="1"/>
  <c r="E31" i="1"/>
  <c r="H31" i="1" s="1"/>
  <c r="E30" i="1"/>
  <c r="D28" i="1"/>
  <c r="J30" i="1" l="1"/>
  <c r="L30" i="1" s="1"/>
  <c r="H30" i="1"/>
  <c r="J31" i="1"/>
  <c r="L31" i="1" s="1"/>
  <c r="H33" i="1"/>
  <c r="J33" i="1"/>
  <c r="I11" i="1"/>
  <c r="M11" i="1" s="1"/>
  <c r="L11" i="1"/>
  <c r="I30" i="1"/>
  <c r="H23" i="1"/>
  <c r="E26" i="3"/>
  <c r="I33" i="1" l="1"/>
  <c r="F33" i="1" s="1"/>
  <c r="K33" i="1" s="1"/>
  <c r="M33" i="1" s="1"/>
  <c r="L33" i="1"/>
  <c r="F30" i="1"/>
  <c r="K30" i="1" s="1"/>
  <c r="M30" i="1" s="1"/>
  <c r="D27" i="1" l="1"/>
  <c r="E14" i="13" l="1"/>
  <c r="F14" i="13"/>
  <c r="C16" i="13"/>
  <c r="E15" i="13"/>
  <c r="F15" i="13" s="1"/>
  <c r="C8" i="13"/>
  <c r="E8" i="13" s="1"/>
  <c r="F5" i="13"/>
  <c r="F8" i="13" s="1"/>
  <c r="C5" i="13"/>
  <c r="E4" i="13"/>
  <c r="G4" i="13" s="1"/>
  <c r="E3" i="13"/>
  <c r="C18" i="13" l="1"/>
  <c r="E18" i="13" s="1"/>
  <c r="F18" i="13" s="1"/>
  <c r="E5" i="13"/>
  <c r="G5" i="13" s="1"/>
  <c r="G8" i="13"/>
  <c r="G3" i="13"/>
  <c r="E16" i="13"/>
  <c r="F16" i="13" s="1"/>
  <c r="G17" i="7"/>
  <c r="F17" i="7"/>
  <c r="D26" i="3" l="1"/>
  <c r="C26" i="3"/>
  <c r="F26" i="3" l="1"/>
  <c r="A23" i="7" s="1"/>
  <c r="E23" i="7" s="1"/>
  <c r="B17" i="7"/>
  <c r="C17" i="7"/>
  <c r="D17" i="7"/>
  <c r="D22" i="1"/>
  <c r="P23" i="1"/>
  <c r="J17" i="7" l="1"/>
  <c r="G23" i="7" s="1"/>
  <c r="I23" i="7" s="1"/>
  <c r="D23" i="1" s="1"/>
  <c r="I31" i="1"/>
  <c r="F31" i="1" s="1"/>
  <c r="K31" i="1" s="1"/>
  <c r="I23" i="1" l="1"/>
  <c r="F23" i="1"/>
  <c r="K23" i="1" s="1"/>
  <c r="R23" i="1"/>
  <c r="H28" i="1"/>
  <c r="F28" i="1"/>
  <c r="K28" i="1" s="1"/>
  <c r="H27" i="1"/>
  <c r="F27" i="1"/>
  <c r="K27" i="1" s="1"/>
  <c r="M28" i="1" l="1"/>
  <c r="M23" i="1"/>
  <c r="M27" i="1"/>
  <c r="M31" i="1"/>
  <c r="K29" i="1"/>
  <c r="I27" i="1"/>
  <c r="I28" i="1"/>
  <c r="M29" i="1" l="1"/>
  <c r="T23" i="1"/>
  <c r="V23" i="1"/>
  <c r="X23" i="1" l="1"/>
  <c r="F29" i="1" l="1"/>
  <c r="I29" i="1" l="1"/>
  <c r="E12" i="1"/>
  <c r="H12" i="1" l="1"/>
  <c r="M5" i="10"/>
  <c r="M6" i="10"/>
  <c r="M7" i="10"/>
  <c r="M8" i="10"/>
  <c r="M9" i="10"/>
  <c r="M10" i="10"/>
  <c r="M11" i="10"/>
  <c r="M12" i="10"/>
  <c r="M13" i="10"/>
  <c r="M4" i="10"/>
  <c r="I26" i="1"/>
  <c r="H24" i="1"/>
  <c r="I24" i="1" s="1"/>
  <c r="F24" i="1"/>
  <c r="K24" i="1" s="1"/>
  <c r="M24" i="1" l="1"/>
  <c r="I12" i="1"/>
  <c r="M12" i="1" s="1"/>
  <c r="L12" i="1"/>
  <c r="I25" i="1"/>
  <c r="F26" i="1"/>
  <c r="H22" i="1"/>
  <c r="E34" i="1"/>
  <c r="J34" i="1" s="1"/>
  <c r="C5" i="6"/>
  <c r="D5" i="6" s="1"/>
  <c r="G6" i="6"/>
  <c r="G7" i="6"/>
  <c r="E5" i="6"/>
  <c r="E6" i="6"/>
  <c r="F8" i="6"/>
  <c r="E7" i="6"/>
  <c r="D6" i="6"/>
  <c r="F25" i="1" l="1"/>
  <c r="K26" i="1"/>
  <c r="I6" i="6"/>
  <c r="H6" i="6" s="1"/>
  <c r="I5" i="6"/>
  <c r="H5" i="6" s="1"/>
  <c r="G8" i="6"/>
  <c r="I7" i="6"/>
  <c r="H7" i="6" s="1"/>
  <c r="D8" i="6"/>
  <c r="E8" i="6"/>
  <c r="M26" i="1" l="1"/>
  <c r="M25" i="1" s="1"/>
  <c r="K25" i="1"/>
  <c r="I8" i="6"/>
  <c r="H8" i="6"/>
  <c r="D34" i="1" s="1"/>
  <c r="F34" i="1" s="1"/>
  <c r="K34" i="1" s="1"/>
  <c r="F22" i="1"/>
  <c r="K22" i="1" s="1"/>
  <c r="I22" i="1"/>
  <c r="M22" i="1" l="1"/>
  <c r="F21" i="1"/>
  <c r="M34" i="1"/>
  <c r="M32" i="1" s="1"/>
  <c r="K32" i="1"/>
  <c r="F32" i="1"/>
  <c r="I21" i="1"/>
  <c r="I34" i="1"/>
  <c r="E10" i="1"/>
  <c r="H10" i="1" s="1"/>
  <c r="E13" i="1"/>
  <c r="H13" i="1" s="1"/>
  <c r="E9" i="1"/>
  <c r="I13" i="1" l="1"/>
  <c r="M13" i="1" s="1"/>
  <c r="L13" i="1"/>
  <c r="F20" i="1"/>
  <c r="I10" i="1"/>
  <c r="M10" i="1" s="1"/>
  <c r="L10" i="1"/>
  <c r="H9" i="1"/>
  <c r="L9" i="1" s="1"/>
  <c r="G14" i="13"/>
  <c r="M21" i="1"/>
  <c r="M20" i="1" s="1"/>
  <c r="K21" i="1"/>
  <c r="K20" i="1" s="1"/>
  <c r="I32" i="1"/>
  <c r="I20" i="1" s="1"/>
  <c r="G15" i="13" l="1"/>
  <c r="H14" i="13"/>
  <c r="L8" i="1"/>
  <c r="J40" i="1" s="1"/>
  <c r="J46" i="1" s="1"/>
  <c r="J52" i="1" s="1"/>
  <c r="I9" i="1"/>
  <c r="M9" i="1" s="1"/>
  <c r="H8" i="1"/>
  <c r="F40" i="1" s="1"/>
  <c r="F46" i="1" s="1"/>
  <c r="F52" i="1" s="1"/>
  <c r="I8" i="1" l="1"/>
  <c r="I40" i="1" s="1"/>
  <c r="I46" i="1" s="1"/>
  <c r="M8" i="1"/>
  <c r="M40" i="1" s="1"/>
  <c r="M46" i="1" s="1"/>
  <c r="L52" i="1" s="1"/>
  <c r="E4" i="21" s="1"/>
  <c r="I14" i="13"/>
  <c r="H15" i="13"/>
  <c r="I15" i="13" s="1"/>
  <c r="G16" i="13"/>
  <c r="G18" i="13" s="1"/>
  <c r="H18" i="13" s="1"/>
  <c r="I18" i="13" s="1"/>
  <c r="E8" i="21" l="1"/>
  <c r="H16" i="13"/>
  <c r="I16" i="13" s="1"/>
  <c r="G4" i="21"/>
  <c r="F4" i="21"/>
  <c r="H52" i="1"/>
  <c r="G8" i="21" l="1"/>
  <c r="F8" i="21"/>
</calcChain>
</file>

<file path=xl/comments1.xml><?xml version="1.0" encoding="utf-8"?>
<comments xmlns="http://schemas.openxmlformats.org/spreadsheetml/2006/main">
  <authors>
    <author>Author</author>
  </authors>
  <commentList>
    <comment ref="J22" authorId="0">
      <text>
        <r>
          <rPr>
            <b/>
            <sz val="9"/>
            <color indexed="81"/>
            <rFont val="Tahoma"/>
            <family val="2"/>
            <charset val="186"/>
          </rPr>
          <t>Author:</t>
        </r>
        <r>
          <rPr>
            <sz val="9"/>
            <color indexed="81"/>
            <rFont val="Tahoma"/>
            <family val="2"/>
            <charset val="186"/>
          </rPr>
          <t xml:space="preserve">
transportlīdzekļu skaits uz 3 komandām</t>
        </r>
      </text>
    </comment>
    <comment ref="L22" authorId="0">
      <text>
        <r>
          <rPr>
            <b/>
            <sz val="9"/>
            <color indexed="81"/>
            <rFont val="Tahoma"/>
            <family val="2"/>
            <charset val="186"/>
          </rPr>
          <t>Author:</t>
        </r>
        <r>
          <rPr>
            <sz val="9"/>
            <color indexed="81"/>
            <rFont val="Tahoma"/>
            <family val="2"/>
            <charset val="186"/>
          </rPr>
          <t xml:space="preserve">
mēneši</t>
        </r>
      </text>
    </comment>
    <comment ref="J23" authorId="0">
      <text>
        <r>
          <rPr>
            <b/>
            <sz val="9"/>
            <color indexed="81"/>
            <rFont val="Tahoma"/>
            <family val="2"/>
            <charset val="186"/>
          </rPr>
          <t>Author:</t>
        </r>
        <r>
          <rPr>
            <sz val="9"/>
            <color indexed="81"/>
            <rFont val="Tahoma"/>
            <family val="2"/>
            <charset val="186"/>
          </rPr>
          <t xml:space="preserve">
nobraukto km skaits uz 3 komandām mēnesī</t>
        </r>
      </text>
    </comment>
    <comment ref="L23" authorId="0">
      <text>
        <r>
          <rPr>
            <b/>
            <sz val="9"/>
            <color indexed="81"/>
            <rFont val="Tahoma"/>
            <family val="2"/>
            <charset val="186"/>
          </rPr>
          <t>Author:</t>
        </r>
        <r>
          <rPr>
            <sz val="9"/>
            <color indexed="81"/>
            <rFont val="Tahoma"/>
            <family val="2"/>
            <charset val="186"/>
          </rPr>
          <t xml:space="preserve">
nobraukto km skaits uz 3 komandām gadā kopā</t>
        </r>
      </text>
    </comment>
    <comment ref="J24" authorId="0">
      <text>
        <r>
          <rPr>
            <b/>
            <sz val="9"/>
            <color indexed="81"/>
            <rFont val="Tahoma"/>
            <family val="2"/>
            <charset val="186"/>
          </rPr>
          <t>Author:</t>
        </r>
        <r>
          <rPr>
            <sz val="9"/>
            <color indexed="81"/>
            <rFont val="Tahoma"/>
            <family val="2"/>
            <charset val="186"/>
          </rPr>
          <t xml:space="preserve">
mēnešbiļešu skaits uz 3 komandām mēnesī</t>
        </r>
      </text>
    </comment>
    <comment ref="L24" authorId="0">
      <text>
        <r>
          <rPr>
            <b/>
            <sz val="9"/>
            <color indexed="81"/>
            <rFont val="Tahoma"/>
            <family val="2"/>
            <charset val="186"/>
          </rPr>
          <t>Author:</t>
        </r>
        <r>
          <rPr>
            <sz val="9"/>
            <color indexed="81"/>
            <rFont val="Tahoma"/>
            <family val="2"/>
            <charset val="186"/>
          </rPr>
          <t xml:space="preserve">
iegādātais mēnešbiļešu skaits gadā uz 3 komandām</t>
        </r>
      </text>
    </comment>
    <comment ref="L26" authorId="0">
      <text>
        <r>
          <rPr>
            <b/>
            <sz val="9"/>
            <color indexed="81"/>
            <rFont val="Tahoma"/>
            <family val="2"/>
            <charset val="186"/>
          </rPr>
          <t>Author:</t>
        </r>
        <r>
          <rPr>
            <sz val="9"/>
            <color indexed="81"/>
            <rFont val="Tahoma"/>
            <family val="2"/>
            <charset val="186"/>
          </rPr>
          <t xml:space="preserve">
Gadā pakalpojuma nodrošināšanai tiks iegādāti 9 jauni datori uz 3 komandām, t.i. 3 datori uz komandu
</t>
        </r>
      </text>
    </comment>
    <comment ref="D27" authorId="0">
      <text>
        <r>
          <rPr>
            <b/>
            <sz val="9"/>
            <color indexed="81"/>
            <rFont val="Tahoma"/>
            <family val="2"/>
            <charset val="186"/>
          </rPr>
          <t>Author:</t>
        </r>
        <r>
          <rPr>
            <sz val="9"/>
            <color indexed="81"/>
            <rFont val="Tahoma"/>
            <family val="2"/>
            <charset val="186"/>
          </rPr>
          <t xml:space="preserve">
izdevumi mēneši uz vienu komandu</t>
        </r>
      </text>
    </comment>
    <comment ref="F27" authorId="0">
      <text>
        <r>
          <rPr>
            <b/>
            <sz val="9"/>
            <color indexed="81"/>
            <rFont val="Tahoma"/>
            <family val="2"/>
            <charset val="186"/>
          </rPr>
          <t>Author:</t>
        </r>
        <r>
          <rPr>
            <sz val="9"/>
            <color indexed="81"/>
            <rFont val="Tahoma"/>
            <family val="2"/>
            <charset val="186"/>
          </rPr>
          <t xml:space="preserve">
izdevumi mēnesī uz 1 komandu</t>
        </r>
      </text>
    </comment>
    <comment ref="H27" authorId="0">
      <text>
        <r>
          <rPr>
            <b/>
            <sz val="9"/>
            <color indexed="81"/>
            <rFont val="Tahoma"/>
            <family val="2"/>
            <charset val="186"/>
          </rPr>
          <t>Author:</t>
        </r>
        <r>
          <rPr>
            <sz val="9"/>
            <color indexed="81"/>
            <rFont val="Tahoma"/>
            <family val="2"/>
            <charset val="186"/>
          </rPr>
          <t xml:space="preserve">
mēnešu skaits gadā</t>
        </r>
      </text>
    </comment>
    <comment ref="J27" authorId="0">
      <text>
        <r>
          <rPr>
            <b/>
            <sz val="9"/>
            <color indexed="81"/>
            <rFont val="Tahoma"/>
            <family val="2"/>
            <charset val="186"/>
          </rPr>
          <t>Author:</t>
        </r>
        <r>
          <rPr>
            <sz val="9"/>
            <color indexed="81"/>
            <rFont val="Tahoma"/>
            <family val="2"/>
            <charset val="186"/>
          </rPr>
          <t xml:space="preserve">
3 komandas</t>
        </r>
      </text>
    </comment>
    <comment ref="K27" authorId="0">
      <text>
        <r>
          <rPr>
            <b/>
            <sz val="9"/>
            <color indexed="81"/>
            <rFont val="Tahoma"/>
            <family val="2"/>
            <charset val="186"/>
          </rPr>
          <t>Author:</t>
        </r>
        <r>
          <rPr>
            <sz val="9"/>
            <color indexed="81"/>
            <rFont val="Tahoma"/>
            <family val="2"/>
            <charset val="186"/>
          </rPr>
          <t xml:space="preserve">
izdevumi mēnesī uz 3 komandām</t>
        </r>
      </text>
    </comment>
    <comment ref="L27" authorId="0">
      <text>
        <r>
          <rPr>
            <b/>
            <sz val="9"/>
            <color indexed="81"/>
            <rFont val="Tahoma"/>
            <family val="2"/>
            <charset val="186"/>
          </rPr>
          <t>Author:</t>
        </r>
        <r>
          <rPr>
            <sz val="9"/>
            <color indexed="81"/>
            <rFont val="Tahoma"/>
            <family val="2"/>
            <charset val="186"/>
          </rPr>
          <t xml:space="preserve">
mēnešu skaits gadā</t>
        </r>
      </text>
    </comment>
    <comment ref="F28" authorId="0">
      <text>
        <r>
          <rPr>
            <b/>
            <sz val="9"/>
            <color indexed="81"/>
            <rFont val="Tahoma"/>
            <family val="2"/>
            <charset val="186"/>
          </rPr>
          <t>Author:</t>
        </r>
        <r>
          <rPr>
            <sz val="9"/>
            <color indexed="81"/>
            <rFont val="Tahoma"/>
            <family val="2"/>
            <charset val="186"/>
          </rPr>
          <t xml:space="preserve">
izdevumi vidēji mēnesī 1 komandai</t>
        </r>
      </text>
    </comment>
    <comment ref="H28" authorId="0">
      <text>
        <r>
          <rPr>
            <b/>
            <sz val="9"/>
            <color indexed="81"/>
            <rFont val="Tahoma"/>
            <family val="2"/>
            <charset val="186"/>
          </rPr>
          <t>Author:</t>
        </r>
        <r>
          <rPr>
            <sz val="9"/>
            <color indexed="81"/>
            <rFont val="Tahoma"/>
            <family val="2"/>
            <charset val="186"/>
          </rPr>
          <t xml:space="preserve">
mēnešu skaits gadā</t>
        </r>
      </text>
    </comment>
    <comment ref="I28" authorId="0">
      <text>
        <r>
          <rPr>
            <b/>
            <sz val="9"/>
            <color indexed="81"/>
            <rFont val="Tahoma"/>
            <family val="2"/>
            <charset val="186"/>
          </rPr>
          <t>Author:</t>
        </r>
        <r>
          <rPr>
            <sz val="9"/>
            <color indexed="81"/>
            <rFont val="Tahoma"/>
            <family val="2"/>
            <charset val="186"/>
          </rPr>
          <t xml:space="preserve">
izdevumi vidēji gadā uz 1 komandu</t>
        </r>
      </text>
    </comment>
    <comment ref="J28" authorId="0">
      <text>
        <r>
          <rPr>
            <b/>
            <sz val="9"/>
            <color indexed="81"/>
            <rFont val="Tahoma"/>
            <family val="2"/>
            <charset val="186"/>
          </rPr>
          <t>Author:</t>
        </r>
        <r>
          <rPr>
            <sz val="9"/>
            <color indexed="81"/>
            <rFont val="Tahoma"/>
            <family val="2"/>
            <charset val="186"/>
          </rPr>
          <t xml:space="preserve">
3 komandas</t>
        </r>
      </text>
    </comment>
    <comment ref="K28" authorId="0">
      <text>
        <r>
          <rPr>
            <b/>
            <sz val="9"/>
            <color indexed="81"/>
            <rFont val="Tahoma"/>
            <family val="2"/>
            <charset val="186"/>
          </rPr>
          <t>Author:</t>
        </r>
        <r>
          <rPr>
            <sz val="9"/>
            <color indexed="81"/>
            <rFont val="Tahoma"/>
            <family val="2"/>
            <charset val="186"/>
          </rPr>
          <t xml:space="preserve">
izdevumi mēnesī vidēji uz 3 komandām</t>
        </r>
      </text>
    </comment>
    <comment ref="L28" authorId="0">
      <text>
        <r>
          <rPr>
            <b/>
            <sz val="9"/>
            <color indexed="81"/>
            <rFont val="Tahoma"/>
            <family val="2"/>
            <charset val="186"/>
          </rPr>
          <t>Author:</t>
        </r>
        <r>
          <rPr>
            <sz val="9"/>
            <color indexed="81"/>
            <rFont val="Tahoma"/>
            <family val="2"/>
            <charset val="186"/>
          </rPr>
          <t xml:space="preserve">
mēnešu skaits gadā</t>
        </r>
      </text>
    </comment>
    <comment ref="E30" authorId="0">
      <text>
        <r>
          <rPr>
            <b/>
            <sz val="9"/>
            <color indexed="81"/>
            <rFont val="Tahoma"/>
            <family val="2"/>
            <charset val="186"/>
          </rPr>
          <t>Author:</t>
        </r>
        <r>
          <rPr>
            <sz val="9"/>
            <color indexed="81"/>
            <rFont val="Tahoma"/>
            <family val="2"/>
            <charset val="186"/>
          </rPr>
          <t xml:space="preserve">
vidējais personu skaits mēnesī, kas apmeklē nodarbības</t>
        </r>
      </text>
    </comment>
    <comment ref="F30" authorId="0">
      <text>
        <r>
          <rPr>
            <b/>
            <sz val="9"/>
            <color indexed="81"/>
            <rFont val="Tahoma"/>
            <family val="2"/>
            <charset val="186"/>
          </rPr>
          <t>Author:</t>
        </r>
        <r>
          <rPr>
            <sz val="9"/>
            <color indexed="81"/>
            <rFont val="Tahoma"/>
            <family val="2"/>
            <charset val="186"/>
          </rPr>
          <t xml:space="preserve">
vidējie izdevumi mēnesī par transporta kompensāciju klientiem braucot uz grupu nodarbībām</t>
        </r>
      </text>
    </comment>
    <comment ref="H30" authorId="0">
      <text>
        <r>
          <rPr>
            <b/>
            <sz val="9"/>
            <color indexed="81"/>
            <rFont val="Tahoma"/>
            <family val="2"/>
            <charset val="186"/>
          </rPr>
          <t>Author:</t>
        </r>
        <r>
          <rPr>
            <sz val="9"/>
            <color indexed="81"/>
            <rFont val="Tahoma"/>
            <family val="2"/>
            <charset val="186"/>
          </rPr>
          <t xml:space="preserve">
200 reizes gadā kopā jābrauc uz nodarbībām, t.i., 20 personas x 10 nodarbības (1 komanda)</t>
        </r>
      </text>
    </comment>
    <comment ref="I30" authorId="0">
      <text>
        <r>
          <rPr>
            <b/>
            <sz val="9"/>
            <color indexed="81"/>
            <rFont val="Tahoma"/>
            <family val="2"/>
            <charset val="186"/>
          </rPr>
          <t>Author:</t>
        </r>
        <r>
          <rPr>
            <sz val="9"/>
            <color indexed="81"/>
            <rFont val="Tahoma"/>
            <family val="2"/>
            <charset val="186"/>
          </rPr>
          <t xml:space="preserve">
Transporta kompensācijas max apmērs, ja grupu nodarbības apmeklē 20 personas gadā (2 grupas 2x10), 10 nodarbības = 20 personas *10 nodarbības * 7 euro = 1400 uz 1 komandu </t>
        </r>
      </text>
    </comment>
    <comment ref="L30" authorId="0">
      <text>
        <r>
          <rPr>
            <b/>
            <sz val="9"/>
            <color indexed="81"/>
            <rFont val="Tahoma"/>
            <family val="2"/>
            <charset val="186"/>
          </rPr>
          <t>Author:</t>
        </r>
        <r>
          <rPr>
            <sz val="9"/>
            <color indexed="81"/>
            <rFont val="Tahoma"/>
            <family val="2"/>
            <charset val="186"/>
          </rPr>
          <t xml:space="preserve">
200 reizes gadā kopā jābrauc uz nodarbībām, t.i., 20 personas x 10 nodarbības (1 komanda) = 200 reizes x 3 komandas = 600 reizes. 600 reizes x 7 euro = 4200 euro gadā uz 3 komandām</t>
        </r>
      </text>
    </comment>
    <comment ref="E31" authorId="0">
      <text>
        <r>
          <rPr>
            <b/>
            <sz val="9"/>
            <color indexed="81"/>
            <rFont val="Tahoma"/>
            <family val="2"/>
            <charset val="186"/>
          </rPr>
          <t>Author:</t>
        </r>
        <r>
          <rPr>
            <sz val="9"/>
            <color indexed="81"/>
            <rFont val="Tahoma"/>
            <family val="2"/>
            <charset val="186"/>
          </rPr>
          <t xml:space="preserve">
konsultāciju skaits vidēji mēnesī uz 1 komandu, kas saņemts speciālistu telpās</t>
        </r>
      </text>
    </comment>
    <comment ref="F31" authorId="0">
      <text>
        <r>
          <rPr>
            <b/>
            <sz val="9"/>
            <color indexed="81"/>
            <rFont val="Tahoma"/>
            <family val="2"/>
            <charset val="186"/>
          </rPr>
          <t>Author:</t>
        </r>
        <r>
          <rPr>
            <sz val="9"/>
            <color indexed="81"/>
            <rFont val="Tahoma"/>
            <family val="2"/>
            <charset val="186"/>
          </rPr>
          <t xml:space="preserve">
izdevumi mēnesī 1 komandai par klientu apmeklējumu pie speciālistiem, lai saņemtu individuālās konsultācijas, t.i. Transporta kompensācijā izmaksātā max summa vidēji uz 1 komandu mēnesī 10 konsultācijas x 7 euro = 70 euro</t>
        </r>
      </text>
    </comment>
    <comment ref="H31" authorId="0">
      <text>
        <r>
          <rPr>
            <b/>
            <sz val="9"/>
            <color indexed="81"/>
            <rFont val="Tahoma"/>
            <family val="2"/>
            <charset val="186"/>
          </rPr>
          <t>Author:</t>
        </r>
        <r>
          <rPr>
            <sz val="9"/>
            <color indexed="81"/>
            <rFont val="Tahoma"/>
            <family val="2"/>
            <charset val="186"/>
          </rPr>
          <t xml:space="preserve">
konsultāciju skaits vidēji gadā uz 1 komandu, kas saņemtas speciālistu telpās</t>
        </r>
      </text>
    </comment>
    <comment ref="K31" authorId="0">
      <text>
        <r>
          <rPr>
            <b/>
            <sz val="9"/>
            <color indexed="81"/>
            <rFont val="Tahoma"/>
            <family val="2"/>
            <charset val="186"/>
          </rPr>
          <t>Author:</t>
        </r>
        <r>
          <rPr>
            <sz val="9"/>
            <color indexed="81"/>
            <rFont val="Tahoma"/>
            <family val="2"/>
            <charset val="186"/>
          </rPr>
          <t xml:space="preserve">
izdevumi mēnesī 1 komandai par klientu apmeklējumu pie speciālistiem, lai saņemtu individuālās konsultācijas, t.i. Transporta kompensācijā izmaksātā max summa vidēji uz 1 komandu mēnesī 10 konsultācijas x 7 euro = 70 euro. Uz 3 komandām 70 euro x 3 = 210 eiro</t>
        </r>
      </text>
    </comment>
    <comment ref="L31" authorId="0">
      <text>
        <r>
          <rPr>
            <b/>
            <sz val="9"/>
            <color indexed="81"/>
            <rFont val="Tahoma"/>
            <family val="2"/>
            <charset val="186"/>
          </rPr>
          <t>Author:</t>
        </r>
        <r>
          <rPr>
            <sz val="9"/>
            <color indexed="81"/>
            <rFont val="Tahoma"/>
            <family val="2"/>
            <charset val="186"/>
          </rPr>
          <t xml:space="preserve">
konsultāciju skaits vidēji gadā uz 3 komandām, kas saņemtas speciālistu telpās</t>
        </r>
      </text>
    </comment>
    <comment ref="L33" authorId="0">
      <text>
        <r>
          <rPr>
            <b/>
            <sz val="9"/>
            <color indexed="81"/>
            <rFont val="Tahoma"/>
            <family val="2"/>
            <charset val="186"/>
          </rPr>
          <t>Author:</t>
        </r>
        <r>
          <rPr>
            <sz val="9"/>
            <color indexed="81"/>
            <rFont val="Tahoma"/>
            <family val="2"/>
            <charset val="186"/>
          </rPr>
          <t xml:space="preserve">
skat. paskaidrojumu par skaitu pie punkta 2.3.1. transporta izdevumi</t>
        </r>
      </text>
    </comment>
    <comment ref="E34" authorId="0">
      <text>
        <r>
          <rPr>
            <b/>
            <sz val="9"/>
            <color indexed="81"/>
            <rFont val="Tahoma"/>
            <family val="2"/>
            <charset val="186"/>
          </rPr>
          <t>Author:</t>
        </r>
        <r>
          <rPr>
            <sz val="9"/>
            <color indexed="81"/>
            <rFont val="Tahoma"/>
            <family val="2"/>
            <charset val="186"/>
          </rPr>
          <t xml:space="preserve">
darbinieku skaits 1 komandā: vidēji 4 soc.darbinieki un 4 kapelāni + komndas vad.</t>
        </r>
      </text>
    </comment>
    <comment ref="J34" authorId="0">
      <text>
        <r>
          <rPr>
            <b/>
            <sz val="9"/>
            <color indexed="81"/>
            <rFont val="Tahoma"/>
            <family val="2"/>
            <charset val="186"/>
          </rPr>
          <t>Author:</t>
        </r>
        <r>
          <rPr>
            <sz val="9"/>
            <color indexed="81"/>
            <rFont val="Tahoma"/>
            <family val="2"/>
            <charset val="186"/>
          </rPr>
          <t xml:space="preserve">
kopā darbinieku skaits 3 komandās</t>
        </r>
      </text>
    </comment>
    <comment ref="L34" authorId="0">
      <text>
        <r>
          <rPr>
            <b/>
            <sz val="9"/>
            <color indexed="81"/>
            <rFont val="Tahoma"/>
            <family val="2"/>
            <charset val="186"/>
          </rPr>
          <t>Author:</t>
        </r>
        <r>
          <rPr>
            <sz val="9"/>
            <color indexed="81"/>
            <rFont val="Tahoma"/>
            <family val="2"/>
            <charset val="186"/>
          </rPr>
          <t xml:space="preserve">
mēnešu skaits gadā
</t>
        </r>
      </text>
    </comment>
  </commentList>
</comments>
</file>

<file path=xl/comments2.xml><?xml version="1.0" encoding="utf-8"?>
<comments xmlns="http://schemas.openxmlformats.org/spreadsheetml/2006/main">
  <authors>
    <author>Author</author>
  </authors>
  <commentList>
    <comment ref="J17" authorId="0">
      <text>
        <r>
          <rPr>
            <sz val="9"/>
            <color indexed="81"/>
            <rFont val="Tahoma"/>
            <family val="2"/>
            <charset val="186"/>
          </rPr>
          <t>Vidējā cena</t>
        </r>
      </text>
    </comment>
  </commentList>
</comments>
</file>

<file path=xl/comments3.xml><?xml version="1.0" encoding="utf-8"?>
<comments xmlns="http://schemas.openxmlformats.org/spreadsheetml/2006/main">
  <authors>
    <author>Author</author>
  </authors>
  <commentList>
    <comment ref="C4" authorId="0">
      <text>
        <r>
          <rPr>
            <b/>
            <sz val="9"/>
            <color indexed="81"/>
            <rFont val="Tahoma"/>
            <family val="2"/>
            <charset val="186"/>
          </rPr>
          <t>Author:</t>
        </r>
        <r>
          <rPr>
            <sz val="9"/>
            <color indexed="81"/>
            <rFont val="Tahoma"/>
            <family val="2"/>
            <charset val="186"/>
          </rPr>
          <t xml:space="preserve">
Jauni</t>
        </r>
      </text>
    </comment>
    <comment ref="D5" authorId="0">
      <text>
        <r>
          <rPr>
            <b/>
            <sz val="9"/>
            <color indexed="81"/>
            <rFont val="Tahoma"/>
            <family val="2"/>
            <charset val="186"/>
          </rPr>
          <t>Author:</t>
        </r>
        <r>
          <rPr>
            <sz val="9"/>
            <color indexed="81"/>
            <rFont val="Tahoma"/>
            <family val="2"/>
            <charset val="186"/>
          </rPr>
          <t xml:space="preserve">
Jauni</t>
        </r>
      </text>
    </comment>
    <comment ref="E6" authorId="0">
      <text>
        <r>
          <rPr>
            <b/>
            <sz val="9"/>
            <color indexed="81"/>
            <rFont val="Tahoma"/>
            <family val="2"/>
            <charset val="186"/>
          </rPr>
          <t>Author:</t>
        </r>
        <r>
          <rPr>
            <sz val="9"/>
            <color indexed="81"/>
            <rFont val="Tahoma"/>
            <family val="2"/>
            <charset val="186"/>
          </rPr>
          <t xml:space="preserve">
Jauni</t>
        </r>
      </text>
    </comment>
    <comment ref="F7" authorId="0">
      <text>
        <r>
          <rPr>
            <b/>
            <sz val="9"/>
            <color indexed="81"/>
            <rFont val="Tahoma"/>
            <family val="2"/>
            <charset val="186"/>
          </rPr>
          <t>Author:</t>
        </r>
        <r>
          <rPr>
            <sz val="9"/>
            <color indexed="81"/>
            <rFont val="Tahoma"/>
            <family val="2"/>
            <charset val="186"/>
          </rPr>
          <t xml:space="preserve">
Jauni</t>
        </r>
      </text>
    </comment>
    <comment ref="G8" authorId="0">
      <text>
        <r>
          <rPr>
            <b/>
            <sz val="9"/>
            <color indexed="81"/>
            <rFont val="Tahoma"/>
            <family val="2"/>
            <charset val="186"/>
          </rPr>
          <t>Author:</t>
        </r>
        <r>
          <rPr>
            <sz val="9"/>
            <color indexed="81"/>
            <rFont val="Tahoma"/>
            <family val="2"/>
            <charset val="186"/>
          </rPr>
          <t xml:space="preserve">
Jauni</t>
        </r>
      </text>
    </comment>
    <comment ref="H9" authorId="0">
      <text>
        <r>
          <rPr>
            <b/>
            <sz val="9"/>
            <color indexed="81"/>
            <rFont val="Tahoma"/>
            <family val="2"/>
            <charset val="186"/>
          </rPr>
          <t>Author:</t>
        </r>
        <r>
          <rPr>
            <sz val="9"/>
            <color indexed="81"/>
            <rFont val="Tahoma"/>
            <family val="2"/>
            <charset val="186"/>
          </rPr>
          <t xml:space="preserve">
Jauni</t>
        </r>
      </text>
    </comment>
    <comment ref="I10" authorId="0">
      <text>
        <r>
          <rPr>
            <b/>
            <sz val="9"/>
            <color indexed="81"/>
            <rFont val="Tahoma"/>
            <family val="2"/>
            <charset val="186"/>
          </rPr>
          <t>Author:</t>
        </r>
        <r>
          <rPr>
            <sz val="9"/>
            <color indexed="81"/>
            <rFont val="Tahoma"/>
            <family val="2"/>
            <charset val="186"/>
          </rPr>
          <t xml:space="preserve">
Jauni</t>
        </r>
      </text>
    </comment>
    <comment ref="J11" authorId="0">
      <text>
        <r>
          <rPr>
            <b/>
            <sz val="9"/>
            <color indexed="81"/>
            <rFont val="Tahoma"/>
            <family val="2"/>
            <charset val="186"/>
          </rPr>
          <t>Author:</t>
        </r>
        <r>
          <rPr>
            <sz val="9"/>
            <color indexed="81"/>
            <rFont val="Tahoma"/>
            <family val="2"/>
            <charset val="186"/>
          </rPr>
          <t xml:space="preserve">
Jauni</t>
        </r>
      </text>
    </comment>
    <comment ref="K12" authorId="0">
      <text>
        <r>
          <rPr>
            <b/>
            <sz val="9"/>
            <color indexed="81"/>
            <rFont val="Tahoma"/>
            <family val="2"/>
            <charset val="186"/>
          </rPr>
          <t>Author:</t>
        </r>
        <r>
          <rPr>
            <sz val="9"/>
            <color indexed="81"/>
            <rFont val="Tahoma"/>
            <family val="2"/>
            <charset val="186"/>
          </rPr>
          <t xml:space="preserve">
Jauni</t>
        </r>
      </text>
    </comment>
    <comment ref="L13" authorId="0">
      <text>
        <r>
          <rPr>
            <b/>
            <sz val="9"/>
            <color indexed="81"/>
            <rFont val="Tahoma"/>
            <family val="2"/>
            <charset val="186"/>
          </rPr>
          <t>Author:</t>
        </r>
        <r>
          <rPr>
            <sz val="9"/>
            <color indexed="81"/>
            <rFont val="Tahoma"/>
            <family val="2"/>
            <charset val="186"/>
          </rPr>
          <t xml:space="preserve">
Jauni</t>
        </r>
      </text>
    </comment>
  </commentList>
</comments>
</file>

<file path=xl/sharedStrings.xml><?xml version="1.0" encoding="utf-8"?>
<sst xmlns="http://schemas.openxmlformats.org/spreadsheetml/2006/main" count="394" uniqueCount="287">
  <si>
    <t>Izdevumu posteņa nosaukums</t>
  </si>
  <si>
    <t>vienas vienības cena EURO</t>
  </si>
  <si>
    <t>Aprēķina paskaidrojums</t>
  </si>
  <si>
    <t>vienas vienības cena EURO, mēn</t>
  </si>
  <si>
    <t>Sociālā darbinieka  darba samaksa</t>
  </si>
  <si>
    <t>Kapelāna darba samaksa</t>
  </si>
  <si>
    <t>VSAOI darba devēja daļa ( 23.59%)</t>
  </si>
  <si>
    <t>Kopā atalgojumam mēnesī</t>
  </si>
  <si>
    <t xml:space="preserve">Pakalpojuma "Psihosociālā rehabilitācija paliatīvajā aprūpē esošajiem bērniem un to ģimenes locekļiem"                                                                                                                                                               groza aprēķins                                                                                                                                                                                                                                                                             </t>
  </si>
  <si>
    <t>Transporta noma</t>
  </si>
  <si>
    <t>Degvielas izdevumi</t>
  </si>
  <si>
    <t>X</t>
  </si>
  <si>
    <t>Kopā mēnesī, Euro</t>
  </si>
  <si>
    <t>Vienība</t>
  </si>
  <si>
    <t>mēnesis</t>
  </si>
  <si>
    <t xml:space="preserve">Administrēšanas izmaksas </t>
  </si>
  <si>
    <t>D</t>
  </si>
  <si>
    <t>D+</t>
  </si>
  <si>
    <t>Statoil</t>
  </si>
  <si>
    <t>Neste</t>
  </si>
  <si>
    <t>16.01.2017.</t>
  </si>
  <si>
    <t>Degvielas mazumtirdzniecības cenas</t>
  </si>
  <si>
    <t>Pakalpojumi/speciālisti</t>
  </si>
  <si>
    <t>Supervīziju izmaksas uz speciālistu gadā, euro   ****</t>
  </si>
  <si>
    <t>Kopējās izmaksas</t>
  </si>
  <si>
    <t>Darbinieku kvalifikācijas celšanas, supervīziju un veselības apdrošināšanas izmaksu aprēķins                                                                                                                                                                                           pakalpojumam "Psihosociālā rehabilitācija paliatīvajā aprūpē esošajiem bērniem un to ģimenes locekļiem"</t>
  </si>
  <si>
    <t>Sociālais darbinieks</t>
  </si>
  <si>
    <t>Kapelāns</t>
  </si>
  <si>
    <t>Multidisciplinārās komandas vadītājs</t>
  </si>
  <si>
    <t>Kvalifikācijas celšanas, supervīziju un veselības apdrošināšanas izmaksas gadā</t>
  </si>
  <si>
    <r>
      <t xml:space="preserve">Kopējās </t>
    </r>
    <r>
      <rPr>
        <u/>
        <sz val="12"/>
        <rFont val="Times New Roman"/>
        <family val="1"/>
        <charset val="186"/>
      </rPr>
      <t>kvalifikācijas celšanas izmaksa</t>
    </r>
    <r>
      <rPr>
        <sz val="12"/>
        <rFont val="Times New Roman"/>
        <family val="1"/>
        <charset val="186"/>
      </rPr>
      <t>s  gadā, euro</t>
    </r>
  </si>
  <si>
    <r>
      <rPr>
        <u/>
        <sz val="12"/>
        <rFont val="Times New Roman"/>
        <family val="1"/>
        <charset val="186"/>
      </rPr>
      <t xml:space="preserve">Supervīziju izmaksas </t>
    </r>
    <r>
      <rPr>
        <sz val="12"/>
        <rFont val="Times New Roman"/>
        <family val="1"/>
        <charset val="186"/>
      </rPr>
      <t xml:space="preserve"> gadā, euro</t>
    </r>
  </si>
  <si>
    <t>Speciālistu (slodžu) noapaļotais skaits, lai nodrošinātu kopējo stundu skaitu mēnesī*</t>
  </si>
  <si>
    <t>*Aprēķinot darbinieku skaitu, kas nodrošina pakalpojumu ieviešanu tiek apaļots uz augšu, jo visiem darbiniekiem neatkarīgi no slodzes apmēra ir jānodrošina kvalifikācijas celšana un veselības apdrošināšana.</t>
  </si>
  <si>
    <t>**Veicot pakalpojumu sniedzēju, kas organizē kvalifikācijas celšanas kursus, kursu cenu aptauju  tika konstatēts, ka viena 8 stundas gara semināra vidējā cena ir 39 euro. Kvalifikācijas celšana tiek nodrošināta personālam, kas tieši strādā ar klientu. Darbinieku kvalifikācijas celšanas apjomi (sociālais darbinieks, psihologs 24 h/gadā) noteikti saskaņā ar izstrādāto MK noteikumu projektu "Prasības sociālo pakalpojumu sniedzējiem" 10.1. apakšpunktu. Soc.darbinieks 24h gadā = 3 x 39 euro = 117 euro gadā.</t>
  </si>
  <si>
    <t>Kvalifikācijas celšanas izmaksas uz speciālistu gadā, euro**</t>
  </si>
  <si>
    <r>
      <t xml:space="preserve">Kopējās </t>
    </r>
    <r>
      <rPr>
        <u/>
        <sz val="12"/>
        <rFont val="Times New Roman"/>
        <family val="1"/>
        <charset val="186"/>
      </rPr>
      <t>veselības apdrošināšanas izmaksas</t>
    </r>
    <r>
      <rPr>
        <sz val="12"/>
        <rFont val="Times New Roman"/>
        <family val="1"/>
        <charset val="186"/>
      </rPr>
      <t xml:space="preserve"> gadā, euro***</t>
    </r>
  </si>
  <si>
    <t>*** Likuma par iedzīvotāju ienākuma nodokli 8.panta 5 daļa nosaka, ka " No maksātāja ienākumiem, par kuriem maksā algas nodokli .....veselības vai nelaimes gadījumu apdrošināšanas prēmiju summas, kas nepārsniedz 10 procentus no maksātājam aprēķinātās bruto darba samaksas taksācijas gadā, bet ne vairāk kā 426,86 euro gadā....." un savukārt  Valsts un pašvaldību institūciju amatpersonu un darbinieku atlīdzības likumā paredzētās normas (37.pants 1.;2.daļa)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t>
  </si>
  <si>
    <t>5</t>
  </si>
  <si>
    <t>4=2*3</t>
  </si>
  <si>
    <t>6</t>
  </si>
  <si>
    <t>=(4+5+7)/12</t>
  </si>
  <si>
    <t>=4+5+7</t>
  </si>
  <si>
    <t>7=2*6</t>
  </si>
  <si>
    <t xml:space="preserve">Darba devēja apmaksātie veselības apdrošināšanas, darbinieku kvalifikācijas celšanas un supervīzijas izdevumi </t>
  </si>
  <si>
    <t>darbinieki</t>
  </si>
  <si>
    <t xml:space="preserve">Pakalpojuma nodoršināšanas  izmaksas kopā                                                                                     </t>
  </si>
  <si>
    <t>km</t>
  </si>
  <si>
    <t>Sabiedriskais transports</t>
  </si>
  <si>
    <t>Transporta izmaksas darbiniekiem, braucot pie klientiem, KOPĀ:</t>
  </si>
  <si>
    <t>Rīgas sabiedriskā transporta mēnešbiļetes cena visām mēneša dienām visos tramvaju, trolejbusu un autobusu maršrutos ir 50 euro. Kopā nepieciešamas 2 mēnešbiļetes, viena - sociālajam darbiniekam, viena - kapelānam.</t>
  </si>
  <si>
    <t>Sakaru nodrošināšana komunikācijai ar klientu (telefons un internets)</t>
  </si>
  <si>
    <t>gab.</t>
  </si>
  <si>
    <t>x</t>
  </si>
  <si>
    <t>1.gads</t>
  </si>
  <si>
    <t>Nolietojums 5 gadi</t>
  </si>
  <si>
    <t>2.gads</t>
  </si>
  <si>
    <t>3.gads</t>
  </si>
  <si>
    <t>4.gads</t>
  </si>
  <si>
    <t>5.gads</t>
  </si>
  <si>
    <t>6.gads</t>
  </si>
  <si>
    <t>7.gads</t>
  </si>
  <si>
    <t>8.gads</t>
  </si>
  <si>
    <t>9.gads</t>
  </si>
  <si>
    <t>10.gads</t>
  </si>
  <si>
    <t>Atbalsta grupu organizēšanas izmaksas (izdales materiālu kopēšana, kancelejas preces)</t>
  </si>
  <si>
    <t>personas</t>
  </si>
  <si>
    <t>Multidisciplinārās komandas vadītāja darba samaksa</t>
  </si>
  <si>
    <t>Sociālā darbinieka un kapelāna  darba samaksa par darbu svētku dienās.</t>
  </si>
  <si>
    <t>Transporta izdevumi klientiem apmeklējot atbalsta grupas</t>
  </si>
  <si>
    <t xml:space="preserve">Valsts sabiedrība ar ierobežotu atbildību „Nacionālais rehabilitācijas centrs „Vaivari”” </t>
  </si>
  <si>
    <t xml:space="preserve">Renault Trafic </t>
  </si>
  <si>
    <t xml:space="preserve">Renault Kangoo </t>
  </si>
  <si>
    <t>Nomas maksa mēnesī</t>
  </si>
  <si>
    <t>automašīna</t>
  </si>
  <si>
    <t>24.01.2017.</t>
  </si>
  <si>
    <t>Nobrauktie km gadā</t>
  </si>
  <si>
    <t>1km degvielas izdevumi, euro</t>
  </si>
  <si>
    <t>Degvielas patēriņš uz 1 km, l</t>
  </si>
  <si>
    <t>Degvielas patēriņš uz 100 km,l</t>
  </si>
  <si>
    <t>1 l cena, euro</t>
  </si>
  <si>
    <t>Palīgtabula</t>
  </si>
  <si>
    <t>Degvielas patēriņš uz 100 km</t>
  </si>
  <si>
    <t>Sakaru nodrošināšana komunikācijai ar klientu KOPĀ</t>
  </si>
  <si>
    <t>Sakaru nodrošināšana komunikācijai ar klientu (programmas uzturēšana, datu servera noma)</t>
  </si>
  <si>
    <t>Transporta izdevumi klientiem apmeklējot konsultācijas multidisciplinārās komandas telpās</t>
  </si>
  <si>
    <t>1. Tiešās pakalpojuma aktivitātes un izmaksas</t>
  </si>
  <si>
    <t>Nr. p. k.</t>
  </si>
  <si>
    <t>1.1.</t>
  </si>
  <si>
    <t>1.2.</t>
  </si>
  <si>
    <t>1.3.</t>
  </si>
  <si>
    <t>1.4.</t>
  </si>
  <si>
    <t>1.5.</t>
  </si>
  <si>
    <t>Tiešās pakalpojuma aktivitātes un izmaksas KOPĀ:</t>
  </si>
  <si>
    <t>2. Ar pakalpojuma organizēšanu saistītās aktivitātes un izmaksas</t>
  </si>
  <si>
    <t>2.1.</t>
  </si>
  <si>
    <t>2.1.1.</t>
  </si>
  <si>
    <t>2.1.2.</t>
  </si>
  <si>
    <t>2.1.3.</t>
  </si>
  <si>
    <t>2.2.</t>
  </si>
  <si>
    <t>2.3.</t>
  </si>
  <si>
    <t>2.3.1.</t>
  </si>
  <si>
    <t>2.3.2.</t>
  </si>
  <si>
    <t>2.4.</t>
  </si>
  <si>
    <t xml:space="preserve">   tabula 1. + tabula  2.</t>
  </si>
  <si>
    <t>3.Pakalpojuma nodoršināšanas  izmaksas kopā</t>
  </si>
  <si>
    <t xml:space="preserve">4. Administrēšanas izmaksas </t>
  </si>
  <si>
    <t>Pakalpojuma nodrošināšanas izmaksas (tabula 3. + tabula 4.)</t>
  </si>
  <si>
    <t>Nobraukto km skaits gadā</t>
  </si>
  <si>
    <t>Plānotais km skaits vidēji uz 1 klientu (SR sniegšana mājās)</t>
  </si>
  <si>
    <t xml:space="preserve">Latvijas Nedzirdīgo savienība </t>
  </si>
  <si>
    <t xml:space="preserve">TOYOTA COROLLA </t>
  </si>
  <si>
    <t>Automašīnas nomas maksas un vidējā degvielas patēriņa aprēķins</t>
  </si>
  <si>
    <t>vidējie rādītāji:</t>
  </si>
  <si>
    <t>Skaits</t>
  </si>
  <si>
    <t>Interneta resursi</t>
  </si>
  <si>
    <t>KIA Ccee'd MT</t>
  </si>
  <si>
    <t>KIA Ccee'd AT</t>
  </si>
  <si>
    <t>KIA Ccee'd SW MT</t>
  </si>
  <si>
    <t>KIA Ccee'd SW AT</t>
  </si>
  <si>
    <t xml:space="preserve">Opel Astra Caravan
</t>
  </si>
  <si>
    <t xml:space="preserve">Renault Megane/Toyota Yaris </t>
  </si>
  <si>
    <t>Transporta izdevumi klientiem apmeklējot atbalsta grupas un konsultācijas multidisciplinārās komandas telpās</t>
  </si>
  <si>
    <t>2.2.1.</t>
  </si>
  <si>
    <t>2.2.2.</t>
  </si>
  <si>
    <t>2.2.3.</t>
  </si>
  <si>
    <t>2.4.1.</t>
  </si>
  <si>
    <t>2.4.2.</t>
  </si>
  <si>
    <t>Citas ar pakalpojuma organizēšanu saistītās aktivitātes un izmaksas KOPĀ:</t>
  </si>
  <si>
    <t>Sociālās rehabilitācijas pakalpojuma saņēmējam tiek apmaksāti izdevumi, kas veidojas klientam apmeklējot atbalsta grupas vai konsultācijas multidisciplinārās komandas telpās.</t>
  </si>
  <si>
    <t>Citas ar pakalpojuma organizēšanu saistītās aktivitātes un izmaksas, kas nav minētas 2.tabulas "Ar pakalpojuma organizēšanu saistītās aktivitātes un izmaksas" 2.1.; 2.2.. un 2.3. apakšpunktos.</t>
  </si>
  <si>
    <r>
      <t>Pakalpojuma "Psihosociālā rehabilitācija paliatīvajā aprūpē esošajiem bērniem un to ģimenes locekļiem"  izmaksas kopā/ gadā                                                                                                                                                                                                                        vienai</t>
    </r>
    <r>
      <rPr>
        <b/>
        <i/>
        <sz val="16"/>
        <rFont val="Times New Roman"/>
        <family val="1"/>
        <charset val="186"/>
      </rPr>
      <t xml:space="preserve"> multidisciplinārai komandai  </t>
    </r>
  </si>
  <si>
    <t>03.02.2017.</t>
  </si>
  <si>
    <t>dienas mēnesī</t>
  </si>
  <si>
    <t>soc.darb.</t>
  </si>
  <si>
    <t>kapelāns</t>
  </si>
  <si>
    <t>KOPĀ</t>
  </si>
  <si>
    <t>2 darbinieki 12 h diennaktī, 12 h 1 darbinieks</t>
  </si>
  <si>
    <t>kopā</t>
  </si>
  <si>
    <t xml:space="preserve">2 darbinieki 24 h diennaktī </t>
  </si>
  <si>
    <t>nostrādātās stundas mēn</t>
  </si>
  <si>
    <t>stundas mēn 1 slodze</t>
  </si>
  <si>
    <t xml:space="preserve">Svētku dienas. Gadā 15 svētku dienas, t.i. 360h/gadā (15 svētku dienas x 24h). Vidēji 30h mēnesī (360h/12 mēn). Darba samaksa par darbu svētku dienās noteikta 100% apmērā no darbiniekam noteiktās stundas likmes, t.i. 6.50euro/h (1 093euro :168 (vidējais darba h skaits mēn)).  Vidēji izdevumi mēnesī 195 euro (6.50 euro x 30h), gadā 2 340 euro (195 euro x 12 mēn). Izdevumi kopā ar VSAOI 23.59% 241 euro/mēn, 2 892.01 euro/gadā.                                                                                                                                                                                                                                                                                                                 Aprēķins veikts vienam speciālistam, lai aprēķinātu izdevumus abiem speciālistiem rezultāts jāreizina ar 2 (jo h likmes speciālistiem ir vienādas).                                                                                                                                            Kopā. Izdevumi kopā ar VSAOI 23.59% 482.00 euro/mēn, 5 784.01 euro/gadā.      </t>
  </si>
  <si>
    <t>dienas gadā</t>
  </si>
  <si>
    <t>nostrādātās stundas svētkos</t>
  </si>
  <si>
    <t>h diennaktī</t>
  </si>
  <si>
    <t>nepieciešamās slodzes</t>
  </si>
  <si>
    <t>Vidējā darba samaksa (piemaksa) par h, svētku dienā</t>
  </si>
  <si>
    <t>Vidējie izdevumi mēnesī, par piemaksu svētku dienās.</t>
  </si>
  <si>
    <t>Vidējie izdevumi gadā, par piemaksu svētku dienās.</t>
  </si>
  <si>
    <t>Slodžu skaits:</t>
  </si>
  <si>
    <t>A</t>
  </si>
  <si>
    <t>B</t>
  </si>
  <si>
    <t>Samaksa par svētku dienām:</t>
  </si>
  <si>
    <t>Vidēji mēnesī nostrādātās h svētkos</t>
  </si>
  <si>
    <t xml:space="preserve"> nostrādātās h diennaktī</t>
  </si>
  <si>
    <t>Sociālā darbinieka un kapelāna  darba samaksa par naktsdarbu.</t>
  </si>
  <si>
    <t>Darbinieki nodrošina pakalpojumu 24h diennaktī, 7 dienas nedēļā. Aprēķinos pieņemts, ka vidēji 12 h dežūrēšanas režīmā strādā 2 speciālisti, bet 12 stundas, t.sk. naktis, 1 speciālists.</t>
  </si>
  <si>
    <r>
      <t>Sakaru tehnikas nodrošināšana komunikācijai ar klientu - portatīvais dators ar web</t>
    </r>
    <r>
      <rPr>
        <sz val="14"/>
        <rFont val="Times New Roman"/>
        <family val="1"/>
        <charset val="186"/>
      </rPr>
      <t xml:space="preserve"> kameru.</t>
    </r>
  </si>
  <si>
    <t>Degvielas patēriņš uz 100 km vasarā</t>
  </si>
  <si>
    <t>Degvielas patēriņš uz 100 km/ ziemā</t>
  </si>
  <si>
    <t>Degvielas patēriņš vidēji uz 100 km</t>
  </si>
  <si>
    <t xml:space="preserve"> Tālaprūpes konsultāciju sniegšanu izmantojot interneta tehnoloģijas programmas uzturēšanas izdevumi mēnesī ir 170 euro. Servera noma datu glabāšanai 80 euro mēnesī. Kopā 250 euro mēnesī. Vidēji uz vienu komandu 83.33 euro mēnesī, 1000.00 euro gadā.</t>
  </si>
  <si>
    <t>24.02.2017.</t>
  </si>
  <si>
    <t>1km izmaksas, euro</t>
  </si>
  <si>
    <t>Vidēji uz 1 multidisciplināro komandu</t>
  </si>
  <si>
    <t>Plānotais km skaits vidēji uz 1 bērnu*</t>
  </si>
  <si>
    <t>Plānotais vidējais bērnu skaits pie kuriem pakalpojuma sniedzējam būs jābrauc ar nomas a/m*</t>
  </si>
  <si>
    <t>*pakalpojuma sniedzēja dati</t>
  </si>
  <si>
    <t>Datortehnikas nodrošinājums vienai multidisciplinārajai komandai</t>
  </si>
  <si>
    <t>Kvalifikācijas celšanas, supervīziju un veselības apdrošināšanas izmaksas mēnesī</t>
  </si>
  <si>
    <t>Nr.p.k.</t>
  </si>
  <si>
    <t>Pakalpojuma "Psihosociālā rehabilitācija paliatīvajā aprūpē esošajiem bērniem un to ģimenes locekļiem" plānotais nepieciešamais finansējums pirmajā ieviešanas gadā un turpmākajos gados</t>
  </si>
  <si>
    <t>Paliatīvās aprūpes periodā bērnam un viņa ģimenes locekļiem tiek nodrošināta pēc vajadzības neierobežots skaits multidisciplinārās komandas sastāvā esošo sociālā darbinieka un kapelāna telefonisku konsultāciju vai konsultāciju, izmantojot attālinātās saskarsmes nodrošināšanas (dators) līdzekļus, t.i. tālaprūpes konsultāciju sniegšana izmantojot interneta tehnoloģijas, jebkurā diennakts stundā, bez ilguma ierobežojuma vienai konsultācijai.</t>
  </si>
  <si>
    <t>Kopā  mēnesī</t>
  </si>
  <si>
    <t>1 komanda</t>
  </si>
  <si>
    <t>Kopā atalgojumam gadā</t>
  </si>
  <si>
    <t>Kopā  gadā</t>
  </si>
  <si>
    <t>Pielikums Nr.2.1.</t>
  </si>
  <si>
    <t>Lai nodrošinātu tālaprūpes konsultāciju sniegšanu izmantojot interneta tehnoloģijas, 24 h/diennaktī, bez ilguma ierobežojuma vienai konsultācijai, nepieciešams aprīkojums - dators un/ar web kameru. Vidēji cenas tirgū svārstās no 500 līdz 1200 euro. Vidējā cena 1 vienībai ir 850 euro. Gadā plānots iegādāties vidēji 3 jaunus datorus ar web kameru. Atbilstoši MK not.Nr.1486 2.pielikumam datortehnikai lietošanas ilgums ir 5 gadi. Pēc pakalpojuma ieviešanas, sākot ar 5.gadu datortehnikas nodrošinājums 1 komandai - 15 gab. Pielikums Nr.2.3.  "Datortehnikas nodrošinājums".</t>
  </si>
  <si>
    <t>Aprēķinot darbinieku skaitu, kas nodrošina pakalpojumu ieviešanu tiek apaļots uz augšu, jo visiem darbiniekiem neatkarīgi no slodzes apmēra ir jānodrošina veselības apdrošināšana. Vidēji mēnesī izdevumi uz 1 darbinieku 35.87 euro, uz 9 darbiniekiem - 322.82 euro, gadā uz 9 darbiniekiem 3 873.87 euro, vidēji uz 1 darbinieku 430.43 euro/gadā. Aprēķinu skatīt pielikumā Nr.2.4.</t>
  </si>
  <si>
    <t>1.pielikums                                                                                                                                                                                                                                                                                                                                      Ministru kabineta noteikumu „Kārtība, kādā no valsts budžeta tiek finansēta psihosociālā rehabilitācija paliatīvajā aprūpē esošajiem bērniem un to ģimenes locekļiem” sākotnējās ietekmes novērtējumam ziņojumam (anotācija)</t>
  </si>
  <si>
    <t>2.pielikums                                                                                                                                                                                                                                                                                                                                                                                                                                                                                                                                                                Ministru kabineta noteikumu „Kārtība, kādā no valsts budžeta tiek finansēta psihosociālā rehabilitācija paliatīvajā aprūpē esošajiem bērniem un to ģimenes locekļiem” sākotnējās ietekmes novērtējumam ziņojumam (anotācija)</t>
  </si>
  <si>
    <t>2.1. pielikums                                                                                                                                                                                                                                                                                                                                                                                                                                                                                                                                                                Ministru kabineta noteikumu „Kārtība, kādā no valsts budžeta tiek finansēta psihosociālā rehabilitācija paliatīvajā aprūpē esošajiem bērniem un to ģimenes locekļiem” sākotnējās ietekmes novērtējumam ziņojumam (anotācija)</t>
  </si>
  <si>
    <t>2.2. pielikums                                                                                                                                                                                                                                                                                                                                                                                                                                                                                                                                                                Ministru kabineta noteikumu „Kārtība, kādā no valsts budžeta tiek finansēta psihosociālā rehabilitācija paliatīvajā aprūpē esošajiem bērniem un to ģimenes locekļiem” sākotnējās ietekmes novērtējumam ziņojumam (anotācija)</t>
  </si>
  <si>
    <t>2.3. pielikums                                                                                                                                                                                                                                                                                                                                                                                                                                                                                                                                                                Ministru kabineta noteikumu „Kārtība, kādā no valsts budžeta tiek finansēta psihosociālā rehabilitācija paliatīvajā aprūpē esošajiem bērniem un to ģimenes locekļiem” sākotnējās ietekmes novērtējumam ziņojumam (anotācija)</t>
  </si>
  <si>
    <t>2.4. pielikums                                                                                                                                                                                                                                                                                                                                                                                                                                                                                                                                                                Ministru kabineta noteikumu „Kārtība, kādā no valsts budžeta tiek finansēta psihosociālā rehabilitācija paliatīvajā aprūpē esošajiem bērniem un to ģimenes locekļiem” sākotnējās ietekmes novērtējumam ziņojumam (anotācija)</t>
  </si>
  <si>
    <t>Apakšprogramma uz kuru attiecināmi izdevumi</t>
  </si>
  <si>
    <t>05.01.00.</t>
  </si>
  <si>
    <t>97.01.00</t>
  </si>
  <si>
    <t>3. pielikums                                                                                                                                                                                                                                                                                                                                                                                                                                                                                                                                                                Ministru kabineta noteikumu „Noteikumi par psihosociālās rehabilitācijas pakalpojumu onkoloģiskajiem slimniekiem un to ģimenes locekļiem ” sākotnējās ietekmes novērtējumam ziņojumam (anotācija)</t>
  </si>
  <si>
    <t>Nobrauktie km gadā vidēji 1 komandai</t>
  </si>
  <si>
    <t>izdevumu paskaidrojums</t>
  </si>
  <si>
    <t>2018.gads</t>
  </si>
  <si>
    <t>2019.gads</t>
  </si>
  <si>
    <t>2020.gads</t>
  </si>
  <si>
    <t>u.t.t.</t>
  </si>
  <si>
    <t>Supervīzijas cenas aprēķins vienam darbiniekam</t>
  </si>
  <si>
    <t xml:space="preserve">Speciālistu grupas saskaņā ar MK noteikumu projekta 9.2.apakšpunktu </t>
  </si>
  <si>
    <t>Supervīziju sesiju skaits grupu supervīziju gadījumā*</t>
  </si>
  <si>
    <t>Supervīzijas cena**</t>
  </si>
  <si>
    <t>Aprēķinātais finansējums vienam darbiniekam gadā</t>
  </si>
  <si>
    <t>Supervīzijas cena gadā vienam darbiniekam***</t>
  </si>
  <si>
    <t xml:space="preserve">individuālās </t>
  </si>
  <si>
    <t>grupu</t>
  </si>
  <si>
    <t xml:space="preserve">individuālās supervīzijas </t>
  </si>
  <si>
    <t xml:space="preserve">grupu                            supervīzijas </t>
  </si>
  <si>
    <t>3=2/3h</t>
  </si>
  <si>
    <t>6=2*4</t>
  </si>
  <si>
    <t>7=3*5</t>
  </si>
  <si>
    <t>8=6*5%</t>
  </si>
  <si>
    <t>9=7*95%</t>
  </si>
  <si>
    <t>10=8+9</t>
  </si>
  <si>
    <r>
      <t>*S</t>
    </r>
    <r>
      <rPr>
        <b/>
        <u/>
        <sz val="12"/>
        <color indexed="8"/>
        <rFont val="Times New Roman"/>
        <family val="1"/>
        <charset val="186"/>
      </rPr>
      <t>upervīziju sesiju skaits grupu supervīziju gadījumā</t>
    </r>
    <r>
      <rPr>
        <sz val="12"/>
        <color indexed="8"/>
        <rFont val="Times New Roman"/>
        <family val="1"/>
        <charset val="186"/>
      </rPr>
      <t xml:space="preserve">  tiek aprēķināts pieņemot, ka vienas sesijas ilgums ir 3 stundas</t>
    </r>
  </si>
  <si>
    <r>
      <t>**S</t>
    </r>
    <r>
      <rPr>
        <b/>
        <u/>
        <sz val="12"/>
        <color indexed="8"/>
        <rFont val="Times New Roman"/>
        <family val="1"/>
        <charset val="186"/>
      </rPr>
      <t>upervīzijas cena</t>
    </r>
    <r>
      <rPr>
        <sz val="12"/>
        <color indexed="8"/>
        <rFont val="Times New Roman"/>
        <family val="1"/>
        <charset val="186"/>
      </rPr>
      <t xml:space="preserve">  - pašvaldību darbinieki 2014.gadā ir piedalījušies supervīzijas sesijās, kur:
1) vidējā cena vienam darbiniekam individuālās supervīzijas sesijā, 1 stundas apjoms ir 30 euro,
2) vidējā cena vienam darbiniekma grupas supervīzijas sesijā, 3 stundu apjoms ir 23 euro.          </t>
    </r>
  </si>
  <si>
    <r>
      <t>***</t>
    </r>
    <r>
      <rPr>
        <b/>
        <u/>
        <sz val="12"/>
        <color indexed="8"/>
        <rFont val="Times New Roman"/>
        <family val="1"/>
        <charset val="186"/>
      </rPr>
      <t>Aprēķinātais finansējums vienam darbiniekam</t>
    </r>
    <r>
      <rPr>
        <sz val="12"/>
        <color indexed="8"/>
        <rFont val="Times New Roman"/>
        <family val="1"/>
        <charset val="186"/>
      </rPr>
      <t xml:space="preserve"> - dati no ikgadējo Pārskatu par sociālajiem pakalpojumiem un sociālo palīdzību (novada/republikas pilsētas) pašvaldībā kopsavilkuma par 2014. gadu rāda, ka 95% darbinieku piedalījās grupas supervīzijā un 5% darbinieku – individuālā supervīzijā. Izmantojot minēto proporciju un attiecinot to uz izmaksām par supervīziju arī turpmākajiem gadiem, tiek pieņemts, ka dalība supervīzijā vienam darbiniekam gada laikā izmaksā vidēji 158.10 euro (95% no 138,00 euro + 5% no 540,00 euro)</t>
    </r>
  </si>
  <si>
    <t>Supervīziju stundu skaits gadā līdz 31.12.2017.</t>
  </si>
  <si>
    <t>institūcijas vadītājam un struktūrvienības vadītājam</t>
  </si>
  <si>
    <t>pārējiem darbiniekiem, t.sk., psihologam, sociālajam pedagogam</t>
  </si>
  <si>
    <t>sociālā darba speciālistam</t>
  </si>
  <si>
    <t>kopā (izmaksas 18 h)</t>
  </si>
  <si>
    <t>kopā (izmaksas 21 h)</t>
  </si>
  <si>
    <t>****Supervīziju izmaksas uz speciālistu gadā tiek aprēķinātas ņemot vērā, ka vienam sociālā darba speciālistam, institūcijas vadītājam un struktūrvienības vadītājam, kurš ir tieši iesaistīts sociālā pakalpojuma sniegšanā un organizēšanā, jāsaņem ne mazāk kā 21 stundu gadā, pārējiem darbiniekiem - atbilstoši nepieciešamībai (aprēķinos pieņemts 21 h). Skat.zemāk tabulu "Supervīzijas cenas aprēķins vienam darbiniekam".</t>
  </si>
  <si>
    <t xml:space="preserve">Sagatavoja:
Sandra Strēle, 
Sociālo pakalpojumu departamenta vecākā eksperte
Tālr. 64331831
Sandra.Strele@lm.gov.lv
</t>
  </si>
  <si>
    <t>Kopā 3 komandas</t>
  </si>
  <si>
    <t>Plānotais km skaits uz 1 klientu ir vidēji 388 km gadā (Dati no pakalpojuma sniedzēja). Plānotais klientu skaits (uz 1 komandu), kuriem būs nepieciešams komandas apmeklējumi mājās ir 85 (85% no kopējā vidējā plānotā klientu skaita uz vienu komandu, t.i. 85% no 100 bērniem = 85 bērni, pieņemot, ka pie 15% no kopējā plānotā bērnu skaita vienai multidisciplinārajai komandai pakalpojums tiks nodrošināts attālināti, kā arī klienti pie kuriem speciālisti brauks ar sabiedrisko transportu) (Dati no pakalpojuma sniedzēja). Gadā vidēji (viena komanda) nobrauc 32 980 km, mēnesī vidēji 2 748 km. Degvielas cena vidēji 1.16 euro/l. Automašīnas degvielas patēriņš 100km/7.7l, 1km/0.077l. Degvielas izdevumi par nobrauktu 1 km ir 0.09 euro. Degvielas izdevumi mēnesī par vidēji nobrauktiem 2 748km ir 247.16 euro, gadā par 32 980 km ir 2 9 65.95 euro.  Pielikums Nr. 2.1. un Nr.2.2..</t>
  </si>
  <si>
    <r>
      <t>Atbilstoši citos valsts apmaksātajos sociālās rehabilitācijas pakalpojumiem plānotajos izdevumos, katram pakalpojuma saņēmējam</t>
    </r>
    <r>
      <rPr>
        <b/>
        <i/>
        <sz val="14"/>
        <rFont val="Times New Roman"/>
        <family val="1"/>
        <charset val="186"/>
      </rPr>
      <t xml:space="preserve"> transporta izdevumi nepārsniedz 7 euro apmeklējot konsultāciju speciālistu telpās. </t>
    </r>
    <r>
      <rPr>
        <i/>
        <sz val="14"/>
        <rFont val="Times New Roman"/>
        <family val="1"/>
        <charset val="186"/>
      </rPr>
      <t xml:space="preserve">Vidēji uz vienu komandu plānots, ka gadā 120 ģimenes locekļi saņems vienu individuālo konsultāciju speciālistu telpās (no kopējā skaita 900 aptuveni 13%), </t>
    </r>
    <r>
      <rPr>
        <b/>
        <i/>
        <sz val="14"/>
        <rFont val="Times New Roman"/>
        <family val="1"/>
        <charset val="186"/>
      </rPr>
      <t>7 euro</t>
    </r>
    <r>
      <rPr>
        <i/>
        <sz val="14"/>
        <rFont val="Times New Roman"/>
        <family val="1"/>
        <charset val="186"/>
      </rPr>
      <t xml:space="preserve"> x 120personas = 840.00euro/gadā (70.00 euro/mēnesī). </t>
    </r>
  </si>
  <si>
    <r>
      <t>Atbilstoši citos valsts apmaksātajos sociālās rehabilitācijas pakalpojumiem plānotajos izdevumos, katram pakalpojuma saņēmējam grupu nodarbību organizēšanas izdevumi nepārsniedz</t>
    </r>
    <r>
      <rPr>
        <b/>
        <i/>
        <sz val="14"/>
        <rFont val="Times New Roman"/>
        <family val="1"/>
        <charset val="186"/>
      </rPr>
      <t xml:space="preserve"> 2 euro uz vienu personu</t>
    </r>
    <r>
      <rPr>
        <i/>
        <sz val="14"/>
        <rFont val="Times New Roman"/>
        <family val="1"/>
        <charset val="186"/>
      </rPr>
      <t xml:space="preserve">  vienā nodarbībā. Atbalsta grupu vada sociālais darbinieks un/vai kapelāns.  Grupā piedalās no 6-10 personām. Plānots, ka gadā vidēji tiks organizētas 2 atbalsta grupas/10 personas grupā. 1 grupai 10 nodarbības. KOPĀ gadā 20 nodarbības, 20 personas.   2</t>
    </r>
    <r>
      <rPr>
        <b/>
        <i/>
        <sz val="14"/>
        <rFont val="Times New Roman"/>
        <family val="1"/>
        <charset val="186"/>
      </rPr>
      <t xml:space="preserve"> euro/persona</t>
    </r>
    <r>
      <rPr>
        <i/>
        <sz val="14"/>
        <rFont val="Times New Roman"/>
        <family val="1"/>
        <charset val="186"/>
      </rPr>
      <t xml:space="preserve"> x 10 personas grupā x 10 nodarbības  = 200 euro/grupa x 2 grupas gadā = 400.00 euro gadā. Vidēji izdevumi  uz vienu personu 20.00 euro gadā  un 1.67 euro mēn (400.00 euro/gadā: 20 personas:12mēn).</t>
    </r>
  </si>
  <si>
    <t>slodzes 1 komandā</t>
  </si>
  <si>
    <t>slodzes  3 komandās</t>
  </si>
  <si>
    <t xml:space="preserve"> KOPĀ/ 3 komandas</t>
  </si>
  <si>
    <t>Daudzums</t>
  </si>
  <si>
    <t>Kopā, Euro</t>
  </si>
  <si>
    <t>Kopā izdevumi, EURO</t>
  </si>
  <si>
    <t>mēnesī 3</t>
  </si>
  <si>
    <t>gadā 3</t>
  </si>
  <si>
    <t>mēnsī 1</t>
  </si>
  <si>
    <t xml:space="preserve">gadā 1 </t>
  </si>
  <si>
    <t>Kopā , Euro</t>
  </si>
  <si>
    <r>
      <t>Atbilstoši citos valsts apmaksātajos sociālās rehabilitācijas pakalpojumiem plānotajos izdevumos, katram pakalpojuma saņēmējam</t>
    </r>
    <r>
      <rPr>
        <b/>
        <i/>
        <sz val="14"/>
        <rFont val="Times New Roman"/>
        <family val="1"/>
        <charset val="186"/>
      </rPr>
      <t xml:space="preserve"> transporta izdevumi nepārsniedz 7 euro vienai nodarbībai. </t>
    </r>
    <r>
      <rPr>
        <i/>
        <sz val="14"/>
        <rFont val="Times New Roman"/>
        <family val="1"/>
        <charset val="186"/>
      </rPr>
      <t xml:space="preserve">Vidēji uz vienu multidisciplināro komandu plānots, ka gadā 20 ģimenes locekļi apmeklēs grupu nodarbības, </t>
    </r>
    <r>
      <rPr>
        <b/>
        <i/>
        <sz val="14"/>
        <rFont val="Times New Roman"/>
        <family val="1"/>
        <charset val="186"/>
      </rPr>
      <t>7 euro</t>
    </r>
    <r>
      <rPr>
        <i/>
        <sz val="14"/>
        <rFont val="Times New Roman"/>
        <family val="1"/>
        <charset val="186"/>
      </rPr>
      <t xml:space="preserve"> x 10 nodarbības x 20personas (vidēji 2 grupas, katrā grupā 10 personas) = 1 400euro/gadā (vidēji 116.67 euro/mēnesī). </t>
    </r>
  </si>
  <si>
    <t>mēneš biļete</t>
  </si>
  <si>
    <t>darbinieki 1 komandā*</t>
  </si>
  <si>
    <t>darbinieki  3 komandās*</t>
  </si>
  <si>
    <t>*darbinieku skaits starp speciālistiem ir vidējais, var būt situācija, kad komandā ir piem., 6 soc.darbinieki un 3 kapelāni vai 3 soc.darbinieki un 6kapelāni.</t>
  </si>
  <si>
    <t>Kopā gadā, EURO</t>
  </si>
  <si>
    <t xml:space="preserve">  3 komandas</t>
  </si>
  <si>
    <t xml:space="preserve">       3 komandas</t>
  </si>
  <si>
    <t xml:space="preserve">Izmaksas KOPĀ gadā               euro                                                                                                                                                                                             </t>
  </si>
  <si>
    <t>Kopā mēnesī</t>
  </si>
  <si>
    <t xml:space="preserve">Lai nodrošinātu 9 darbiniekus ar sakaru pakalpojumu (telefonsarunas neierobežotā daudzumā Latvijas teritorijā) nepieciešams 45.00 euro mēnesī (vidējā tirgus cena 5.00 euro mēnesī par pieslēgumu, cena atbilstoši citos valsts apmaksātajos sociālās rehabilitācijas pakalpojumiem plānotajos izdevumos).                                                                                                                                                                                 Lai nodrošinātu tālaprūpes konsultāciju sniegšanu izmantojot interneta tehnoloģijas, mēnesī vidēji nepieciešami 225 euro (15 interneta modēmi x 15 euro (skat.datortehnikas nodrošinājums)).                                                                                                                                                         Kopā mēnesī 270.00 euro, gadā 3 240.00 euro. Pamatojoties uz pakalpojuma sniedzēja sniegto informāciju gadā vidēji 15 datori ar interneta nodrošinājumu/modēmiem tiek izsniegti klientiem lietošanai. </t>
  </si>
  <si>
    <t>Ar pakalpojuma organizēšanu saistītās aktivitātes un izmaksas* KOPĀ:</t>
  </si>
  <si>
    <t>2*</t>
  </si>
  <si>
    <t>*Ar pakalpojuma organizēšanu siastītās plānotās pakalpojuma izmaksas, atbilstoši pakalpojuma faktiskajām izmaksām var tikt savstarpēji pārplānotas.</t>
  </si>
  <si>
    <r>
      <rPr>
        <i/>
        <sz val="12"/>
        <rFont val="Times New Roman"/>
        <family val="1"/>
        <charset val="186"/>
      </rPr>
      <t xml:space="preserve">Saskaņā ar Pasaules Veselības organizācijas piedāvāto aprēķina metodiku, no katriem 50 000 bērniem gada laikā 50 bērniem ar ierobežotu dzīvildzi nepieciešama paliatīvā aprūpe. Piemērojot šo metodiku Latvijas situācijā, paliatīvā aprūpe varētu būt nepieciešama prognozējoši 370 bērniem gadā. Savukārt šo bērnu ģimenēm nepieciešami atbalsta pakalpojumi paliatīvās aprūpes laikā un sērošanas periodā. Saskaņā ar Bērnu paliatīvās aprūpes biedrības novērojumiem, vienības speciālistu atbalstu saņem vidēji 3 ģimenes locekļi uz katru paliatīvajā aprūpē esošo bērnu.
Saskaņā ar iepriekšminēto indikatīvais mērķa grupas lielums 1470 personas (370 bērni un 1100 šo bērnu ģimenes locekļi). 2016. gadā otrajā pusgadā Bērnu klīniskās universitātes slimnīcas un Liepājas reģionālās slimnīcas  bērnu paliatīvās aprūpes vienībās strādājošo multidisciplināro komandu speciālisti dažādas intensitātes paliatīvo aprūpi mājās nodrošināja kopā 294 bērniem.     </t>
    </r>
    <r>
      <rPr>
        <b/>
        <i/>
        <sz val="12"/>
        <rFont val="Times New Roman"/>
        <family val="1"/>
        <charset val="186"/>
      </rPr>
      <t xml:space="preserve">                                                                                                                                                                                                                                                                                                                                                                                                     </t>
    </r>
    <r>
      <rPr>
        <b/>
        <i/>
        <u/>
        <sz val="16"/>
        <rFont val="Times New Roman"/>
        <family val="1"/>
        <charset val="186"/>
      </rPr>
      <t>Vidēji uz vienu komandu gadā plānots: 100 bērni un 300 šo bērnu ģimenes locekļi (kopā:  300 bērni un 900 šo bērnu ģimenes locekļi). Vidēji gadā 400 izbraukumi pie bērniem un ģimenes locekļiem uz mājām (kopā 1200 izbraukumi, vidēji pie viena bērna un viņa ģimenes locekļiem plānoti 4 braucieni gadā).</t>
    </r>
  </si>
  <si>
    <t>Saskaņā ar MK 29.01.2013. noteikumiem Nr.66  atbilstoši 8 mēnešalgu grupai 3 kategorijas max ministriju padotībā esošajās iestādēs  2017.gadam noteiktā mēnešalga 1093.00 euro mēnesī. Aprēķins: plānotā mēnešalga 1 088.17 + VSAOI 24.09% = 1 350.31 euro mēn/1 slodze. Lai nodrošinātu 24h speciālistu noslogotību (12 h 2 darbinieki, 12 stundas 1 darbinieks) nepieciešamas 3.5 slodzes. 3.5 slodzes * mēn.atalgojums 1 350.31 euro = 4 726.09 euro/mēn. Gadā: 4 726.09 euro * 12 mēn = 56 713.03 euro.</t>
  </si>
  <si>
    <r>
      <t xml:space="preserve">Svētku dienas. Viens speciālists: Gadā 15 svētku dienas, t.i. 270h/gadā (15 svētku dienas x 18h (stundu skaits vidēji dienā vienam speciālistam (24h + 12h):2 = 18h dienā)). Darba samaksa par darbu svētku dienās noteikta 100% apmērā no darbiniekam noteiktās stundas likmes, t.i. 6.48euro/h (1 088.17euro :168 (vidējais darba h skaits mēn)).  Vidēji izdevumi mēnesī 144.72 euro ((6.48 + 1.56 euro) x 18h), gadā 1 736.64 euro.                                                                                                                                                                                                                                                                                                            Aprēķins veikts vienam speciālistam, lai aprēķinātu izdevumus abiem speciālistiem rezultāts jāreizina ar 2 (jo h likmes speciālistiem ir vienādas).                                                                                                                                            Kopā. Izdevumi kopā ar VSAOI 24.09% 289.48 euro/mēn, 3 473.73 euro/gadā.    </t>
    </r>
    <r>
      <rPr>
        <b/>
        <i/>
        <sz val="14"/>
        <rFont val="Times New Roman"/>
        <family val="1"/>
        <charset val="186"/>
      </rPr>
      <t xml:space="preserve">  </t>
    </r>
  </si>
  <si>
    <r>
      <t>Nakts darbs.  No 22</t>
    </r>
    <r>
      <rPr>
        <i/>
        <vertAlign val="superscript"/>
        <sz val="14"/>
        <rFont val="Times New Roman"/>
        <family val="1"/>
        <charset val="186"/>
      </rPr>
      <t>00</t>
    </r>
    <r>
      <rPr>
        <i/>
        <sz val="14"/>
        <rFont val="Times New Roman"/>
        <family val="1"/>
        <charset val="186"/>
      </rPr>
      <t xml:space="preserve"> līdz 6</t>
    </r>
    <r>
      <rPr>
        <i/>
        <vertAlign val="superscript"/>
        <sz val="14"/>
        <rFont val="Times New Roman"/>
        <family val="1"/>
        <charset val="186"/>
      </rPr>
      <t>00</t>
    </r>
    <r>
      <rPr>
        <i/>
        <sz val="14"/>
        <rFont val="Times New Roman"/>
        <family val="1"/>
        <charset val="186"/>
      </rPr>
      <t>.</t>
    </r>
    <r>
      <rPr>
        <i/>
        <vertAlign val="superscript"/>
        <sz val="14"/>
        <rFont val="Times New Roman"/>
        <family val="1"/>
        <charset val="186"/>
      </rPr>
      <t xml:space="preserve"> </t>
    </r>
    <r>
      <rPr>
        <i/>
        <sz val="14"/>
        <rFont val="Times New Roman"/>
        <family val="1"/>
        <charset val="186"/>
      </rPr>
      <t xml:space="preserve">8h/diennaktī x 365 dienas = 2 920 h gadā : 12 mēn = vidēji 244h/mēn. Darbinieka darba samaksa 3.24 euro/h (6.48 x 50%) x 244h = 790.56 euro x 12 mēn = 9 486.72 euro/gadā.  Izdevumi kopā ar VSAOI 24.09% 981.01 euro/mēn, 11 7772.07 euro/gadā.                                                                                                                                                                                                                                                                                                                                                                                                          </t>
    </r>
    <r>
      <rPr>
        <b/>
        <i/>
        <sz val="14"/>
        <color rgb="FFFF0000"/>
        <rFont val="Times New Roman"/>
        <family val="1"/>
        <charset val="186"/>
      </rPr>
      <t/>
    </r>
  </si>
  <si>
    <t>Saskaņā ar MK 29.01.2013. noteikumiem Nr.66  atbilstoši 12 mēnešalgu grupai 3 kategorijas max ministriju padotībā esošajās iestādēs  2017.gadam noteiktā alga 1 647 EUR mēnesī. Aprēķins: mēnešalga 1 647 + VSAOI 24.09% = 2 043.76 mēn/1 slodze. Lai nodrošinātu multidisciplinārās komandas vadītājam pakalpojuma "Psihosociālā rehabilitācija paliatīvajā aprūpē esošajiem bērniem un to ģimenes locekļiem" speciālistu darbības plānošanu un koordinēšanu plānota darba samaksa, kas pielīdzināta 30% no 1 slodzei plānotā max atalgojuma.  0.3 * mēn.atalgojums = 613.13 euro/mēn. Gadā: 613.13 euro * 12 mēn = 7 357.54 euro.</t>
  </si>
  <si>
    <t>Sociālās rehabilitācijas pakalpojuma administrēšanas izdevumu nodrošināšana</t>
  </si>
  <si>
    <t>Aprēķins par piemaksām par papildu darbu Labklājības ministrijas speciālistiem saistībā ar pakalpojuma ieviešanas uzraudzību, finansējuma plānošanu un izpildes uzraudzību, kā arī rezultatīvo rādītāju snieguma izvērtēšanu.</t>
  </si>
  <si>
    <t>Nr.</t>
  </si>
  <si>
    <t>Amatu klasifikācija</t>
  </si>
  <si>
    <t>Mēneša alga</t>
  </si>
  <si>
    <t>Amata vienību skaits</t>
  </si>
  <si>
    <t>Plānotais mēnešu skaits</t>
  </si>
  <si>
    <t>Mēneša alga ievērojot amata slodzi</t>
  </si>
  <si>
    <r>
      <t xml:space="preserve">Piemaksa 30% apmērā  par papildus darbu </t>
    </r>
    <r>
      <rPr>
        <sz val="8"/>
        <rFont val="Times New Roman"/>
        <family val="1"/>
        <charset val="186"/>
      </rPr>
      <t>(Valsts un pašvaldību institūciju amatpersonu un darbinieku atlīdzības likuma 14.panta 1. daļa)</t>
    </r>
  </si>
  <si>
    <t>VSAOI</t>
  </si>
  <si>
    <t>KOPĀ atlīdzība</t>
  </si>
  <si>
    <t>Amatu saime (apakšsaime) un līmenis pēc MK 1075</t>
  </si>
  <si>
    <t>Mēneš-algu grupa pēc MK 66</t>
  </si>
  <si>
    <t>Kategorija pēc MK 66</t>
  </si>
  <si>
    <t>KOPĀ 97.01.00."Labklājības nozares vadība un politikas plānošana"*</t>
  </si>
  <si>
    <t>Labklājības ministrijas personāls</t>
  </si>
  <si>
    <t>Vadošais finansists</t>
  </si>
  <si>
    <t>12.1;IIC</t>
  </si>
  <si>
    <t>3</t>
  </si>
  <si>
    <t>Vecākais eksperts</t>
  </si>
  <si>
    <t>36;III</t>
  </si>
  <si>
    <t>26.3;IIIB</t>
  </si>
  <si>
    <t>*Darbinieku motivēšanai (piemaksas par papildu darbu nodrošināšanai) saistībā ar pakalpojuma ieviešanas uzraudzību, finansējuma plānošanu un izpildes uzraudzību, kā arī rezultatīvo rādītāju snieguma izvērtēšanu.</t>
  </si>
  <si>
    <t>Sagatavotājs:I.Ķīse, tel. 67021651</t>
  </si>
  <si>
    <t>Finanšu vadības departamenta direktora vietniece</t>
  </si>
  <si>
    <r>
      <rPr>
        <b/>
        <sz val="11"/>
        <color theme="1"/>
        <rFont val="Calibri"/>
        <family val="1"/>
        <charset val="186"/>
        <scheme val="minor"/>
      </rPr>
      <t>Pakalpojuma</t>
    </r>
    <r>
      <rPr>
        <sz val="11"/>
        <color theme="1"/>
        <rFont val="Calibri"/>
        <family val="1"/>
        <charset val="186"/>
        <scheme val="minor"/>
      </rPr>
      <t xml:space="preserve"> "Psihosociālā rehabilitācija paliatīvajā aprūpē esošajiem bērniem un to ģimenes locekļiem"</t>
    </r>
    <r>
      <rPr>
        <b/>
        <sz val="11"/>
        <color theme="1"/>
        <rFont val="Calibri"/>
        <family val="1"/>
        <charset val="186"/>
        <scheme val="minor"/>
      </rPr>
      <t xml:space="preserve"> groza izmaksas      </t>
    </r>
    <r>
      <rPr>
        <sz val="11"/>
        <color theme="1"/>
        <rFont val="Calibri"/>
        <family val="1"/>
        <charset val="186"/>
        <scheme val="minor"/>
      </rPr>
      <t xml:space="preserve"> </t>
    </r>
  </si>
  <si>
    <t xml:space="preserve">Informācijas sistēmā SPOLIS modulis. Pēc priekšizpētes vidējiem rādītājiem sistēmu projektēšanas un programmēšanas darbu izmaksas uz 01.02.2014. ir 43,54 euro stundā (ar PVN). Apzinot darbu apjomu, programmēšanas darbi pēc provizoriskiem aprēķiniem var sastādīt 1200 stundas. Kopējās programmēšanas izmaksas  43,54euro x 1200h = 52 250 euro (noapaļojot). </t>
  </si>
  <si>
    <t>97.02.00</t>
  </si>
  <si>
    <t>Atbilstoši Sociālo pakalpojumu un sociālās palīdzības likumam un ievērojot citiem pakalpojumiem noteikto administrēšanas izdevumu apjomu - 10% no pakalpojumiem novirzītā finansējuma,t.i. 10% no 475 515.26 euro. Finanšu līdzekļus, kas paredzēti administrēšanas izdevumu segšanai, pakalpojumu sniedzējs var izlietot:
1. pakalpojumu nodrošināšanā iesaistīto darbinieku atlīdzības izdevumiem (izņemot 1.tabulā "Tiešās pakalpojuma aktivitātes un izmaksas" minētajiem darbiniekiem); 
2. darba vietas ierīkošanai 1. tabulā minētajiem darbiniekiem; 
3. telpu īres, apsaimniekošanas izdevumu un komunālo pakalpojumu apmaksai, biroja, kancelejas preču, tehnikas un aprīkojuma iegādei; 
4. transporta izdevumiem, kas saistīti ar līgumsaistību izpildi;
5. citiem izdevumiem, kas saistīti ar pakalpojumu nodrošināšanu.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</si>
</sst>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68"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4"/>
      <name val="Times New Roman"/>
      <family val="1"/>
      <charset val="186"/>
    </font>
    <font>
      <b/>
      <sz val="16"/>
      <name val="Times New Roman"/>
      <family val="1"/>
      <charset val="186"/>
    </font>
    <font>
      <b/>
      <i/>
      <sz val="16"/>
      <name val="Times New Roman"/>
      <family val="1"/>
      <charset val="186"/>
    </font>
    <font>
      <b/>
      <sz val="11"/>
      <color theme="1"/>
      <name val="Calibri"/>
      <family val="2"/>
      <charset val="186"/>
      <scheme val="minor"/>
    </font>
    <font>
      <b/>
      <sz val="14"/>
      <name val="Times New Roman"/>
      <family val="1"/>
      <charset val="186"/>
    </font>
    <font>
      <b/>
      <sz val="10"/>
      <name val="Times New Roman"/>
      <family val="1"/>
      <charset val="186"/>
    </font>
    <font>
      <i/>
      <sz val="14"/>
      <name val="Times New Roman"/>
      <family val="1"/>
      <charset val="186"/>
    </font>
    <font>
      <sz val="9"/>
      <color indexed="81"/>
      <name val="Tahoma"/>
      <family val="2"/>
      <charset val="186"/>
    </font>
    <font>
      <b/>
      <sz val="9"/>
      <color indexed="81"/>
      <name val="Tahoma"/>
      <family val="2"/>
      <charset val="186"/>
    </font>
    <font>
      <sz val="12"/>
      <name val="Times New Roman"/>
      <family val="1"/>
      <charset val="186"/>
    </font>
    <font>
      <sz val="10"/>
      <name val="Times New Roman"/>
      <family val="1"/>
      <charset val="186"/>
    </font>
    <font>
      <b/>
      <sz val="12"/>
      <name val="Times New Roman"/>
      <family val="1"/>
      <charset val="186"/>
    </font>
    <font>
      <u/>
      <sz val="12"/>
      <name val="Times New Roman"/>
      <family val="1"/>
      <charset val="186"/>
    </font>
    <font>
      <sz val="11"/>
      <color rgb="FFFF0000"/>
      <name val="Calibri"/>
      <family val="2"/>
      <scheme val="minor"/>
    </font>
    <font>
      <sz val="11"/>
      <name val="Calibri"/>
      <family val="2"/>
      <scheme val="minor"/>
    </font>
    <font>
      <b/>
      <sz val="18"/>
      <name val="Times New Roman"/>
      <family val="1"/>
      <charset val="186"/>
    </font>
    <font>
      <i/>
      <sz val="13"/>
      <name val="Times New Roman"/>
      <family val="1"/>
      <charset val="186"/>
    </font>
    <font>
      <b/>
      <i/>
      <sz val="14"/>
      <name val="Times New Roman"/>
      <family val="1"/>
      <charset val="186"/>
    </font>
    <font>
      <i/>
      <vertAlign val="superscript"/>
      <sz val="14"/>
      <name val="Times New Roman"/>
      <family val="1"/>
      <charset val="186"/>
    </font>
    <font>
      <b/>
      <i/>
      <sz val="14"/>
      <color rgb="FFFF0000"/>
      <name val="Times New Roman"/>
      <family val="1"/>
      <charset val="186"/>
    </font>
    <font>
      <b/>
      <i/>
      <sz val="12"/>
      <name val="Times New Roman"/>
      <family val="1"/>
      <charset val="186"/>
    </font>
    <font>
      <i/>
      <sz val="12"/>
      <name val="Times New Roman"/>
      <family val="1"/>
      <charset val="186"/>
    </font>
    <font>
      <sz val="11"/>
      <name val="Times New Roman"/>
      <family val="1"/>
      <charset val="186"/>
    </font>
    <font>
      <b/>
      <sz val="11"/>
      <color theme="1"/>
      <name val="Times New Roman"/>
      <family val="1"/>
      <charset val="186"/>
    </font>
    <font>
      <sz val="11"/>
      <color theme="1"/>
      <name val="Times New Roman"/>
      <family val="1"/>
      <charset val="186"/>
    </font>
    <font>
      <sz val="8"/>
      <color theme="1"/>
      <name val="Times New Roman"/>
      <family val="1"/>
      <charset val="186"/>
    </font>
    <font>
      <b/>
      <sz val="14"/>
      <color theme="1"/>
      <name val="Times New Roman"/>
      <family val="1"/>
      <charset val="186"/>
    </font>
    <font>
      <b/>
      <sz val="10"/>
      <color rgb="FF000000"/>
      <name val="Times New Roman"/>
      <family val="1"/>
      <charset val="186"/>
    </font>
    <font>
      <b/>
      <sz val="10"/>
      <color theme="1"/>
      <name val="Times New Roman"/>
      <family val="1"/>
      <charset val="186"/>
    </font>
    <font>
      <sz val="10"/>
      <color theme="1"/>
      <name val="Times New Roman"/>
      <family val="1"/>
      <charset val="186"/>
    </font>
    <font>
      <b/>
      <sz val="16"/>
      <color theme="1"/>
      <name val="Times New Roman"/>
      <family val="1"/>
      <charset val="186"/>
    </font>
    <font>
      <b/>
      <sz val="14"/>
      <color theme="1"/>
      <name val="Calibri"/>
      <family val="2"/>
      <charset val="186"/>
      <scheme val="minor"/>
    </font>
    <font>
      <b/>
      <sz val="11"/>
      <name val="Times New Roman"/>
      <family val="1"/>
      <charset val="186"/>
    </font>
    <font>
      <sz val="8"/>
      <name val="Times New Roman"/>
      <family val="1"/>
      <charset val="186"/>
    </font>
    <font>
      <sz val="7.5"/>
      <name val="Times New Roman"/>
      <family val="1"/>
      <charset val="186"/>
    </font>
    <font>
      <i/>
      <sz val="9"/>
      <name val="Times New Roman"/>
      <family val="1"/>
      <charset val="186"/>
    </font>
    <font>
      <b/>
      <u/>
      <sz val="14"/>
      <color theme="1"/>
      <name val="Times New Roman"/>
      <family val="1"/>
      <charset val="186"/>
    </font>
    <font>
      <sz val="14"/>
      <color theme="1"/>
      <name val="Times New Roman"/>
      <family val="1"/>
      <charset val="186"/>
    </font>
    <font>
      <i/>
      <sz val="11"/>
      <color theme="1"/>
      <name val="Times New Roman"/>
      <family val="1"/>
      <charset val="186"/>
    </font>
    <font>
      <sz val="12"/>
      <color theme="1"/>
      <name val="Times New Roman"/>
      <family val="1"/>
      <charset val="186"/>
    </font>
    <font>
      <b/>
      <sz val="12"/>
      <color theme="1"/>
      <name val="Times New Roman"/>
      <family val="1"/>
      <charset val="186"/>
    </font>
    <font>
      <b/>
      <u/>
      <sz val="12"/>
      <color indexed="8"/>
      <name val="Times New Roman"/>
      <family val="1"/>
      <charset val="186"/>
    </font>
    <font>
      <sz val="12"/>
      <color indexed="8"/>
      <name val="Times New Roman"/>
      <family val="1"/>
      <charset val="186"/>
    </font>
    <font>
      <i/>
      <sz val="10"/>
      <name val="Times New Roman"/>
      <family val="1"/>
      <charset val="186"/>
    </font>
    <font>
      <sz val="11"/>
      <color rgb="FFFF0000"/>
      <name val="Times New Roman"/>
      <family val="1"/>
      <charset val="186"/>
    </font>
    <font>
      <b/>
      <i/>
      <u/>
      <sz val="16"/>
      <name val="Times New Roman"/>
      <family val="1"/>
      <charset val="186"/>
    </font>
    <font>
      <sz val="13"/>
      <name val="Times New Roman"/>
      <family val="1"/>
      <charset val="186"/>
    </font>
    <font>
      <sz val="16"/>
      <name val="Times New Roman"/>
      <family val="1"/>
      <charset val="186"/>
    </font>
    <font>
      <b/>
      <u/>
      <sz val="20"/>
      <name val="Times New Roman"/>
      <family val="1"/>
      <charset val="186"/>
    </font>
    <font>
      <b/>
      <u/>
      <sz val="18"/>
      <name val="Times New Roman"/>
      <family val="1"/>
      <charset val="186"/>
    </font>
    <font>
      <b/>
      <sz val="8"/>
      <name val="Times New Roman"/>
      <family val="1"/>
      <charset val="186"/>
    </font>
    <font>
      <b/>
      <sz val="11"/>
      <color indexed="8"/>
      <name val="Times New Roman"/>
      <family val="1"/>
      <charset val="186"/>
    </font>
    <font>
      <sz val="10"/>
      <name val="Times New Roman Baltic"/>
      <charset val="186"/>
    </font>
    <font>
      <sz val="14"/>
      <name val="Times New Roman"/>
      <family val="1"/>
      <charset val="186"/>
    </font>
    <font>
      <sz val="10"/>
      <color rgb="FFFF0000"/>
      <name val="Times New Roman"/>
      <family val="1"/>
      <charset val="186"/>
    </font>
    <font>
      <b/>
      <sz val="14"/>
      <name val="Times New Roman"/>
      <family val="1"/>
      <charset val="186"/>
    </font>
    <font>
      <sz val="10"/>
      <name val="Times New Roman"/>
      <family val="1"/>
      <charset val="186"/>
    </font>
    <font>
      <sz val="12"/>
      <name val="Times New Roman"/>
      <family val="1"/>
      <charset val="186"/>
    </font>
    <font>
      <b/>
      <sz val="11"/>
      <color theme="1"/>
      <name val="Calibri"/>
      <family val="1"/>
      <charset val="186"/>
      <scheme val="minor"/>
    </font>
    <font>
      <sz val="11"/>
      <color theme="1"/>
      <name val="Calibri"/>
      <family val="1"/>
      <charset val="186"/>
      <scheme val="minor"/>
    </font>
    <font>
      <b/>
      <sz val="12"/>
      <name val="Times New Roman"/>
      <family val="1"/>
      <charset val="186"/>
    </font>
    <font>
      <b/>
      <sz val="12"/>
      <color rgb="FFFF0000"/>
      <name val="Times New Roman"/>
      <family val="1"/>
      <charset val="186"/>
    </font>
    <font>
      <b/>
      <sz val="10"/>
      <color rgb="FFFF0000"/>
      <name val="Times New Roman"/>
      <family val="1"/>
      <charset val="186"/>
    </font>
    <font>
      <b/>
      <sz val="14"/>
      <color rgb="FFFF0000"/>
      <name val="Times New Roman"/>
      <family val="1"/>
      <charset val="186"/>
    </font>
    <font>
      <sz val="11"/>
      <name val="Times New Roman"/>
      <family val="1"/>
      <charset val="186"/>
    </font>
  </fonts>
  <fills count="13">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rgb="FFFFC000"/>
        <bgColor indexed="64"/>
      </patternFill>
    </fill>
    <fill>
      <patternFill patternType="solid">
        <fgColor theme="0" tint="-4.9989318521683403E-2"/>
        <bgColor indexed="64"/>
      </patternFill>
    </fill>
    <fill>
      <patternFill patternType="solid">
        <fgColor indexed="52"/>
        <bgColor indexed="13"/>
      </patternFill>
    </fill>
    <fill>
      <patternFill patternType="solid">
        <fgColor indexed="47"/>
        <bgColor indexed="22"/>
      </patternFill>
    </fill>
    <fill>
      <patternFill patternType="solid">
        <fgColor rgb="FFFFFF00"/>
        <bgColor indexed="13"/>
      </patternFill>
    </fill>
    <fill>
      <patternFill patternType="solid">
        <fgColor indexed="51"/>
        <bgColor indexed="13"/>
      </patternFill>
    </fill>
    <fill>
      <patternFill patternType="solid">
        <fgColor indexed="9"/>
        <bgColor indexed="41"/>
      </patternFill>
    </fill>
  </fills>
  <borders count="86">
    <border>
      <left/>
      <right/>
      <top/>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diagonalUp="1" diagonalDown="1">
      <left style="thin">
        <color indexed="64"/>
      </left>
      <right style="thin">
        <color indexed="64"/>
      </right>
      <top style="thin">
        <color indexed="64"/>
      </top>
      <bottom style="thin">
        <color indexed="64"/>
      </bottom>
      <diagonal style="dotted">
        <color indexed="64"/>
      </diagonal>
    </border>
    <border diagonalUp="1" diagonalDown="1">
      <left style="thin">
        <color indexed="64"/>
      </left>
      <right/>
      <top style="thin">
        <color indexed="64"/>
      </top>
      <bottom style="thin">
        <color indexed="64"/>
      </bottom>
      <diagonal style="dotted">
        <color indexed="64"/>
      </diagonal>
    </border>
    <border diagonalUp="1" diagonalDown="1">
      <left/>
      <right style="thin">
        <color indexed="64"/>
      </right>
      <top style="thin">
        <color indexed="64"/>
      </top>
      <bottom style="thin">
        <color indexed="64"/>
      </bottom>
      <diagonal style="dotted">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55" fillId="0" borderId="0"/>
  </cellStyleXfs>
  <cellXfs count="541">
    <xf numFmtId="0" fontId="0" fillId="0" borderId="0" xfId="0"/>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3" fontId="9" fillId="0" borderId="15" xfId="0" applyNumberFormat="1" applyFont="1" applyBorder="1" applyAlignment="1">
      <alignment horizontal="right" vertical="center"/>
    </xf>
    <xf numFmtId="4" fontId="9" fillId="0" borderId="15" xfId="0" applyNumberFormat="1" applyFont="1" applyBorder="1" applyAlignment="1">
      <alignment horizontal="right" vertical="center"/>
    </xf>
    <xf numFmtId="0" fontId="6" fillId="0" borderId="0" xfId="0" applyFont="1"/>
    <xf numFmtId="0" fontId="16" fillId="0" borderId="0" xfId="0" applyFont="1"/>
    <xf numFmtId="0" fontId="12" fillId="0" borderId="15" xfId="0" applyFont="1" applyFill="1" applyBorder="1" applyAlignment="1">
      <alignment horizontal="center" wrapText="1"/>
    </xf>
    <xf numFmtId="0" fontId="17" fillId="0" borderId="0" xfId="0" applyFont="1"/>
    <xf numFmtId="4" fontId="14" fillId="0" borderId="15" xfId="0" applyNumberFormat="1" applyFont="1" applyFill="1" applyBorder="1" applyAlignment="1">
      <alignment horizontal="center"/>
    </xf>
    <xf numFmtId="0" fontId="12" fillId="0" borderId="15" xfId="0" applyFont="1" applyFill="1" applyBorder="1" applyAlignment="1">
      <alignment horizontal="center"/>
    </xf>
    <xf numFmtId="0" fontId="14" fillId="0" borderId="15" xfId="0" applyFont="1" applyFill="1" applyBorder="1" applyAlignment="1">
      <alignment horizontal="right" vertical="center" wrapText="1"/>
    </xf>
    <xf numFmtId="1" fontId="14" fillId="0" borderId="15" xfId="0" applyNumberFormat="1" applyFont="1" applyFill="1" applyBorder="1" applyAlignment="1">
      <alignment horizontal="center"/>
    </xf>
    <xf numFmtId="2" fontId="14" fillId="0" borderId="15" xfId="0" applyNumberFormat="1" applyFont="1" applyFill="1" applyBorder="1" applyAlignment="1">
      <alignment horizontal="center"/>
    </xf>
    <xf numFmtId="0" fontId="14" fillId="0" borderId="15" xfId="0" applyFont="1" applyFill="1" applyBorder="1" applyAlignment="1">
      <alignment horizontal="center" wrapText="1"/>
    </xf>
    <xf numFmtId="1" fontId="12" fillId="0" borderId="15" xfId="0" applyNumberFormat="1" applyFont="1" applyFill="1" applyBorder="1" applyAlignment="1">
      <alignment horizontal="right"/>
    </xf>
    <xf numFmtId="4" fontId="12" fillId="0" borderId="15" xfId="0" applyNumberFormat="1" applyFont="1" applyFill="1" applyBorder="1" applyAlignment="1">
      <alignment horizontal="right"/>
    </xf>
    <xf numFmtId="0" fontId="12" fillId="0" borderId="15" xfId="0" applyFont="1" applyFill="1" applyBorder="1" applyAlignment="1">
      <alignment horizontal="right" vertical="center" wrapText="1"/>
    </xf>
    <xf numFmtId="49" fontId="13" fillId="0" borderId="15" xfId="0" applyNumberFormat="1" applyFont="1" applyFill="1" applyBorder="1" applyAlignment="1">
      <alignment horizontal="center"/>
    </xf>
    <xf numFmtId="49" fontId="13" fillId="0" borderId="15" xfId="0" applyNumberFormat="1" applyFont="1" applyFill="1" applyBorder="1" applyAlignment="1">
      <alignment horizontal="center" wrapText="1"/>
    </xf>
    <xf numFmtId="49" fontId="17" fillId="0" borderId="0" xfId="0" applyNumberFormat="1" applyFont="1"/>
    <xf numFmtId="4" fontId="14" fillId="0" borderId="15" xfId="0" applyNumberFormat="1" applyFont="1" applyFill="1" applyBorder="1" applyAlignment="1">
      <alignment horizontal="right"/>
    </xf>
    <xf numFmtId="4" fontId="3" fillId="0" borderId="7" xfId="0" applyNumberFormat="1" applyFont="1" applyFill="1" applyBorder="1" applyAlignment="1">
      <alignment horizontal="right" vertical="center"/>
    </xf>
    <xf numFmtId="4" fontId="3" fillId="0" borderId="15" xfId="0" applyNumberFormat="1" applyFont="1" applyFill="1" applyBorder="1" applyAlignment="1">
      <alignment horizontal="right" vertical="center"/>
    </xf>
    <xf numFmtId="3" fontId="9" fillId="0" borderId="15" xfId="0" applyNumberFormat="1" applyFont="1" applyFill="1" applyBorder="1" applyAlignment="1">
      <alignment horizontal="center" vertical="center" wrapText="1"/>
    </xf>
    <xf numFmtId="0" fontId="6" fillId="0" borderId="0" xfId="0" applyFont="1" applyAlignment="1">
      <alignment horizontal="center"/>
    </xf>
    <xf numFmtId="0" fontId="6" fillId="0" borderId="15" xfId="0" applyFont="1" applyBorder="1" applyAlignment="1">
      <alignment horizontal="center"/>
    </xf>
    <xf numFmtId="0" fontId="0" fillId="5" borderId="15" xfId="0" applyFill="1" applyBorder="1" applyAlignment="1">
      <alignment horizontal="center"/>
    </xf>
    <xf numFmtId="0" fontId="0" fillId="0" borderId="15" xfId="0" applyBorder="1" applyAlignment="1">
      <alignment horizontal="center"/>
    </xf>
    <xf numFmtId="0" fontId="0" fillId="0" borderId="15" xfId="0" applyBorder="1"/>
    <xf numFmtId="4" fontId="3" fillId="0" borderId="12" xfId="0" applyNumberFormat="1" applyFont="1" applyFill="1" applyBorder="1" applyAlignment="1">
      <alignment horizontal="right" vertical="center"/>
    </xf>
    <xf numFmtId="4" fontId="3" fillId="0" borderId="19" xfId="0" applyNumberFormat="1" applyFont="1" applyBorder="1" applyAlignment="1">
      <alignment horizontal="right" vertical="center" wrapText="1"/>
    </xf>
    <xf numFmtId="0" fontId="24" fillId="0" borderId="0" xfId="0" applyFont="1" applyAlignment="1">
      <alignment horizontal="center"/>
    </xf>
    <xf numFmtId="0" fontId="3" fillId="0" borderId="38"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xf>
    <xf numFmtId="0" fontId="3" fillId="0" borderId="0" xfId="0" applyFont="1" applyAlignment="1">
      <alignment horizontal="center" vertical="center"/>
    </xf>
    <xf numFmtId="0" fontId="7" fillId="3" borderId="39" xfId="0" applyFont="1" applyFill="1" applyBorder="1" applyAlignment="1">
      <alignment horizontal="center" vertical="center"/>
    </xf>
    <xf numFmtId="0" fontId="9" fillId="0" borderId="27" xfId="0" applyFont="1" applyBorder="1" applyAlignment="1">
      <alignment horizontal="right" vertical="center" wrapText="1"/>
    </xf>
    <xf numFmtId="0" fontId="9" fillId="0" borderId="37" xfId="0" applyFont="1" applyFill="1" applyBorder="1" applyAlignment="1">
      <alignment horizontal="right" vertical="center" wrapText="1"/>
    </xf>
    <xf numFmtId="0" fontId="3" fillId="0" borderId="43" xfId="0" applyFont="1" applyFill="1" applyBorder="1" applyAlignment="1">
      <alignment horizontal="left" vertical="center" wrapText="1"/>
    </xf>
    <xf numFmtId="0" fontId="3" fillId="0" borderId="7" xfId="0" applyFont="1" applyBorder="1" applyAlignment="1">
      <alignment horizontal="center" vertical="center" wrapText="1"/>
    </xf>
    <xf numFmtId="4" fontId="3" fillId="0" borderId="44" xfId="0" applyNumberFormat="1" applyFont="1" applyBorder="1" applyAlignment="1">
      <alignment horizontal="right" vertical="center" wrapText="1"/>
    </xf>
    <xf numFmtId="0" fontId="3" fillId="0" borderId="14" xfId="0" applyFont="1" applyBorder="1" applyAlignment="1">
      <alignment horizontal="right" vertical="center"/>
    </xf>
    <xf numFmtId="0" fontId="3" fillId="0" borderId="11" xfId="0" applyFont="1" applyBorder="1" applyAlignment="1">
      <alignment horizontal="left" vertical="center"/>
    </xf>
    <xf numFmtId="0" fontId="3" fillId="0" borderId="14" xfId="0" applyFont="1" applyBorder="1" applyAlignment="1">
      <alignment horizontal="left" vertical="center"/>
    </xf>
    <xf numFmtId="0" fontId="3" fillId="0" borderId="6" xfId="0" applyFont="1" applyBorder="1" applyAlignment="1">
      <alignment horizontal="left" vertical="center"/>
    </xf>
    <xf numFmtId="14" fontId="3" fillId="0" borderId="14" xfId="0" applyNumberFormat="1" applyFont="1" applyBorder="1" applyAlignment="1">
      <alignment horizontal="right" vertical="center"/>
    </xf>
    <xf numFmtId="3" fontId="7" fillId="2" borderId="39" xfId="0" applyNumberFormat="1" applyFont="1" applyFill="1" applyBorder="1" applyAlignment="1">
      <alignment horizontal="center" vertical="center" wrapText="1"/>
    </xf>
    <xf numFmtId="0" fontId="27" fillId="0" borderId="0" xfId="0" applyFont="1"/>
    <xf numFmtId="0" fontId="28" fillId="0" borderId="0" xfId="0" applyFont="1" applyAlignment="1">
      <alignment horizontal="center" wrapText="1"/>
    </xf>
    <xf numFmtId="0" fontId="25" fillId="0" borderId="0" xfId="0" applyFont="1" applyAlignment="1">
      <alignment vertical="center"/>
    </xf>
    <xf numFmtId="0" fontId="27" fillId="0" borderId="28" xfId="0" applyFont="1" applyBorder="1"/>
    <xf numFmtId="2" fontId="26" fillId="0" borderId="0" xfId="0" applyNumberFormat="1" applyFont="1"/>
    <xf numFmtId="0" fontId="7" fillId="0" borderId="0" xfId="0" applyFont="1" applyAlignment="1">
      <alignment vertical="center"/>
    </xf>
    <xf numFmtId="0" fontId="27" fillId="0" borderId="0" xfId="0" applyFont="1" applyBorder="1"/>
    <xf numFmtId="164" fontId="29" fillId="0" borderId="0" xfId="0" applyNumberFormat="1" applyFont="1" applyAlignment="1">
      <alignment horizontal="center"/>
    </xf>
    <xf numFmtId="164" fontId="27" fillId="0" borderId="0" xfId="0" applyNumberFormat="1" applyFont="1" applyAlignment="1">
      <alignment horizontal="center"/>
    </xf>
    <xf numFmtId="0" fontId="27" fillId="0" borderId="0" xfId="0" applyFont="1" applyAlignment="1">
      <alignment horizontal="center"/>
    </xf>
    <xf numFmtId="0" fontId="8" fillId="0" borderId="0" xfId="0" applyFont="1"/>
    <xf numFmtId="0" fontId="30" fillId="0" borderId="0" xfId="0" applyFont="1"/>
    <xf numFmtId="3" fontId="9" fillId="0" borderId="15" xfId="0" applyNumberFormat="1" applyFont="1" applyBorder="1" applyAlignment="1">
      <alignment horizontal="center" vertical="center" wrapText="1"/>
    </xf>
    <xf numFmtId="0" fontId="31" fillId="0" borderId="0" xfId="0" applyFont="1"/>
    <xf numFmtId="0" fontId="32" fillId="0" borderId="0" xfId="0" applyFont="1"/>
    <xf numFmtId="0" fontId="27" fillId="0" borderId="0" xfId="0" applyFont="1" applyFill="1"/>
    <xf numFmtId="0" fontId="27" fillId="0" borderId="20" xfId="0" applyFont="1" applyBorder="1" applyAlignment="1">
      <alignment horizontal="center"/>
    </xf>
    <xf numFmtId="0" fontId="27" fillId="0" borderId="31" xfId="0" applyFont="1" applyBorder="1" applyAlignment="1">
      <alignment horizontal="center"/>
    </xf>
    <xf numFmtId="0" fontId="27" fillId="0" borderId="32" xfId="0" applyFont="1" applyBorder="1"/>
    <xf numFmtId="0" fontId="27" fillId="0" borderId="33" xfId="0" applyFont="1" applyBorder="1"/>
    <xf numFmtId="0" fontId="27" fillId="0" borderId="32" xfId="0" applyFont="1" applyFill="1" applyBorder="1"/>
    <xf numFmtId="0" fontId="27" fillId="0" borderId="33" xfId="0" applyFont="1" applyFill="1" applyBorder="1"/>
    <xf numFmtId="0" fontId="26" fillId="0" borderId="0" xfId="0" applyFont="1" applyAlignment="1">
      <alignment horizontal="center" vertical="center" wrapText="1"/>
    </xf>
    <xf numFmtId="0" fontId="27" fillId="0" borderId="32" xfId="0" applyFont="1" applyBorder="1" applyAlignment="1">
      <alignment vertical="center" wrapText="1"/>
    </xf>
    <xf numFmtId="0" fontId="27" fillId="0" borderId="33" xfId="0" applyFont="1" applyBorder="1" applyAlignment="1">
      <alignment vertical="center" wrapText="1"/>
    </xf>
    <xf numFmtId="0" fontId="27" fillId="0" borderId="32" xfId="0" applyFont="1" applyFill="1" applyBorder="1" applyAlignment="1">
      <alignment vertical="center" wrapText="1"/>
    </xf>
    <xf numFmtId="0" fontId="27" fillId="0" borderId="33" xfId="0" applyFont="1" applyFill="1" applyBorder="1" applyAlignment="1">
      <alignment vertical="center" wrapText="1"/>
    </xf>
    <xf numFmtId="0" fontId="27" fillId="0" borderId="21" xfId="0" applyFont="1" applyBorder="1" applyAlignment="1">
      <alignment vertical="center" wrapText="1"/>
    </xf>
    <xf numFmtId="0" fontId="27" fillId="0" borderId="34" xfId="0" applyFont="1" applyBorder="1" applyAlignment="1">
      <alignment vertical="center" wrapText="1"/>
    </xf>
    <xf numFmtId="0" fontId="27" fillId="0" borderId="21" xfId="0" applyFont="1" applyFill="1" applyBorder="1" applyAlignment="1">
      <alignment vertical="center" wrapText="1"/>
    </xf>
    <xf numFmtId="0" fontId="27" fillId="0" borderId="34" xfId="0" applyFont="1" applyFill="1" applyBorder="1" applyAlignment="1">
      <alignment vertical="center" wrapText="1"/>
    </xf>
    <xf numFmtId="2" fontId="26" fillId="0" borderId="0" xfId="0" applyNumberFormat="1" applyFont="1" applyFill="1"/>
    <xf numFmtId="2" fontId="26" fillId="0" borderId="30" xfId="0" applyNumberFormat="1" applyFont="1" applyBorder="1"/>
    <xf numFmtId="0" fontId="27" fillId="0" borderId="0" xfId="0" applyFont="1" applyFill="1" applyAlignment="1">
      <alignment horizontal="center"/>
    </xf>
    <xf numFmtId="0" fontId="6" fillId="0" borderId="46" xfId="0" applyFont="1" applyBorder="1"/>
    <xf numFmtId="0" fontId="2" fillId="0" borderId="15" xfId="0" applyFont="1" applyBorder="1" applyAlignment="1">
      <alignment horizontal="center"/>
    </xf>
    <xf numFmtId="0" fontId="0" fillId="0" borderId="25" xfId="0" applyBorder="1"/>
    <xf numFmtId="0" fontId="0" fillId="0" borderId="25" xfId="0" applyBorder="1" applyAlignment="1">
      <alignment horizontal="center"/>
    </xf>
    <xf numFmtId="0" fontId="0" fillId="5" borderId="25" xfId="0" applyFill="1" applyBorder="1" applyAlignment="1">
      <alignment horizontal="center"/>
    </xf>
    <xf numFmtId="0" fontId="6" fillId="0" borderId="14" xfId="0" applyFont="1" applyBorder="1" applyAlignment="1">
      <alignment horizontal="center"/>
    </xf>
    <xf numFmtId="0" fontId="0" fillId="0" borderId="16" xfId="0" applyBorder="1"/>
    <xf numFmtId="0" fontId="6" fillId="0" borderId="6" xfId="0" applyFont="1" applyBorder="1" applyAlignment="1">
      <alignment horizontal="center"/>
    </xf>
    <xf numFmtId="0" fontId="0" fillId="0" borderId="8" xfId="0" applyBorder="1"/>
    <xf numFmtId="164" fontId="27" fillId="0" borderId="0" xfId="0" applyNumberFormat="1" applyFont="1" applyFill="1"/>
    <xf numFmtId="2" fontId="27" fillId="0" borderId="0" xfId="0" applyNumberFormat="1" applyFont="1"/>
    <xf numFmtId="0" fontId="3" fillId="7" borderId="11" xfId="0" applyFont="1" applyFill="1" applyBorder="1" applyAlignment="1">
      <alignment horizontal="left" vertical="center"/>
    </xf>
    <xf numFmtId="0" fontId="3" fillId="7" borderId="15" xfId="0" applyFont="1" applyFill="1" applyBorder="1" applyAlignment="1">
      <alignment horizontal="center" vertical="center" wrapText="1"/>
    </xf>
    <xf numFmtId="0" fontId="3" fillId="7" borderId="14" xfId="0" applyFont="1" applyFill="1" applyBorder="1" applyAlignment="1">
      <alignment horizontal="left" vertical="center"/>
    </xf>
    <xf numFmtId="0" fontId="3" fillId="0" borderId="6" xfId="0" applyFont="1" applyBorder="1" applyAlignment="1">
      <alignment horizontal="right" vertical="center"/>
    </xf>
    <xf numFmtId="0" fontId="9" fillId="0" borderId="43" xfId="0" applyFont="1" applyBorder="1" applyAlignment="1">
      <alignment horizontal="right" vertical="center" wrapText="1"/>
    </xf>
    <xf numFmtId="3" fontId="9" fillId="0" borderId="7" xfId="0" applyNumberFormat="1" applyFont="1" applyFill="1" applyBorder="1" applyAlignment="1">
      <alignment horizontal="center" vertical="center" wrapText="1"/>
    </xf>
    <xf numFmtId="0" fontId="3" fillId="0" borderId="0" xfId="0" applyFont="1"/>
    <xf numFmtId="0" fontId="3" fillId="0" borderId="0" xfId="0" applyFont="1" applyAlignment="1">
      <alignment horizontal="left" vertical="center"/>
    </xf>
    <xf numFmtId="2" fontId="3" fillId="0" borderId="0" xfId="0" applyNumberFormat="1" applyFont="1" applyAlignment="1">
      <alignment horizontal="left" vertical="center"/>
    </xf>
    <xf numFmtId="0" fontId="3" fillId="0" borderId="15" xfId="0" applyFont="1" applyBorder="1" applyAlignment="1">
      <alignment horizontal="left" vertical="center"/>
    </xf>
    <xf numFmtId="2" fontId="3" fillId="0" borderId="15" xfId="0" applyNumberFormat="1" applyFont="1" applyBorder="1" applyAlignment="1">
      <alignment horizontal="left" vertical="center"/>
    </xf>
    <xf numFmtId="0" fontId="3" fillId="0" borderId="0" xfId="0" applyFont="1" applyBorder="1" applyAlignment="1">
      <alignment horizontal="left" vertical="center"/>
    </xf>
    <xf numFmtId="2" fontId="3" fillId="0" borderId="0" xfId="0" applyNumberFormat="1" applyFont="1" applyBorder="1" applyAlignment="1">
      <alignment horizontal="left" vertical="center"/>
    </xf>
    <xf numFmtId="0" fontId="36" fillId="0" borderId="0" xfId="0" applyFont="1" applyAlignment="1">
      <alignment horizontal="center" wrapText="1"/>
    </xf>
    <xf numFmtId="0" fontId="3" fillId="0" borderId="15" xfId="0" applyFont="1" applyBorder="1" applyAlignment="1">
      <alignment horizontal="center" vertical="center"/>
    </xf>
    <xf numFmtId="0" fontId="36" fillId="0" borderId="0" xfId="0" applyFont="1" applyAlignment="1">
      <alignment horizontal="center"/>
    </xf>
    <xf numFmtId="2" fontId="3" fillId="0" borderId="15" xfId="0" applyNumberFormat="1" applyFont="1" applyBorder="1" applyAlignment="1">
      <alignment horizontal="center" vertical="center"/>
    </xf>
    <xf numFmtId="4" fontId="3" fillId="0" borderId="15" xfId="0" applyNumberFormat="1" applyFont="1" applyBorder="1" applyAlignment="1">
      <alignment horizontal="center" vertical="center" wrapText="1"/>
    </xf>
    <xf numFmtId="0" fontId="7" fillId="3" borderId="15" xfId="0" applyFont="1" applyFill="1" applyBorder="1" applyAlignment="1">
      <alignment horizontal="center" vertical="center"/>
    </xf>
    <xf numFmtId="2" fontId="7" fillId="3" borderId="15" xfId="0" applyNumberFormat="1" applyFont="1" applyFill="1" applyBorder="1" applyAlignment="1">
      <alignment horizontal="center" vertical="center"/>
    </xf>
    <xf numFmtId="2" fontId="24" fillId="0" borderId="0" xfId="0" applyNumberFormat="1" applyFont="1" applyBorder="1" applyAlignment="1">
      <alignment horizontal="left" vertical="center"/>
    </xf>
    <xf numFmtId="0" fontId="24" fillId="0" borderId="0" xfId="0" applyFont="1" applyAlignment="1">
      <alignment horizontal="left" vertical="center"/>
    </xf>
    <xf numFmtId="0" fontId="24" fillId="0" borderId="0" xfId="0" applyFont="1" applyAlignment="1">
      <alignment horizontal="left" wrapText="1"/>
    </xf>
    <xf numFmtId="0" fontId="4" fillId="0" borderId="0" xfId="0" applyFont="1" applyAlignment="1">
      <alignment horizontal="right"/>
    </xf>
    <xf numFmtId="0" fontId="7" fillId="0" borderId="0" xfId="0" applyFont="1"/>
    <xf numFmtId="0" fontId="25" fillId="0" borderId="0" xfId="0" applyFont="1"/>
    <xf numFmtId="0" fontId="25" fillId="0" borderId="15" xfId="0" applyFont="1" applyBorder="1"/>
    <xf numFmtId="0" fontId="25" fillId="0" borderId="0" xfId="0" applyFont="1" applyBorder="1"/>
    <xf numFmtId="0" fontId="25" fillId="0" borderId="0" xfId="0" applyFont="1" applyAlignment="1">
      <alignment horizontal="center"/>
    </xf>
    <xf numFmtId="0" fontId="35" fillId="3" borderId="15" xfId="0" applyFont="1" applyFill="1" applyBorder="1"/>
    <xf numFmtId="0" fontId="35" fillId="0" borderId="0" xfId="0" applyFont="1"/>
    <xf numFmtId="0" fontId="25" fillId="0" borderId="0" xfId="0" applyFont="1" applyFill="1" applyBorder="1"/>
    <xf numFmtId="0" fontId="38" fillId="0" borderId="15" xfId="0" applyFont="1" applyBorder="1"/>
    <xf numFmtId="4" fontId="7" fillId="3" borderId="15" xfId="0" applyNumberFormat="1" applyFont="1" applyFill="1" applyBorder="1" applyAlignment="1">
      <alignment horizontal="center" vertical="center"/>
    </xf>
    <xf numFmtId="0" fontId="3" fillId="0" borderId="0" xfId="0" applyFont="1" applyBorder="1" applyAlignment="1">
      <alignment horizontal="center" vertical="center"/>
    </xf>
    <xf numFmtId="0" fontId="7" fillId="3" borderId="15" xfId="0" applyFont="1" applyFill="1" applyBorder="1" applyAlignment="1">
      <alignment horizontal="left" vertical="center"/>
    </xf>
    <xf numFmtId="2" fontId="7" fillId="3" borderId="15" xfId="0" applyNumberFormat="1" applyFont="1" applyFill="1" applyBorder="1" applyAlignment="1">
      <alignment horizontal="left" vertical="center"/>
    </xf>
    <xf numFmtId="0" fontId="6" fillId="0" borderId="12" xfId="0" applyFont="1" applyBorder="1" applyAlignment="1">
      <alignment horizontal="center"/>
    </xf>
    <xf numFmtId="0" fontId="0" fillId="0" borderId="12" xfId="0" applyBorder="1" applyAlignment="1">
      <alignment horizontal="center"/>
    </xf>
    <xf numFmtId="0" fontId="0" fillId="5" borderId="12" xfId="0" applyFill="1" applyBorder="1" applyAlignment="1">
      <alignment horizontal="center"/>
    </xf>
    <xf numFmtId="0" fontId="0" fillId="0" borderId="12" xfId="0" applyBorder="1"/>
    <xf numFmtId="0" fontId="0" fillId="0" borderId="19" xfId="0" applyBorder="1"/>
    <xf numFmtId="0" fontId="6" fillId="0" borderId="11" xfId="0" applyFont="1" applyBorder="1" applyAlignment="1">
      <alignment horizontal="center"/>
    </xf>
    <xf numFmtId="0" fontId="0" fillId="0" borderId="13" xfId="0" applyBorder="1"/>
    <xf numFmtId="0" fontId="6" fillId="0" borderId="7" xfId="0" applyFont="1" applyBorder="1" applyAlignment="1">
      <alignment horizontal="center"/>
    </xf>
    <xf numFmtId="0" fontId="1" fillId="0" borderId="7" xfId="0" applyFont="1" applyBorder="1" applyAlignment="1">
      <alignment horizontal="center"/>
    </xf>
    <xf numFmtId="0" fontId="1" fillId="5" borderId="7" xfId="0" applyFont="1" applyFill="1" applyBorder="1" applyAlignment="1">
      <alignment horizontal="center"/>
    </xf>
    <xf numFmtId="0" fontId="1" fillId="0" borderId="7" xfId="0" applyFont="1" applyBorder="1"/>
    <xf numFmtId="2" fontId="3" fillId="0" borderId="0" xfId="0" applyNumberFormat="1" applyFont="1"/>
    <xf numFmtId="164" fontId="39" fillId="0" borderId="0" xfId="0" applyNumberFormat="1" applyFont="1" applyAlignment="1">
      <alignment horizontal="center"/>
    </xf>
    <xf numFmtId="0" fontId="3" fillId="0" borderId="0" xfId="0" applyFont="1" applyBorder="1" applyAlignment="1">
      <alignment horizontal="center"/>
    </xf>
    <xf numFmtId="3" fontId="3" fillId="0" borderId="0" xfId="0" applyNumberFormat="1" applyFont="1"/>
    <xf numFmtId="2" fontId="3" fillId="0" borderId="0" xfId="0" applyNumberFormat="1" applyFont="1" applyFill="1"/>
    <xf numFmtId="0" fontId="3" fillId="0" borderId="0" xfId="0" applyFont="1" applyFill="1"/>
    <xf numFmtId="0" fontId="25" fillId="0" borderId="20" xfId="0" applyFont="1" applyBorder="1" applyAlignment="1">
      <alignment horizontal="center"/>
    </xf>
    <xf numFmtId="0" fontId="25" fillId="0" borderId="31" xfId="0" applyFont="1" applyBorder="1" applyAlignment="1">
      <alignment horizontal="center"/>
    </xf>
    <xf numFmtId="0" fontId="25" fillId="0" borderId="32" xfId="0" applyFont="1" applyFill="1" applyBorder="1"/>
    <xf numFmtId="0" fontId="25" fillId="0" borderId="33" xfId="0" applyFont="1" applyFill="1" applyBorder="1"/>
    <xf numFmtId="0" fontId="25" fillId="0" borderId="32" xfId="0" applyFont="1" applyFill="1" applyBorder="1" applyAlignment="1">
      <alignment vertical="center" wrapText="1"/>
    </xf>
    <xf numFmtId="0" fontId="25" fillId="0" borderId="33" xfId="0" applyFont="1" applyFill="1" applyBorder="1" applyAlignment="1">
      <alignment vertical="center" wrapText="1"/>
    </xf>
    <xf numFmtId="0" fontId="25" fillId="0" borderId="21" xfId="0" applyFont="1" applyFill="1" applyBorder="1" applyAlignment="1">
      <alignment vertical="center" wrapText="1"/>
    </xf>
    <xf numFmtId="0" fontId="25" fillId="0" borderId="34" xfId="0" applyFont="1" applyFill="1" applyBorder="1" applyAlignment="1">
      <alignment vertical="center" wrapText="1"/>
    </xf>
    <xf numFmtId="2" fontId="35" fillId="0" borderId="0" xfId="0" applyNumberFormat="1" applyFont="1" applyFill="1"/>
    <xf numFmtId="0" fontId="27" fillId="0" borderId="0" xfId="0" applyFont="1" applyFill="1" applyAlignment="1">
      <alignment horizontal="center" wrapText="1"/>
    </xf>
    <xf numFmtId="0" fontId="27" fillId="0" borderId="0" xfId="0" applyFont="1" applyAlignment="1">
      <alignment wrapText="1"/>
    </xf>
    <xf numFmtId="0" fontId="27" fillId="0" borderId="0" xfId="0" applyFont="1" applyFill="1" applyAlignment="1">
      <alignment horizontal="center" vertical="center"/>
    </xf>
    <xf numFmtId="0" fontId="27" fillId="0" borderId="0" xfId="0" applyFont="1" applyFill="1" applyAlignment="1">
      <alignment vertical="center"/>
    </xf>
    <xf numFmtId="0" fontId="27" fillId="0" borderId="15" xfId="0" applyFont="1" applyFill="1" applyBorder="1" applyAlignment="1">
      <alignment horizontal="center" wrapText="1"/>
    </xf>
    <xf numFmtId="0" fontId="27" fillId="0" borderId="15" xfId="0" applyFont="1" applyFill="1" applyBorder="1" applyAlignment="1">
      <alignment horizontal="right" vertical="center" wrapText="1"/>
    </xf>
    <xf numFmtId="0" fontId="27" fillId="0" borderId="15" xfId="0" applyFont="1" applyFill="1" applyBorder="1" applyAlignment="1">
      <alignment horizontal="center" vertical="center"/>
    </xf>
    <xf numFmtId="3" fontId="27" fillId="0" borderId="15" xfId="0" applyNumberFormat="1" applyFont="1" applyFill="1" applyBorder="1" applyAlignment="1">
      <alignment horizontal="center" vertical="center"/>
    </xf>
    <xf numFmtId="0" fontId="27" fillId="0" borderId="0" xfId="0" applyFont="1" applyFill="1" applyAlignment="1"/>
    <xf numFmtId="2" fontId="39" fillId="0" borderId="0" xfId="0" applyNumberFormat="1" applyFont="1" applyAlignment="1">
      <alignment horizontal="center"/>
    </xf>
    <xf numFmtId="4" fontId="3" fillId="0" borderId="12" xfId="0" applyNumberFormat="1" applyFont="1" applyBorder="1" applyAlignment="1">
      <alignment horizontal="right" vertical="center" wrapText="1"/>
    </xf>
    <xf numFmtId="0" fontId="3" fillId="7" borderId="3" xfId="0" applyFont="1" applyFill="1" applyBorder="1" applyAlignment="1">
      <alignment horizontal="left" vertical="center"/>
    </xf>
    <xf numFmtId="0" fontId="3" fillId="7" borderId="4" xfId="0" applyFont="1" applyFill="1" applyBorder="1" applyAlignment="1">
      <alignment horizontal="center" vertical="center" wrapText="1"/>
    </xf>
    <xf numFmtId="4" fontId="3" fillId="3" borderId="9" xfId="0" applyNumberFormat="1" applyFont="1" applyFill="1" applyBorder="1" applyAlignment="1">
      <alignment horizontal="center" wrapText="1"/>
    </xf>
    <xf numFmtId="4" fontId="3" fillId="3" borderId="9" xfId="0" applyNumberFormat="1" applyFont="1" applyFill="1" applyBorder="1" applyAlignment="1">
      <alignment wrapText="1"/>
    </xf>
    <xf numFmtId="165" fontId="27" fillId="0" borderId="32" xfId="0" applyNumberFormat="1" applyFont="1" applyBorder="1" applyAlignment="1">
      <alignment vertical="center" wrapText="1"/>
    </xf>
    <xf numFmtId="0" fontId="42" fillId="0" borderId="0" xfId="0" applyFont="1"/>
    <xf numFmtId="0" fontId="42" fillId="0" borderId="7" xfId="0" applyFont="1" applyBorder="1" applyAlignment="1">
      <alignment horizontal="center"/>
    </xf>
    <xf numFmtId="0" fontId="42" fillId="0" borderId="7" xfId="0" applyFont="1" applyBorder="1" applyAlignment="1">
      <alignment horizontal="center" wrapText="1"/>
    </xf>
    <xf numFmtId="0" fontId="42" fillId="0" borderId="44" xfId="0" applyFont="1" applyBorder="1" applyAlignment="1">
      <alignment horizontal="center" wrapText="1"/>
    </xf>
    <xf numFmtId="0" fontId="42" fillId="0" borderId="30" xfId="0" applyFont="1" applyFill="1" applyBorder="1" applyAlignment="1">
      <alignment horizontal="center" wrapText="1"/>
    </xf>
    <xf numFmtId="0" fontId="32" fillId="0" borderId="11" xfId="0" applyFont="1" applyBorder="1" applyAlignment="1">
      <alignment horizontal="center" wrapText="1"/>
    </xf>
    <xf numFmtId="0" fontId="32" fillId="0" borderId="12" xfId="0" applyFont="1" applyBorder="1" applyAlignment="1">
      <alignment horizontal="center" wrapText="1"/>
    </xf>
    <xf numFmtId="0" fontId="32" fillId="0" borderId="12" xfId="0" applyFont="1" applyBorder="1" applyAlignment="1">
      <alignment horizontal="center"/>
    </xf>
    <xf numFmtId="0" fontId="32" fillId="0" borderId="19" xfId="0" applyFont="1" applyBorder="1" applyAlignment="1">
      <alignment horizontal="center" wrapText="1"/>
    </xf>
    <xf numFmtId="0" fontId="31" fillId="0" borderId="68" xfId="0" applyFont="1" applyFill="1" applyBorder="1" applyAlignment="1">
      <alignment horizontal="center" wrapText="1"/>
    </xf>
    <xf numFmtId="0" fontId="42" fillId="0" borderId="14" xfId="0" applyFont="1" applyBorder="1" applyAlignment="1">
      <alignment wrapText="1"/>
    </xf>
    <xf numFmtId="0" fontId="42" fillId="0" borderId="15" xfId="0" applyFont="1" applyBorder="1" applyAlignment="1">
      <alignment horizontal="center" wrapText="1"/>
    </xf>
    <xf numFmtId="0" fontId="42" fillId="0" borderId="6" xfId="0" applyFont="1" applyBorder="1" applyAlignment="1">
      <alignment wrapText="1"/>
    </xf>
    <xf numFmtId="2" fontId="42" fillId="0" borderId="15" xfId="0" applyNumberFormat="1" applyFont="1" applyBorder="1" applyAlignment="1">
      <alignment horizontal="right" wrapText="1"/>
    </xf>
    <xf numFmtId="2" fontId="42" fillId="0" borderId="15" xfId="0" applyNumberFormat="1" applyFont="1" applyBorder="1" applyAlignment="1">
      <alignment horizontal="right"/>
    </xf>
    <xf numFmtId="2" fontId="42" fillId="0" borderId="7" xfId="0" applyNumberFormat="1" applyFont="1" applyBorder="1" applyAlignment="1">
      <alignment horizontal="right" wrapText="1"/>
    </xf>
    <xf numFmtId="2" fontId="42" fillId="0" borderId="7" xfId="0" applyNumberFormat="1" applyFont="1" applyBorder="1" applyAlignment="1">
      <alignment horizontal="right"/>
    </xf>
    <xf numFmtId="2" fontId="42" fillId="0" borderId="25" xfId="0" applyNumberFormat="1" applyFont="1" applyBorder="1" applyAlignment="1">
      <alignment horizontal="right"/>
    </xf>
    <xf numFmtId="2" fontId="43" fillId="0" borderId="54" xfId="0" applyNumberFormat="1" applyFont="1" applyBorder="1" applyAlignment="1">
      <alignment horizontal="right"/>
    </xf>
    <xf numFmtId="2" fontId="42" fillId="0" borderId="44" xfId="0" applyNumberFormat="1" applyFont="1" applyBorder="1" applyAlignment="1">
      <alignment horizontal="right"/>
    </xf>
    <xf numFmtId="2" fontId="43" fillId="0" borderId="55" xfId="0" applyNumberFormat="1" applyFont="1" applyBorder="1" applyAlignment="1">
      <alignment horizontal="right"/>
    </xf>
    <xf numFmtId="0" fontId="32" fillId="0" borderId="68" xfId="0" applyFont="1" applyFill="1" applyBorder="1" applyAlignment="1">
      <alignment horizontal="center" wrapText="1"/>
    </xf>
    <xf numFmtId="2" fontId="42" fillId="0" borderId="54" xfId="0" applyNumberFormat="1" applyFont="1" applyBorder="1" applyAlignment="1">
      <alignment horizontal="right"/>
    </xf>
    <xf numFmtId="2" fontId="42" fillId="0" borderId="55" xfId="0" applyNumberFormat="1" applyFont="1" applyBorder="1" applyAlignment="1">
      <alignment horizontal="right"/>
    </xf>
    <xf numFmtId="0" fontId="47" fillId="0" borderId="0" xfId="0" applyFont="1" applyFill="1" applyAlignment="1">
      <alignment horizontal="center" vertical="center"/>
    </xf>
    <xf numFmtId="3" fontId="27" fillId="0" borderId="0" xfId="0" applyNumberFormat="1" applyFont="1" applyFill="1" applyAlignment="1">
      <alignment vertical="center"/>
    </xf>
    <xf numFmtId="4" fontId="27" fillId="0" borderId="0" xfId="0" applyNumberFormat="1" applyFont="1" applyFill="1"/>
    <xf numFmtId="165" fontId="27" fillId="0" borderId="34" xfId="0" applyNumberFormat="1" applyFont="1" applyFill="1" applyBorder="1" applyAlignment="1">
      <alignment vertical="center" wrapText="1"/>
    </xf>
    <xf numFmtId="165" fontId="27" fillId="0" borderId="33" xfId="0" applyNumberFormat="1" applyFont="1" applyFill="1" applyBorder="1" applyAlignment="1">
      <alignment vertical="center" wrapText="1"/>
    </xf>
    <xf numFmtId="165" fontId="25" fillId="0" borderId="32" xfId="0" applyNumberFormat="1" applyFont="1" applyFill="1" applyBorder="1" applyAlignment="1">
      <alignment vertical="center" wrapText="1"/>
    </xf>
    <xf numFmtId="166" fontId="3" fillId="3" borderId="9" xfId="0" applyNumberFormat="1" applyFont="1" applyFill="1" applyBorder="1" applyAlignment="1">
      <alignment horizontal="center" wrapText="1"/>
    </xf>
    <xf numFmtId="4" fontId="3" fillId="0" borderId="19" xfId="0" applyNumberFormat="1" applyFont="1" applyFill="1" applyBorder="1" applyAlignment="1">
      <alignment horizontal="right" vertical="center"/>
    </xf>
    <xf numFmtId="4" fontId="3" fillId="0" borderId="25" xfId="0" applyNumberFormat="1" applyFont="1" applyFill="1" applyBorder="1" applyAlignment="1">
      <alignment horizontal="right" vertical="center"/>
    </xf>
    <xf numFmtId="4" fontId="3" fillId="0" borderId="44" xfId="0" applyNumberFormat="1" applyFont="1" applyFill="1" applyBorder="1" applyAlignment="1">
      <alignment horizontal="right" vertical="center"/>
    </xf>
    <xf numFmtId="4" fontId="3" fillId="3" borderId="10" xfId="0" applyNumberFormat="1" applyFont="1" applyFill="1" applyBorder="1" applyAlignment="1">
      <alignment wrapText="1"/>
    </xf>
    <xf numFmtId="4" fontId="3" fillId="0" borderId="13" xfId="0" applyNumberFormat="1" applyFont="1" applyBorder="1" applyAlignment="1">
      <alignment horizontal="right" vertical="center" wrapText="1"/>
    </xf>
    <xf numFmtId="4" fontId="3" fillId="0" borderId="8" xfId="0" applyNumberFormat="1" applyFont="1" applyBorder="1" applyAlignment="1">
      <alignment horizontal="right" vertical="center" wrapText="1"/>
    </xf>
    <xf numFmtId="0" fontId="9" fillId="3" borderId="69" xfId="0" applyFont="1" applyFill="1" applyBorder="1" applyAlignment="1">
      <alignment wrapText="1"/>
    </xf>
    <xf numFmtId="0" fontId="9" fillId="0" borderId="71" xfId="0" applyFont="1" applyBorder="1" applyAlignment="1">
      <alignment vertical="center" wrapText="1"/>
    </xf>
    <xf numFmtId="0" fontId="9" fillId="0" borderId="72" xfId="0" applyFont="1" applyBorder="1" applyAlignment="1">
      <alignment horizontal="left" vertical="center" wrapText="1"/>
    </xf>
    <xf numFmtId="4" fontId="7" fillId="3" borderId="10" xfId="0" applyNumberFormat="1" applyFont="1" applyFill="1" applyBorder="1" applyAlignment="1">
      <alignment wrapText="1"/>
    </xf>
    <xf numFmtId="4" fontId="7" fillId="0" borderId="13" xfId="0" applyNumberFormat="1" applyFont="1" applyBorder="1" applyAlignment="1">
      <alignment horizontal="right" vertical="center" wrapText="1"/>
    </xf>
    <xf numFmtId="4" fontId="3" fillId="0" borderId="2" xfId="0" applyNumberFormat="1" applyFont="1" applyBorder="1" applyAlignment="1">
      <alignment horizontal="right" vertical="center" wrapText="1"/>
    </xf>
    <xf numFmtId="4" fontId="7" fillId="0" borderId="62" xfId="0" applyNumberFormat="1" applyFont="1" applyBorder="1" applyAlignment="1">
      <alignment horizontal="right" vertical="center" wrapText="1"/>
    </xf>
    <xf numFmtId="4" fontId="9" fillId="0" borderId="25" xfId="0" applyNumberFormat="1" applyFont="1" applyFill="1" applyBorder="1" applyAlignment="1">
      <alignment horizontal="right" vertical="center"/>
    </xf>
    <xf numFmtId="4" fontId="9" fillId="0" borderId="44" xfId="0" applyNumberFormat="1" applyFont="1" applyFill="1" applyBorder="1" applyAlignment="1">
      <alignment horizontal="right" vertical="center"/>
    </xf>
    <xf numFmtId="4" fontId="3" fillId="3" borderId="10" xfId="0" applyNumberFormat="1" applyFont="1" applyFill="1" applyBorder="1" applyAlignment="1">
      <alignment horizontal="right" wrapText="1"/>
    </xf>
    <xf numFmtId="4" fontId="3" fillId="7" borderId="52" xfId="0" applyNumberFormat="1" applyFont="1" applyFill="1" applyBorder="1" applyAlignment="1">
      <alignment horizontal="right" vertical="center" wrapText="1"/>
    </xf>
    <xf numFmtId="3" fontId="9" fillId="0" borderId="14" xfId="0" applyNumberFormat="1" applyFont="1" applyBorder="1" applyAlignment="1">
      <alignment horizontal="center" vertical="center"/>
    </xf>
    <xf numFmtId="4" fontId="9" fillId="0" borderId="16" xfId="0" applyNumberFormat="1" applyFont="1" applyBorder="1" applyAlignment="1">
      <alignment horizontal="right" vertical="center" wrapText="1"/>
    </xf>
    <xf numFmtId="3" fontId="9" fillId="0" borderId="14" xfId="0" applyNumberFormat="1" applyFont="1" applyFill="1" applyBorder="1" applyAlignment="1">
      <alignment horizontal="center" vertical="center"/>
    </xf>
    <xf numFmtId="4" fontId="9" fillId="0" borderId="16" xfId="0" applyNumberFormat="1" applyFont="1" applyFill="1" applyBorder="1" applyAlignment="1">
      <alignment horizontal="right" vertical="center" wrapText="1"/>
    </xf>
    <xf numFmtId="4" fontId="3" fillId="7" borderId="16" xfId="0" applyNumberFormat="1" applyFont="1" applyFill="1" applyBorder="1" applyAlignment="1">
      <alignment horizontal="right" vertical="center" wrapText="1"/>
    </xf>
    <xf numFmtId="3" fontId="9" fillId="0" borderId="6" xfId="0" applyNumberFormat="1" applyFont="1" applyFill="1" applyBorder="1" applyAlignment="1">
      <alignment horizontal="center" vertical="center"/>
    </xf>
    <xf numFmtId="4" fontId="9" fillId="0" borderId="8" xfId="0" applyNumberFormat="1" applyFont="1" applyFill="1" applyBorder="1" applyAlignment="1">
      <alignment horizontal="right" vertical="center" wrapText="1"/>
    </xf>
    <xf numFmtId="0" fontId="7" fillId="3" borderId="69" xfId="0" applyFont="1" applyFill="1" applyBorder="1" applyAlignment="1">
      <alignment wrapText="1"/>
    </xf>
    <xf numFmtId="0" fontId="9" fillId="7" borderId="5"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9" fillId="7" borderId="71" xfId="0" applyFont="1" applyFill="1" applyBorder="1" applyAlignment="1">
      <alignment horizontal="left" vertical="center" wrapText="1"/>
    </xf>
    <xf numFmtId="0" fontId="9" fillId="7" borderId="70" xfId="0" applyFont="1" applyFill="1" applyBorder="1" applyAlignment="1">
      <alignment horizontal="left" vertical="center" wrapText="1"/>
    </xf>
    <xf numFmtId="0" fontId="9" fillId="0" borderId="72" xfId="0" applyFont="1" applyFill="1" applyBorder="1" applyAlignment="1">
      <alignment horizontal="left" vertical="center" wrapText="1"/>
    </xf>
    <xf numFmtId="4" fontId="7" fillId="3" borderId="10" xfId="0" applyNumberFormat="1" applyFont="1" applyFill="1" applyBorder="1" applyAlignment="1">
      <alignment horizontal="right" wrapText="1"/>
    </xf>
    <xf numFmtId="4" fontId="7" fillId="7" borderId="52" xfId="0" applyNumberFormat="1" applyFont="1" applyFill="1" applyBorder="1" applyAlignment="1">
      <alignment horizontal="right" vertical="center" wrapText="1"/>
    </xf>
    <xf numFmtId="4" fontId="7" fillId="7" borderId="16" xfId="0" applyNumberFormat="1" applyFont="1" applyFill="1" applyBorder="1" applyAlignment="1">
      <alignment horizontal="right" vertical="center" wrapText="1"/>
    </xf>
    <xf numFmtId="4" fontId="9" fillId="0" borderId="8" xfId="0" applyNumberFormat="1" applyFont="1" applyBorder="1" applyAlignment="1">
      <alignment horizontal="right" vertical="center" wrapText="1"/>
    </xf>
    <xf numFmtId="166" fontId="9" fillId="0" borderId="25" xfId="0" applyNumberFormat="1" applyFont="1" applyFill="1" applyBorder="1" applyAlignment="1">
      <alignment horizontal="right" vertical="center"/>
    </xf>
    <xf numFmtId="3" fontId="9" fillId="0" borderId="66" xfId="0" applyNumberFormat="1" applyFont="1" applyBorder="1" applyAlignment="1">
      <alignment horizontal="center" vertical="center" wrapText="1"/>
    </xf>
    <xf numFmtId="3" fontId="24" fillId="0" borderId="66" xfId="0" applyNumberFormat="1" applyFont="1" applyBorder="1" applyAlignment="1">
      <alignment horizontal="center" vertical="center" wrapText="1"/>
    </xf>
    <xf numFmtId="4" fontId="9" fillId="0" borderId="66" xfId="0" applyNumberFormat="1" applyFont="1" applyFill="1" applyBorder="1" applyAlignment="1">
      <alignment horizontal="center" vertical="center" wrapText="1"/>
    </xf>
    <xf numFmtId="3" fontId="9" fillId="0" borderId="6" xfId="0" applyNumberFormat="1" applyFont="1" applyBorder="1" applyAlignment="1">
      <alignment horizontal="center" vertical="center" wrapText="1"/>
    </xf>
    <xf numFmtId="4" fontId="3" fillId="7" borderId="4" xfId="0" applyNumberFormat="1" applyFont="1" applyFill="1" applyBorder="1" applyAlignment="1">
      <alignment vertical="center" wrapText="1"/>
    </xf>
    <xf numFmtId="4" fontId="9" fillId="0" borderId="15" xfId="0" applyNumberFormat="1" applyFont="1" applyBorder="1" applyAlignment="1">
      <alignment vertical="center" wrapText="1"/>
    </xf>
    <xf numFmtId="4" fontId="3" fillId="7" borderId="15" xfId="0" applyNumberFormat="1" applyFont="1" applyFill="1" applyBorder="1" applyAlignment="1">
      <alignment vertical="center" wrapText="1"/>
    </xf>
    <xf numFmtId="166" fontId="9" fillId="0" borderId="15" xfId="0" applyNumberFormat="1" applyFont="1" applyBorder="1" applyAlignment="1">
      <alignment vertical="center" wrapText="1"/>
    </xf>
    <xf numFmtId="3" fontId="9" fillId="0" borderId="27" xfId="0" applyNumberFormat="1" applyFont="1" applyBorder="1" applyAlignment="1">
      <alignment horizontal="center" vertical="center" wrapText="1"/>
    </xf>
    <xf numFmtId="0" fontId="7" fillId="3" borderId="39" xfId="0" applyFont="1" applyFill="1" applyBorder="1" applyAlignment="1">
      <alignment horizontal="center" wrapText="1"/>
    </xf>
    <xf numFmtId="0" fontId="3" fillId="7" borderId="3" xfId="0" applyFont="1" applyFill="1" applyBorder="1" applyAlignment="1">
      <alignment horizontal="center" vertical="center" wrapText="1"/>
    </xf>
    <xf numFmtId="4" fontId="3" fillId="3" borderId="39" xfId="0" applyNumberFormat="1" applyFont="1" applyFill="1" applyBorder="1" applyAlignment="1">
      <alignment horizontal="center" wrapText="1"/>
    </xf>
    <xf numFmtId="4" fontId="3" fillId="7" borderId="3" xfId="0" applyNumberFormat="1" applyFont="1" applyFill="1" applyBorder="1" applyAlignment="1">
      <alignment horizontal="center" vertical="center" wrapText="1"/>
    </xf>
    <xf numFmtId="0" fontId="3" fillId="7" borderId="14" xfId="0" applyFont="1" applyFill="1" applyBorder="1" applyAlignment="1">
      <alignment horizontal="center" vertical="center" wrapText="1"/>
    </xf>
    <xf numFmtId="4" fontId="3" fillId="7" borderId="14" xfId="0" applyNumberFormat="1" applyFont="1" applyFill="1" applyBorder="1" applyAlignment="1">
      <alignment horizontal="center" vertical="center" wrapText="1"/>
    </xf>
    <xf numFmtId="4" fontId="3" fillId="7" borderId="27" xfId="0" applyNumberFormat="1" applyFont="1" applyFill="1" applyBorder="1" applyAlignment="1">
      <alignment horizontal="center" vertical="center" wrapText="1"/>
    </xf>
    <xf numFmtId="166" fontId="9" fillId="0" borderId="7" xfId="0" applyNumberFormat="1" applyFont="1" applyBorder="1" applyAlignment="1">
      <alignment vertical="center" wrapText="1"/>
    </xf>
    <xf numFmtId="3" fontId="9" fillId="0" borderId="43" xfId="0" applyNumberFormat="1" applyFont="1" applyBorder="1" applyAlignment="1">
      <alignment horizontal="center" vertical="center" wrapText="1"/>
    </xf>
    <xf numFmtId="3" fontId="3" fillId="3" borderId="39" xfId="0" applyNumberFormat="1" applyFont="1" applyFill="1" applyBorder="1" applyAlignment="1">
      <alignment horizontal="center" wrapText="1"/>
    </xf>
    <xf numFmtId="3" fontId="3" fillId="0" borderId="11"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3" fontId="3" fillId="0" borderId="6" xfId="0" applyNumberFormat="1" applyFont="1" applyFill="1" applyBorder="1" applyAlignment="1">
      <alignment horizontal="center" vertical="center"/>
    </xf>
    <xf numFmtId="2" fontId="3" fillId="0" borderId="0" xfId="0" applyNumberFormat="1" applyFont="1" applyAlignment="1">
      <alignment vertical="center"/>
    </xf>
    <xf numFmtId="4" fontId="19" fillId="0" borderId="7" xfId="0" applyNumberFormat="1" applyFont="1" applyBorder="1" applyAlignment="1">
      <alignment horizontal="right" vertical="center"/>
    </xf>
    <xf numFmtId="4" fontId="24" fillId="0" borderId="15" xfId="0" applyNumberFormat="1" applyFont="1" applyFill="1" applyBorder="1" applyAlignment="1">
      <alignment horizontal="right" vertical="center" wrapText="1"/>
    </xf>
    <xf numFmtId="4" fontId="3" fillId="3" borderId="10" xfId="0" applyNumberFormat="1" applyFont="1" applyFill="1" applyBorder="1" applyAlignment="1">
      <alignment horizontal="right" vertical="center" wrapText="1"/>
    </xf>
    <xf numFmtId="0" fontId="9" fillId="3" borderId="69" xfId="0" applyFont="1" applyFill="1" applyBorder="1" applyAlignment="1">
      <alignment vertical="center" wrapText="1"/>
    </xf>
    <xf numFmtId="4" fontId="7" fillId="3" borderId="10" xfId="0" applyNumberFormat="1" applyFont="1" applyFill="1" applyBorder="1" applyAlignment="1">
      <alignment horizontal="right" vertical="center" wrapText="1"/>
    </xf>
    <xf numFmtId="0" fontId="9" fillId="3" borderId="69" xfId="0" applyFont="1" applyFill="1" applyBorder="1" applyAlignment="1">
      <alignment horizontal="left" vertical="center" wrapText="1"/>
    </xf>
    <xf numFmtId="0" fontId="19" fillId="2" borderId="69" xfId="0" applyFont="1" applyFill="1" applyBorder="1" applyAlignment="1">
      <alignment horizontal="left" vertical="center" wrapText="1"/>
    </xf>
    <xf numFmtId="4" fontId="3" fillId="0" borderId="0" xfId="0" applyNumberFormat="1" applyFont="1"/>
    <xf numFmtId="0" fontId="53" fillId="9" borderId="7" xfId="0" applyFont="1" applyFill="1" applyBorder="1" applyAlignment="1" applyProtection="1">
      <alignment horizontal="center" vertical="center" wrapText="1"/>
    </xf>
    <xf numFmtId="3" fontId="54" fillId="10" borderId="9" xfId="0" applyNumberFormat="1" applyFont="1" applyFill="1" applyBorder="1" applyAlignment="1" applyProtection="1">
      <alignment horizontal="right" vertical="center"/>
      <protection locked="0"/>
    </xf>
    <xf numFmtId="3" fontId="54" fillId="10" borderId="10" xfId="0" applyNumberFormat="1" applyFont="1" applyFill="1" applyBorder="1" applyAlignment="1" applyProtection="1">
      <alignment horizontal="right" vertical="center"/>
      <protection locked="0"/>
    </xf>
    <xf numFmtId="0" fontId="54" fillId="11" borderId="39" xfId="0" applyFont="1" applyFill="1" applyBorder="1" applyAlignment="1" applyProtection="1">
      <alignment vertical="center"/>
      <protection locked="0"/>
    </xf>
    <xf numFmtId="0" fontId="54" fillId="11" borderId="9" xfId="0" applyFont="1" applyFill="1" applyBorder="1" applyAlignment="1" applyProtection="1">
      <alignment vertical="center"/>
      <protection locked="0"/>
    </xf>
    <xf numFmtId="49" fontId="54" fillId="11" borderId="9" xfId="0" applyNumberFormat="1" applyFont="1" applyFill="1" applyBorder="1" applyAlignment="1" applyProtection="1">
      <alignment horizontal="center" vertical="center"/>
      <protection locked="0"/>
    </xf>
    <xf numFmtId="3" fontId="54" fillId="11" borderId="9" xfId="0" applyNumberFormat="1" applyFont="1" applyFill="1" applyBorder="1" applyAlignment="1" applyProtection="1">
      <alignment horizontal="center" vertical="center"/>
      <protection locked="0"/>
    </xf>
    <xf numFmtId="2" fontId="54" fillId="11" borderId="9" xfId="0" applyNumberFormat="1" applyFont="1" applyFill="1" applyBorder="1" applyAlignment="1" applyProtection="1">
      <alignment horizontal="center" vertical="center"/>
      <protection locked="0"/>
    </xf>
    <xf numFmtId="1" fontId="54" fillId="11" borderId="9" xfId="0" applyNumberFormat="1" applyFont="1" applyFill="1" applyBorder="1" applyAlignment="1" applyProtection="1">
      <alignment horizontal="center" vertical="center"/>
      <protection locked="0"/>
    </xf>
    <xf numFmtId="3" fontId="54" fillId="11" borderId="9" xfId="0" applyNumberFormat="1" applyFont="1" applyFill="1" applyBorder="1" applyAlignment="1" applyProtection="1">
      <alignment horizontal="right" vertical="center"/>
      <protection locked="0"/>
    </xf>
    <xf numFmtId="3" fontId="54" fillId="11" borderId="10" xfId="0" applyNumberFormat="1" applyFont="1" applyFill="1" applyBorder="1" applyAlignment="1" applyProtection="1">
      <alignment horizontal="right" vertical="center"/>
      <protection locked="0"/>
    </xf>
    <xf numFmtId="0" fontId="25" fillId="11" borderId="14" xfId="0" applyFont="1" applyFill="1" applyBorder="1" applyAlignment="1" applyProtection="1">
      <alignment horizontal="center" vertical="center" wrapText="1"/>
      <protection locked="0"/>
    </xf>
    <xf numFmtId="0" fontId="12" fillId="4" borderId="15" xfId="0" applyNumberFormat="1" applyFont="1" applyFill="1" applyBorder="1" applyAlignment="1">
      <alignment horizontal="left" vertical="center" wrapText="1"/>
    </xf>
    <xf numFmtId="0" fontId="12" fillId="4" borderId="15" xfId="0" applyFont="1" applyFill="1" applyBorder="1" applyAlignment="1">
      <alignment horizontal="center" vertical="center" wrapText="1"/>
    </xf>
    <xf numFmtId="0" fontId="12" fillId="4" borderId="15" xfId="0" applyNumberFormat="1" applyFont="1" applyFill="1" applyBorder="1" applyAlignment="1">
      <alignment horizontal="center" vertical="center" wrapText="1"/>
    </xf>
    <xf numFmtId="49" fontId="25" fillId="12" borderId="15" xfId="0" applyNumberFormat="1" applyFont="1" applyFill="1" applyBorder="1" applyAlignment="1" applyProtection="1">
      <alignment horizontal="center" vertical="center"/>
      <protection locked="0"/>
    </xf>
    <xf numFmtId="3" fontId="25" fillId="12" borderId="15" xfId="0" applyNumberFormat="1" applyFont="1" applyFill="1" applyBorder="1" applyAlignment="1" applyProtection="1">
      <alignment horizontal="right" vertical="center"/>
      <protection locked="0"/>
    </xf>
    <xf numFmtId="2" fontId="25" fillId="12" borderId="15" xfId="0" applyNumberFormat="1" applyFont="1" applyFill="1" applyBorder="1" applyAlignment="1" applyProtection="1">
      <alignment horizontal="center" vertical="center"/>
      <protection locked="0"/>
    </xf>
    <xf numFmtId="3" fontId="25" fillId="12" borderId="15" xfId="0" applyNumberFormat="1" applyFont="1" applyFill="1" applyBorder="1" applyAlignment="1" applyProtection="1">
      <alignment horizontal="center" vertical="center"/>
      <protection locked="0"/>
    </xf>
    <xf numFmtId="3" fontId="25" fillId="12" borderId="16" xfId="0" applyNumberFormat="1" applyFont="1" applyFill="1" applyBorder="1" applyAlignment="1" applyProtection="1">
      <alignment horizontal="right" vertical="center"/>
      <protection locked="0"/>
    </xf>
    <xf numFmtId="0" fontId="25" fillId="11" borderId="6" xfId="0" applyFont="1" applyFill="1" applyBorder="1" applyAlignment="1" applyProtection="1">
      <alignment horizontal="center" vertical="center" wrapText="1"/>
      <protection locked="0"/>
    </xf>
    <xf numFmtId="0" fontId="12" fillId="4" borderId="7" xfId="1" applyNumberFormat="1" applyFont="1" applyFill="1" applyBorder="1" applyAlignment="1">
      <alignment horizontal="left" vertical="center" wrapText="1"/>
    </xf>
    <xf numFmtId="0" fontId="12" fillId="4" borderId="7" xfId="0" applyFont="1" applyFill="1" applyBorder="1" applyAlignment="1">
      <alignment horizontal="center" vertical="center" wrapText="1"/>
    </xf>
    <xf numFmtId="0" fontId="12" fillId="4" borderId="7" xfId="0" applyNumberFormat="1" applyFont="1" applyFill="1" applyBorder="1" applyAlignment="1">
      <alignment horizontal="center" vertical="center" wrapText="1"/>
    </xf>
    <xf numFmtId="49" fontId="25" fillId="12" borderId="7" xfId="0" applyNumberFormat="1" applyFont="1" applyFill="1" applyBorder="1" applyAlignment="1" applyProtection="1">
      <alignment horizontal="center" vertical="center"/>
      <protection locked="0"/>
    </xf>
    <xf numFmtId="3" fontId="25" fillId="12" borderId="7" xfId="0" applyNumberFormat="1" applyFont="1" applyFill="1" applyBorder="1" applyAlignment="1" applyProtection="1">
      <alignment horizontal="right" vertical="center"/>
      <protection locked="0"/>
    </xf>
    <xf numFmtId="2" fontId="25" fillId="12" borderId="7" xfId="0" applyNumberFormat="1" applyFont="1" applyFill="1" applyBorder="1" applyAlignment="1" applyProtection="1">
      <alignment horizontal="center" vertical="center"/>
      <protection locked="0"/>
    </xf>
    <xf numFmtId="3" fontId="25" fillId="12" borderId="7" xfId="0" applyNumberFormat="1" applyFont="1" applyFill="1" applyBorder="1" applyAlignment="1" applyProtection="1">
      <alignment horizontal="center" vertical="center"/>
      <protection locked="0"/>
    </xf>
    <xf numFmtId="3" fontId="25" fillId="12" borderId="8" xfId="0" applyNumberFormat="1" applyFont="1" applyFill="1" applyBorder="1" applyAlignment="1" applyProtection="1">
      <alignment horizontal="right" vertical="center"/>
      <protection locked="0"/>
    </xf>
    <xf numFmtId="0" fontId="36" fillId="0" borderId="0" xfId="0" applyFont="1" applyAlignment="1">
      <alignment horizontal="left"/>
    </xf>
    <xf numFmtId="0" fontId="57" fillId="0" borderId="0" xfId="0" applyFont="1"/>
    <xf numFmtId="0" fontId="59" fillId="0" borderId="30" xfId="0" applyFont="1" applyBorder="1" applyAlignment="1">
      <alignment horizontal="center" vertical="top" wrapText="1"/>
    </xf>
    <xf numFmtId="0" fontId="59" fillId="0" borderId="64" xfId="0" applyFont="1" applyBorder="1" applyAlignment="1">
      <alignment horizontal="center" vertical="top" wrapText="1"/>
    </xf>
    <xf numFmtId="4" fontId="60" fillId="0" borderId="9" xfId="0" applyNumberFormat="1" applyFont="1" applyBorder="1" applyAlignment="1">
      <alignment horizontal="center"/>
    </xf>
    <xf numFmtId="4" fontId="60" fillId="0" borderId="10" xfId="0" applyNumberFormat="1" applyFont="1" applyBorder="1" applyAlignment="1">
      <alignment horizontal="center"/>
    </xf>
    <xf numFmtId="0" fontId="59" fillId="0" borderId="53" xfId="0" applyFont="1" applyBorder="1" applyAlignment="1">
      <alignment horizontal="center" vertical="top"/>
    </xf>
    <xf numFmtId="0" fontId="59" fillId="0" borderId="65" xfId="0" applyFont="1" applyBorder="1" applyAlignment="1">
      <alignment horizontal="center" vertical="top"/>
    </xf>
    <xf numFmtId="4" fontId="60" fillId="0" borderId="4" xfId="0" applyNumberFormat="1" applyFont="1" applyFill="1" applyBorder="1" applyAlignment="1">
      <alignment horizontal="right"/>
    </xf>
    <xf numFmtId="4" fontId="60" fillId="0" borderId="52" xfId="0" applyNumberFormat="1" applyFont="1" applyFill="1" applyBorder="1" applyAlignment="1">
      <alignment horizontal="right"/>
    </xf>
    <xf numFmtId="0" fontId="59" fillId="0" borderId="54" xfId="0" applyFont="1" applyBorder="1" applyAlignment="1">
      <alignment horizontal="center" vertical="top"/>
    </xf>
    <xf numFmtId="4" fontId="60" fillId="0" borderId="15" xfId="0" applyNumberFormat="1" applyFont="1" applyBorder="1" applyAlignment="1">
      <alignment horizontal="right"/>
    </xf>
    <xf numFmtId="4" fontId="60" fillId="0" borderId="15" xfId="0" applyNumberFormat="1" applyFont="1" applyBorder="1"/>
    <xf numFmtId="4" fontId="60" fillId="0" borderId="16" xfId="0" applyNumberFormat="1" applyFont="1" applyBorder="1"/>
    <xf numFmtId="0" fontId="59" fillId="0" borderId="55" xfId="0" applyFont="1" applyBorder="1" applyAlignment="1">
      <alignment horizontal="center" vertical="top"/>
    </xf>
    <xf numFmtId="0" fontId="59" fillId="0" borderId="67" xfId="0" applyFont="1" applyBorder="1" applyAlignment="1">
      <alignment horizontal="center" vertical="top"/>
    </xf>
    <xf numFmtId="4" fontId="60" fillId="0" borderId="7" xfId="0" applyNumberFormat="1" applyFont="1" applyBorder="1" applyAlignment="1">
      <alignment horizontal="right"/>
    </xf>
    <xf numFmtId="4" fontId="60" fillId="0" borderId="7" xfId="0" applyNumberFormat="1" applyFont="1" applyBorder="1"/>
    <xf numFmtId="4" fontId="60" fillId="0" borderId="8" xfId="0" applyNumberFormat="1" applyFont="1" applyBorder="1"/>
    <xf numFmtId="0" fontId="64" fillId="0" borderId="0" xfId="0" applyFont="1"/>
    <xf numFmtId="0" fontId="65" fillId="0" borderId="0" xfId="0" applyFont="1" applyAlignment="1">
      <alignment vertical="center" wrapText="1"/>
    </xf>
    <xf numFmtId="0" fontId="59" fillId="0" borderId="30" xfId="0" applyFont="1" applyBorder="1" applyAlignment="1">
      <alignment horizontal="center" vertical="top"/>
    </xf>
    <xf numFmtId="3" fontId="58" fillId="0" borderId="51" xfId="0" applyNumberFormat="1" applyFont="1" applyFill="1" applyBorder="1" applyAlignment="1">
      <alignment horizontal="right"/>
    </xf>
    <xf numFmtId="3" fontId="58" fillId="0" borderId="10" xfId="0" applyNumberFormat="1" applyFont="1" applyFill="1" applyBorder="1" applyAlignment="1">
      <alignment horizontal="right"/>
    </xf>
    <xf numFmtId="0" fontId="66" fillId="0" borderId="0" xfId="0" applyFont="1" applyAlignment="1">
      <alignment horizontal="right" vertical="top"/>
    </xf>
    <xf numFmtId="4" fontId="65" fillId="0" borderId="0" xfId="0" applyNumberFormat="1" applyFont="1"/>
    <xf numFmtId="4" fontId="57" fillId="0" borderId="0" xfId="0" applyNumberFormat="1" applyFont="1"/>
    <xf numFmtId="0" fontId="13" fillId="0" borderId="66" xfId="0" applyFont="1" applyBorder="1" applyAlignment="1">
      <alignment horizontal="center" vertical="top"/>
    </xf>
    <xf numFmtId="0" fontId="67" fillId="0" borderId="0" xfId="0" applyFont="1" applyAlignment="1">
      <alignment horizontal="left" vertical="top" wrapText="1"/>
    </xf>
    <xf numFmtId="0" fontId="58" fillId="0" borderId="64" xfId="0" applyFont="1" applyFill="1" applyBorder="1" applyAlignment="1">
      <alignment horizontal="center"/>
    </xf>
    <xf numFmtId="0" fontId="58" fillId="0" borderId="1" xfId="0" applyFont="1" applyFill="1" applyBorder="1" applyAlignment="1">
      <alignment horizontal="center"/>
    </xf>
    <xf numFmtId="0" fontId="58" fillId="0" borderId="29" xfId="0" applyFont="1" applyFill="1" applyBorder="1" applyAlignment="1">
      <alignment horizontal="center"/>
    </xf>
    <xf numFmtId="0" fontId="56" fillId="0" borderId="0" xfId="0" applyFont="1" applyAlignment="1">
      <alignment horizontal="right" vertical="top" wrapText="1"/>
    </xf>
    <xf numFmtId="0" fontId="58" fillId="0" borderId="0" xfId="0" applyFont="1" applyAlignment="1">
      <alignment horizontal="center" vertical="center" wrapText="1"/>
    </xf>
    <xf numFmtId="0" fontId="60" fillId="0" borderId="4" xfId="0" applyFont="1" applyFill="1" applyBorder="1" applyAlignment="1">
      <alignment horizontal="left" wrapText="1"/>
    </xf>
    <xf numFmtId="0" fontId="60" fillId="0" borderId="9" xfId="0" applyFont="1" applyBorder="1" applyAlignment="1">
      <alignment horizontal="center" wrapText="1"/>
    </xf>
    <xf numFmtId="0" fontId="58" fillId="0" borderId="21" xfId="0" applyFont="1" applyBorder="1" applyAlignment="1">
      <alignment horizontal="center" vertical="top"/>
    </xf>
    <xf numFmtId="0" fontId="58" fillId="0" borderId="22" xfId="0" applyFont="1" applyBorder="1" applyAlignment="1">
      <alignment horizontal="center" vertical="top"/>
    </xf>
    <xf numFmtId="0" fontId="63" fillId="0" borderId="15" xfId="0" applyFont="1" applyFill="1" applyBorder="1" applyAlignment="1">
      <alignment horizontal="left" wrapText="1"/>
    </xf>
    <xf numFmtId="0" fontId="63" fillId="0" borderId="25" xfId="0" applyFont="1" applyFill="1" applyBorder="1" applyAlignment="1">
      <alignment horizontal="left" wrapText="1"/>
    </xf>
    <xf numFmtId="0" fontId="63" fillId="0" borderId="7" xfId="0" applyFont="1" applyBorder="1" applyAlignment="1">
      <alignment horizontal="left" wrapText="1"/>
    </xf>
    <xf numFmtId="0" fontId="3" fillId="0" borderId="18" xfId="0" applyFont="1" applyBorder="1" applyAlignment="1">
      <alignment horizontal="left"/>
    </xf>
    <xf numFmtId="0" fontId="9" fillId="0" borderId="18" xfId="0" applyFont="1" applyBorder="1" applyAlignment="1">
      <alignment horizontal="left" vertical="top"/>
    </xf>
    <xf numFmtId="0" fontId="3" fillId="0" borderId="0" xfId="0" applyFont="1" applyAlignment="1">
      <alignment horizontal="right"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60" xfId="0" applyFont="1" applyBorder="1" applyAlignment="1">
      <alignment horizontal="center" vertical="center" wrapText="1"/>
    </xf>
    <xf numFmtId="0" fontId="8" fillId="0" borderId="57" xfId="0" applyFont="1" applyBorder="1" applyAlignment="1">
      <alignment horizontal="center" wrapText="1"/>
    </xf>
    <xf numFmtId="0" fontId="8" fillId="0" borderId="18" xfId="0" applyFont="1" applyBorder="1" applyAlignment="1">
      <alignment horizontal="center" wrapText="1"/>
    </xf>
    <xf numFmtId="0" fontId="8" fillId="0" borderId="56" xfId="0" applyFont="1" applyBorder="1" applyAlignment="1">
      <alignment horizontal="center" wrapText="1"/>
    </xf>
    <xf numFmtId="0" fontId="8" fillId="0" borderId="0" xfId="0" applyFont="1" applyBorder="1" applyAlignment="1">
      <alignment horizontal="center" wrapText="1"/>
    </xf>
    <xf numFmtId="0" fontId="8" fillId="0" borderId="58" xfId="0" applyFont="1" applyBorder="1" applyAlignment="1">
      <alignment horizontal="center" wrapText="1"/>
    </xf>
    <xf numFmtId="0" fontId="8" fillId="0" borderId="22" xfId="0" applyFont="1" applyBorder="1" applyAlignment="1">
      <alignment horizontal="center" wrapText="1"/>
    </xf>
    <xf numFmtId="0" fontId="14" fillId="0" borderId="61" xfId="0" applyFont="1" applyFill="1" applyBorder="1" applyAlignment="1">
      <alignment horizontal="center" wrapText="1"/>
    </xf>
    <xf numFmtId="0" fontId="14" fillId="0" borderId="13" xfId="0" applyFont="1" applyFill="1" applyBorder="1" applyAlignment="1">
      <alignment horizontal="center" wrapText="1"/>
    </xf>
    <xf numFmtId="0" fontId="4" fillId="0" borderId="81" xfId="0" applyFont="1" applyFill="1" applyBorder="1" applyAlignment="1">
      <alignment horizontal="center" wrapText="1"/>
    </xf>
    <xf numFmtId="0" fontId="4" fillId="0" borderId="82" xfId="0" applyFont="1" applyFill="1" applyBorder="1" applyAlignment="1">
      <alignment horizontal="center" wrapText="1"/>
    </xf>
    <xf numFmtId="0" fontId="8" fillId="0" borderId="31" xfId="0" applyFont="1" applyBorder="1" applyAlignment="1">
      <alignment horizontal="center" wrapText="1"/>
    </xf>
    <xf numFmtId="0" fontId="8" fillId="0" borderId="33" xfId="0" applyFont="1" applyBorder="1" applyAlignment="1">
      <alignment horizontal="center" wrapText="1"/>
    </xf>
    <xf numFmtId="0" fontId="8" fillId="0" borderId="34" xfId="0" applyFont="1" applyBorder="1" applyAlignment="1">
      <alignment horizontal="center" wrapText="1"/>
    </xf>
    <xf numFmtId="0" fontId="3" fillId="0" borderId="0" xfId="0" applyFont="1" applyFill="1" applyBorder="1" applyAlignment="1">
      <alignment horizontal="center" vertical="center" wrapText="1"/>
    </xf>
    <xf numFmtId="0" fontId="4" fillId="0" borderId="22" xfId="0" applyFont="1" applyBorder="1" applyAlignment="1">
      <alignment horizontal="left" wrapText="1"/>
    </xf>
    <xf numFmtId="0" fontId="4" fillId="3" borderId="1" xfId="0" applyFont="1" applyFill="1" applyBorder="1" applyAlignment="1">
      <alignment horizontal="left" vertical="center" wrapText="1"/>
    </xf>
    <xf numFmtId="0" fontId="14" fillId="0" borderId="42" xfId="0" applyFont="1" applyFill="1" applyBorder="1" applyAlignment="1">
      <alignment horizontal="center" wrapText="1"/>
    </xf>
    <xf numFmtId="0" fontId="18" fillId="0" borderId="67" xfId="0" applyFont="1" applyFill="1" applyBorder="1" applyAlignment="1">
      <alignment horizontal="center" wrapText="1"/>
    </xf>
    <xf numFmtId="0" fontId="18" fillId="0" borderId="63" xfId="0" applyFont="1" applyFill="1" applyBorder="1" applyAlignment="1">
      <alignment horizontal="center" wrapText="1"/>
    </xf>
    <xf numFmtId="0" fontId="18" fillId="0" borderId="72" xfId="0" applyFont="1" applyFill="1" applyBorder="1" applyAlignment="1">
      <alignment horizontal="center" wrapText="1"/>
    </xf>
    <xf numFmtId="4" fontId="3" fillId="3" borderId="64"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4" fontId="3" fillId="3" borderId="29" xfId="0" applyNumberFormat="1" applyFont="1" applyFill="1" applyBorder="1" applyAlignment="1">
      <alignment horizontal="center" vertic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8" fillId="0" borderId="2" xfId="0" applyFont="1" applyFill="1" applyBorder="1" applyAlignment="1">
      <alignment horizontal="center" wrapText="1"/>
    </xf>
    <xf numFmtId="0" fontId="8" fillId="0" borderId="18" xfId="0" applyFont="1" applyFill="1" applyBorder="1" applyAlignment="1">
      <alignment horizontal="center" wrapText="1"/>
    </xf>
    <xf numFmtId="0" fontId="8" fillId="0" borderId="0" xfId="0" applyFont="1" applyFill="1" applyBorder="1" applyAlignment="1">
      <alignment horizontal="center" wrapText="1"/>
    </xf>
    <xf numFmtId="0" fontId="8" fillId="0" borderId="22" xfId="0" applyFont="1" applyFill="1" applyBorder="1" applyAlignment="1">
      <alignment horizontal="center" wrapText="1"/>
    </xf>
    <xf numFmtId="0" fontId="4" fillId="0" borderId="21" xfId="0" applyFont="1" applyFill="1" applyBorder="1" applyAlignment="1">
      <alignment horizontal="center" wrapText="1"/>
    </xf>
    <xf numFmtId="0" fontId="4" fillId="0" borderId="22" xfId="0" applyFont="1" applyFill="1" applyBorder="1" applyAlignment="1">
      <alignment horizontal="center" wrapText="1"/>
    </xf>
    <xf numFmtId="0" fontId="4" fillId="0" borderId="34" xfId="0" applyFont="1" applyFill="1" applyBorder="1" applyAlignment="1">
      <alignment horizontal="center" wrapText="1"/>
    </xf>
    <xf numFmtId="0" fontId="14" fillId="0" borderId="78" xfId="0" applyFont="1" applyFill="1" applyBorder="1" applyAlignment="1">
      <alignment horizontal="center" wrapText="1"/>
    </xf>
    <xf numFmtId="0" fontId="23" fillId="0" borderId="0" xfId="0" applyFont="1" applyAlignment="1">
      <alignment horizontal="left" vertical="center" wrapText="1"/>
    </xf>
    <xf numFmtId="0" fontId="18" fillId="0" borderId="0" xfId="0" applyFont="1" applyAlignment="1">
      <alignment horizontal="center" vertical="center" wrapText="1"/>
    </xf>
    <xf numFmtId="0" fontId="7" fillId="3" borderId="1" xfId="0" applyFont="1" applyFill="1" applyBorder="1" applyAlignment="1">
      <alignment horizontal="left" wrapText="1"/>
    </xf>
    <xf numFmtId="0" fontId="14" fillId="0" borderId="23" xfId="0" applyFont="1" applyFill="1" applyBorder="1" applyAlignment="1">
      <alignment horizontal="center" wrapText="1"/>
    </xf>
    <xf numFmtId="0" fontId="14" fillId="0" borderId="12" xfId="0" applyFont="1" applyFill="1" applyBorder="1" applyAlignment="1">
      <alignment horizontal="center" wrapText="1"/>
    </xf>
    <xf numFmtId="0" fontId="14" fillId="0" borderId="40" xfId="0" applyFont="1" applyFill="1" applyBorder="1" applyAlignment="1">
      <alignment horizontal="center" wrapText="1"/>
    </xf>
    <xf numFmtId="0" fontId="14" fillId="0" borderId="11" xfId="0" applyFont="1" applyFill="1" applyBorder="1" applyAlignment="1">
      <alignment horizontal="center" wrapText="1"/>
    </xf>
    <xf numFmtId="0" fontId="8" fillId="0" borderId="23" xfId="0" applyFont="1" applyBorder="1" applyAlignment="1">
      <alignment horizontal="center" wrapText="1"/>
    </xf>
    <xf numFmtId="0" fontId="8" fillId="0" borderId="24" xfId="0" applyFont="1" applyBorder="1" applyAlignment="1">
      <alignment horizontal="center" wrapText="1"/>
    </xf>
    <xf numFmtId="0" fontId="8" fillId="0" borderId="2" xfId="0" applyFont="1" applyBorder="1" applyAlignment="1">
      <alignment horizontal="center" wrapText="1"/>
    </xf>
    <xf numFmtId="0" fontId="8" fillId="0" borderId="57" xfId="0" applyFont="1" applyFill="1" applyBorder="1" applyAlignment="1">
      <alignment horizontal="center" wrapText="1"/>
    </xf>
    <xf numFmtId="0" fontId="8" fillId="0" borderId="56" xfId="0" applyFont="1" applyFill="1" applyBorder="1" applyAlignment="1">
      <alignment horizontal="center" wrapText="1"/>
    </xf>
    <xf numFmtId="0" fontId="8" fillId="0" borderId="58" xfId="0" applyFont="1" applyFill="1" applyBorder="1" applyAlignment="1">
      <alignment horizontal="center" wrapText="1"/>
    </xf>
    <xf numFmtId="0" fontId="3" fillId="0" borderId="35" xfId="0" applyFont="1" applyBorder="1" applyAlignment="1">
      <alignment horizontal="center" wrapText="1"/>
    </xf>
    <xf numFmtId="2" fontId="3" fillId="0" borderId="35" xfId="0" applyNumberFormat="1" applyFont="1" applyBorder="1" applyAlignment="1">
      <alignment horizontal="center" vertical="center"/>
    </xf>
    <xf numFmtId="2" fontId="9" fillId="0" borderId="0" xfId="0" applyNumberFormat="1" applyFont="1" applyBorder="1" applyAlignment="1">
      <alignment horizontal="left"/>
    </xf>
    <xf numFmtId="2" fontId="3" fillId="0" borderId="35" xfId="0" applyNumberFormat="1" applyFont="1" applyBorder="1" applyAlignment="1">
      <alignment horizontal="center" wrapText="1"/>
    </xf>
    <xf numFmtId="3" fontId="3" fillId="0" borderId="35" xfId="0" applyNumberFormat="1" applyFont="1" applyBorder="1" applyAlignment="1">
      <alignment horizontal="center" vertical="center"/>
    </xf>
    <xf numFmtId="164" fontId="3" fillId="6" borderId="35" xfId="0" applyNumberFormat="1" applyFont="1" applyFill="1" applyBorder="1" applyAlignment="1">
      <alignment horizontal="center" vertical="center"/>
    </xf>
    <xf numFmtId="165" fontId="3" fillId="0" borderId="35" xfId="0" applyNumberFormat="1" applyFont="1" applyBorder="1" applyAlignment="1">
      <alignment horizontal="center" vertical="center"/>
    </xf>
    <xf numFmtId="2" fontId="3" fillId="6" borderId="35" xfId="0" applyNumberFormat="1" applyFont="1" applyFill="1" applyBorder="1" applyAlignment="1">
      <alignment horizontal="center" vertical="center"/>
    </xf>
    <xf numFmtId="0" fontId="3" fillId="6" borderId="35" xfId="0" applyFont="1" applyFill="1" applyBorder="1" applyAlignment="1">
      <alignment horizontal="center" vertical="center"/>
    </xf>
    <xf numFmtId="4" fontId="9" fillId="0" borderId="44" xfId="0" applyNumberFormat="1" applyFont="1" applyFill="1" applyBorder="1" applyAlignment="1">
      <alignment horizontal="center" vertical="center"/>
    </xf>
    <xf numFmtId="4" fontId="9" fillId="0" borderId="43" xfId="0" applyNumberFormat="1" applyFont="1" applyFill="1" applyBorder="1" applyAlignment="1">
      <alignment horizontal="center" vertical="center"/>
    </xf>
    <xf numFmtId="4" fontId="3" fillId="7" borderId="25" xfId="0" applyNumberFormat="1" applyFont="1" applyFill="1" applyBorder="1" applyAlignment="1">
      <alignment horizontal="center" vertical="center"/>
    </xf>
    <xf numFmtId="4" fontId="3" fillId="7" borderId="27" xfId="0" applyNumberFormat="1" applyFont="1" applyFill="1" applyBorder="1" applyAlignment="1">
      <alignment horizontal="center" vertical="center"/>
    </xf>
    <xf numFmtId="4" fontId="9" fillId="0" borderId="25" xfId="0" applyNumberFormat="1" applyFont="1" applyFill="1" applyBorder="1" applyAlignment="1">
      <alignment horizontal="center" vertical="center"/>
    </xf>
    <xf numFmtId="4" fontId="9" fillId="0" borderId="27" xfId="0" applyNumberFormat="1" applyFont="1" applyFill="1" applyBorder="1" applyAlignment="1">
      <alignment horizontal="center" vertical="center"/>
    </xf>
    <xf numFmtId="0" fontId="3" fillId="7" borderId="25" xfId="0" applyFont="1" applyFill="1" applyBorder="1" applyAlignment="1">
      <alignment horizontal="left" vertical="center" wrapText="1"/>
    </xf>
    <xf numFmtId="0" fontId="3" fillId="7" borderId="26" xfId="0" applyFont="1" applyFill="1" applyBorder="1" applyAlignment="1">
      <alignment horizontal="left" vertical="center" wrapText="1"/>
    </xf>
    <xf numFmtId="4" fontId="3" fillId="3" borderId="51" xfId="0" applyNumberFormat="1" applyFont="1" applyFill="1" applyBorder="1" applyAlignment="1">
      <alignment horizontal="center" wrapText="1"/>
    </xf>
    <xf numFmtId="4" fontId="3" fillId="3" borderId="29" xfId="0" applyNumberFormat="1" applyFont="1" applyFill="1" applyBorder="1" applyAlignment="1">
      <alignment horizontal="center" wrapText="1"/>
    </xf>
    <xf numFmtId="4" fontId="3" fillId="7" borderId="49" xfId="0" applyNumberFormat="1" applyFont="1" applyFill="1" applyBorder="1" applyAlignment="1">
      <alignment horizontal="center" vertical="center"/>
    </xf>
    <xf numFmtId="4" fontId="3" fillId="7" borderId="36" xfId="0" applyNumberFormat="1" applyFont="1" applyFill="1" applyBorder="1" applyAlignment="1">
      <alignment horizontal="center" vertical="center"/>
    </xf>
    <xf numFmtId="4" fontId="9" fillId="0" borderId="25" xfId="0" applyNumberFormat="1" applyFont="1" applyBorder="1" applyAlignment="1">
      <alignment horizontal="center" vertical="center"/>
    </xf>
    <xf numFmtId="4" fontId="9" fillId="0" borderId="27" xfId="0" applyNumberFormat="1" applyFont="1" applyBorder="1" applyAlignment="1">
      <alignment horizontal="center" vertical="center"/>
    </xf>
    <xf numFmtId="0" fontId="4" fillId="0" borderId="67" xfId="0" applyFont="1" applyFill="1" applyBorder="1" applyAlignment="1">
      <alignment horizontal="center" wrapText="1"/>
    </xf>
    <xf numFmtId="0" fontId="4" fillId="0" borderId="63" xfId="0" applyFont="1" applyFill="1" applyBorder="1" applyAlignment="1">
      <alignment horizontal="center" wrapText="1"/>
    </xf>
    <xf numFmtId="0" fontId="4" fillId="0" borderId="72" xfId="0" applyFont="1" applyFill="1" applyBorder="1" applyAlignment="1">
      <alignment horizontal="center" wrapText="1"/>
    </xf>
    <xf numFmtId="0" fontId="14" fillId="0" borderId="74" xfId="0" applyFont="1" applyFill="1" applyBorder="1" applyAlignment="1">
      <alignment horizontal="center" wrapText="1"/>
    </xf>
    <xf numFmtId="0" fontId="9" fillId="0" borderId="18" xfId="0" applyFont="1" applyFill="1" applyBorder="1" applyAlignment="1">
      <alignment horizontal="left" vertical="center" wrapText="1"/>
    </xf>
    <xf numFmtId="0" fontId="14" fillId="0" borderId="57" xfId="0" applyFont="1" applyFill="1" applyBorder="1" applyAlignment="1">
      <alignment horizontal="center" wrapText="1"/>
    </xf>
    <xf numFmtId="0" fontId="14" fillId="0" borderId="17" xfId="0" applyFont="1" applyFill="1" applyBorder="1" applyAlignment="1">
      <alignment horizontal="center" wrapText="1"/>
    </xf>
    <xf numFmtId="0" fontId="14" fillId="0" borderId="75" xfId="0" applyFont="1" applyFill="1" applyBorder="1" applyAlignment="1">
      <alignment horizontal="center" wrapText="1"/>
    </xf>
    <xf numFmtId="0" fontId="14" fillId="0" borderId="76" xfId="0" applyFont="1" applyFill="1" applyBorder="1" applyAlignment="1">
      <alignment horizontal="center" wrapText="1"/>
    </xf>
    <xf numFmtId="0" fontId="14" fillId="0" borderId="77" xfId="0" applyFont="1" applyFill="1" applyBorder="1" applyAlignment="1">
      <alignment horizontal="center" wrapText="1"/>
    </xf>
    <xf numFmtId="0" fontId="4" fillId="0" borderId="79" xfId="0" applyFont="1" applyFill="1" applyBorder="1" applyAlignment="1">
      <alignment horizontal="center" wrapText="1"/>
    </xf>
    <xf numFmtId="0" fontId="4" fillId="0" borderId="80" xfId="0" applyFont="1" applyFill="1" applyBorder="1" applyAlignment="1">
      <alignment horizontal="center" wrapText="1"/>
    </xf>
    <xf numFmtId="0" fontId="7" fillId="3" borderId="51" xfId="0" applyFont="1" applyFill="1" applyBorder="1" applyAlignment="1">
      <alignment horizontal="left" wrapText="1"/>
    </xf>
    <xf numFmtId="0" fontId="3" fillId="7" borderId="4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9" fillId="0" borderId="33" xfId="0" applyFont="1" applyBorder="1" applyAlignment="1">
      <alignment horizontal="left" vertical="center" wrapText="1"/>
    </xf>
    <xf numFmtId="0" fontId="9" fillId="0" borderId="70" xfId="0" applyFont="1" applyBorder="1" applyAlignment="1">
      <alignment horizontal="left" vertical="center" wrapText="1"/>
    </xf>
    <xf numFmtId="4" fontId="18" fillId="2" borderId="51" xfId="0" applyNumberFormat="1" applyFont="1" applyFill="1" applyBorder="1" applyAlignment="1">
      <alignment horizontal="right" vertical="center" wrapText="1"/>
    </xf>
    <xf numFmtId="4" fontId="18" fillId="2" borderId="69" xfId="0" applyNumberFormat="1" applyFont="1" applyFill="1" applyBorder="1" applyAlignment="1">
      <alignment horizontal="right" vertical="center" wrapText="1"/>
    </xf>
    <xf numFmtId="0" fontId="14" fillId="0" borderId="83" xfId="0" applyFont="1" applyBorder="1" applyAlignment="1">
      <alignment horizontal="center" wrapText="1"/>
    </xf>
    <xf numFmtId="0" fontId="14" fillId="0" borderId="84" xfId="0" applyFont="1" applyBorder="1" applyAlignment="1">
      <alignment horizontal="center" wrapText="1"/>
    </xf>
    <xf numFmtId="0" fontId="14" fillId="0" borderId="85" xfId="0" applyFont="1" applyBorder="1" applyAlignment="1">
      <alignment horizontal="center" wrapText="1"/>
    </xf>
    <xf numFmtId="0" fontId="14" fillId="0" borderId="31" xfId="0" applyFont="1" applyBorder="1" applyAlignment="1">
      <alignment horizontal="center" wrapText="1"/>
    </xf>
    <xf numFmtId="0" fontId="14" fillId="0" borderId="33" xfId="0" applyFont="1" applyBorder="1" applyAlignment="1">
      <alignment horizontal="center" wrapText="1"/>
    </xf>
    <xf numFmtId="0" fontId="14" fillId="0" borderId="34" xfId="0" applyFont="1" applyBorder="1" applyAlignment="1">
      <alignment horizontal="center" wrapText="1"/>
    </xf>
    <xf numFmtId="0" fontId="7" fillId="0" borderId="20" xfId="0" applyFont="1" applyFill="1" applyBorder="1" applyAlignment="1">
      <alignment horizontal="center" wrapText="1"/>
    </xf>
    <xf numFmtId="0" fontId="7" fillId="0" borderId="18" xfId="0" applyFont="1" applyFill="1" applyBorder="1" applyAlignment="1">
      <alignment horizontal="center" wrapText="1"/>
    </xf>
    <xf numFmtId="0" fontId="7" fillId="0" borderId="17" xfId="0" applyFont="1" applyFill="1" applyBorder="1" applyAlignment="1">
      <alignment horizontal="center" wrapText="1"/>
    </xf>
    <xf numFmtId="0" fontId="7" fillId="0" borderId="73" xfId="0" applyFont="1" applyFill="1" applyBorder="1" applyAlignment="1">
      <alignment horizontal="center" wrapText="1"/>
    </xf>
    <xf numFmtId="0" fontId="7" fillId="0" borderId="28" xfId="0" applyFont="1" applyFill="1" applyBorder="1" applyAlignment="1">
      <alignment horizontal="center" wrapText="1"/>
    </xf>
    <xf numFmtId="0" fontId="7" fillId="0" borderId="38" xfId="0" applyFont="1" applyFill="1" applyBorder="1" applyAlignment="1">
      <alignment horizontal="center" wrapText="1"/>
    </xf>
    <xf numFmtId="0" fontId="18" fillId="0" borderId="21" xfId="0" applyFont="1" applyFill="1" applyBorder="1" applyAlignment="1">
      <alignment horizontal="center" wrapText="1"/>
    </xf>
    <xf numFmtId="0" fontId="18" fillId="0" borderId="22" xfId="0" applyFont="1" applyFill="1" applyBorder="1" applyAlignment="1">
      <alignment horizontal="center" wrapText="1"/>
    </xf>
    <xf numFmtId="0" fontId="18" fillId="0" borderId="34" xfId="0" applyFont="1" applyFill="1" applyBorder="1" applyAlignment="1">
      <alignment horizontal="center" wrapText="1"/>
    </xf>
    <xf numFmtId="0" fontId="18" fillId="2" borderId="1" xfId="0" applyFont="1" applyFill="1" applyBorder="1" applyAlignment="1">
      <alignment horizontal="right" vertical="center" wrapText="1"/>
    </xf>
    <xf numFmtId="0" fontId="8" fillId="0" borderId="2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18" fillId="0" borderId="67" xfId="0" applyFont="1" applyFill="1" applyBorder="1" applyAlignment="1">
      <alignment horizontal="center" vertical="center" wrapText="1"/>
    </xf>
    <xf numFmtId="0" fontId="18" fillId="0" borderId="63" xfId="0" applyFont="1" applyFill="1" applyBorder="1" applyAlignment="1">
      <alignment horizontal="center" vertical="center" wrapText="1"/>
    </xf>
    <xf numFmtId="0" fontId="18" fillId="0" borderId="72" xfId="0" applyFont="1" applyFill="1" applyBorder="1" applyAlignment="1">
      <alignment horizontal="center" vertical="center" wrapText="1"/>
    </xf>
    <xf numFmtId="4" fontId="49" fillId="2" borderId="64" xfId="0" applyNumberFormat="1" applyFont="1" applyFill="1" applyBorder="1" applyAlignment="1">
      <alignment horizontal="center" vertical="center" wrapText="1"/>
    </xf>
    <xf numFmtId="4" fontId="49" fillId="2" borderId="29" xfId="0" applyNumberFormat="1" applyFont="1" applyFill="1" applyBorder="1" applyAlignment="1">
      <alignment horizontal="center" vertical="center" wrapText="1"/>
    </xf>
    <xf numFmtId="0" fontId="52" fillId="0" borderId="6" xfId="0" applyFont="1" applyFill="1" applyBorder="1" applyAlignment="1">
      <alignment horizontal="center" vertical="center" wrapText="1"/>
    </xf>
    <xf numFmtId="0" fontId="52" fillId="0" borderId="7" xfId="0" applyFont="1" applyFill="1" applyBorder="1" applyAlignment="1">
      <alignment horizontal="center" vertical="center" wrapText="1"/>
    </xf>
    <xf numFmtId="0" fontId="52"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4" fontId="50" fillId="2" borderId="64" xfId="0" applyNumberFormat="1" applyFont="1" applyFill="1" applyBorder="1" applyAlignment="1">
      <alignment horizontal="right" vertical="center" wrapText="1"/>
    </xf>
    <xf numFmtId="4" fontId="50" fillId="2" borderId="1" xfId="0" applyNumberFormat="1" applyFont="1" applyFill="1" applyBorder="1" applyAlignment="1">
      <alignment horizontal="right" vertical="center" wrapText="1"/>
    </xf>
    <xf numFmtId="0" fontId="52" fillId="0" borderId="4" xfId="0" applyFont="1" applyFill="1" applyBorder="1" applyAlignment="1">
      <alignment horizontal="center" vertical="center" wrapText="1"/>
    </xf>
    <xf numFmtId="0" fontId="52" fillId="0" borderId="52"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6" xfId="0" applyFont="1" applyFill="1" applyBorder="1" applyAlignment="1">
      <alignment horizontal="center" vertical="center" wrapText="1"/>
    </xf>
    <xf numFmtId="4" fontId="51" fillId="2" borderId="51" xfId="0" applyNumberFormat="1" applyFont="1" applyFill="1" applyBorder="1" applyAlignment="1">
      <alignment horizontal="right" vertical="center" wrapText="1"/>
    </xf>
    <xf numFmtId="4" fontId="51" fillId="2" borderId="69" xfId="0" applyNumberFormat="1" applyFont="1" applyFill="1" applyBorder="1" applyAlignment="1">
      <alignment horizontal="right" vertical="center" wrapText="1"/>
    </xf>
    <xf numFmtId="0" fontId="7" fillId="0" borderId="57"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29" fillId="0" borderId="0" xfId="0" applyFont="1" applyAlignment="1">
      <alignment horizontal="center"/>
    </xf>
    <xf numFmtId="0" fontId="27" fillId="0" borderId="0" xfId="0" applyFont="1" applyAlignment="1">
      <alignment horizontal="right" vertical="top" wrapText="1"/>
    </xf>
    <xf numFmtId="0" fontId="40" fillId="0" borderId="0" xfId="0" applyFont="1" applyFill="1" applyAlignment="1">
      <alignment horizontal="right" wrapText="1"/>
    </xf>
    <xf numFmtId="0" fontId="27" fillId="0" borderId="15" xfId="0" applyFont="1" applyFill="1" applyBorder="1" applyAlignment="1">
      <alignment horizontal="center" vertical="center"/>
    </xf>
    <xf numFmtId="0" fontId="33" fillId="0" borderId="0" xfId="0" applyFont="1" applyFill="1" applyAlignment="1">
      <alignment horizontal="left" vertical="center"/>
    </xf>
    <xf numFmtId="0" fontId="41" fillId="0" borderId="45" xfId="0" applyFont="1" applyFill="1" applyBorder="1" applyAlignment="1">
      <alignment horizontal="left" vertical="top" wrapText="1"/>
    </xf>
    <xf numFmtId="164" fontId="3" fillId="0" borderId="15"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xf>
    <xf numFmtId="165" fontId="3" fillId="0" borderId="15" xfId="0" applyNumberFormat="1" applyFont="1" applyFill="1" applyBorder="1" applyAlignment="1">
      <alignment horizontal="center" vertical="center"/>
    </xf>
    <xf numFmtId="2" fontId="3" fillId="0" borderId="15" xfId="0" applyNumberFormat="1" applyFont="1" applyFill="1" applyBorder="1" applyAlignment="1">
      <alignment horizontal="center" vertical="center"/>
    </xf>
    <xf numFmtId="0" fontId="3" fillId="0" borderId="15" xfId="0" applyFont="1" applyFill="1" applyBorder="1" applyAlignment="1">
      <alignment horizontal="center" vertical="center"/>
    </xf>
    <xf numFmtId="2" fontId="7" fillId="0" borderId="15" xfId="0" applyNumberFormat="1" applyFont="1" applyFill="1" applyBorder="1" applyAlignment="1">
      <alignment horizontal="center" vertical="center"/>
    </xf>
    <xf numFmtId="2" fontId="3" fillId="0" borderId="15" xfId="0" applyNumberFormat="1" applyFont="1" applyBorder="1" applyAlignment="1">
      <alignment horizontal="center" wrapText="1"/>
    </xf>
    <xf numFmtId="0" fontId="3" fillId="0" borderId="15" xfId="0" applyFont="1" applyBorder="1" applyAlignment="1">
      <alignment horizontal="center" wrapText="1"/>
    </xf>
    <xf numFmtId="0" fontId="7" fillId="0" borderId="15" xfId="0" applyFont="1" applyBorder="1" applyAlignment="1">
      <alignment horizontal="center" wrapText="1"/>
    </xf>
    <xf numFmtId="0" fontId="34" fillId="0" borderId="28" xfId="0" applyFont="1" applyBorder="1" applyAlignment="1">
      <alignment horizontal="center"/>
    </xf>
    <xf numFmtId="0" fontId="6" fillId="0" borderId="15" xfId="0" applyFont="1" applyBorder="1" applyAlignment="1">
      <alignment horizontal="center" vertical="center" textRotation="90"/>
    </xf>
    <xf numFmtId="0" fontId="6" fillId="0" borderId="47" xfId="0" applyFont="1" applyBorder="1" applyAlignment="1">
      <alignment horizontal="center"/>
    </xf>
    <xf numFmtId="0" fontId="6" fillId="0" borderId="48" xfId="0" applyFont="1" applyBorder="1" applyAlignment="1">
      <alignment horizontal="center"/>
    </xf>
    <xf numFmtId="0" fontId="17" fillId="0" borderId="0" xfId="0" applyFont="1" applyAlignment="1">
      <alignment horizontal="right" wrapText="1"/>
    </xf>
    <xf numFmtId="0" fontId="42" fillId="0" borderId="0" xfId="0" applyFont="1" applyAlignment="1">
      <alignment horizontal="left"/>
    </xf>
    <xf numFmtId="0" fontId="42" fillId="0" borderId="0" xfId="0" applyFont="1" applyAlignment="1">
      <alignment horizontal="left" wrapText="1"/>
    </xf>
    <xf numFmtId="0" fontId="42" fillId="0" borderId="0" xfId="0" applyFont="1" applyFill="1" applyBorder="1" applyAlignment="1">
      <alignment horizontal="left" wrapText="1"/>
    </xf>
    <xf numFmtId="0" fontId="42" fillId="0" borderId="57" xfId="0" applyFont="1" applyBorder="1" applyAlignment="1">
      <alignment horizontal="center" wrapText="1"/>
    </xf>
    <xf numFmtId="0" fontId="42" fillId="0" borderId="18" xfId="0" applyFont="1" applyBorder="1" applyAlignment="1">
      <alignment horizontal="center" wrapText="1"/>
    </xf>
    <xf numFmtId="0" fontId="42" fillId="0" borderId="31" xfId="0" applyFont="1" applyBorder="1" applyAlignment="1">
      <alignment horizontal="center" wrapText="1"/>
    </xf>
    <xf numFmtId="0" fontId="42" fillId="0" borderId="40" xfId="0" applyFont="1" applyBorder="1" applyAlignment="1">
      <alignment horizontal="center" wrapText="1"/>
    </xf>
    <xf numFmtId="0" fontId="42" fillId="0" borderId="60" xfId="0" applyFont="1" applyBorder="1" applyAlignment="1">
      <alignment horizontal="center" wrapText="1"/>
    </xf>
    <xf numFmtId="0" fontId="42" fillId="0" borderId="4" xfId="0" applyFont="1" applyBorder="1" applyAlignment="1">
      <alignment horizontal="center" wrapText="1"/>
    </xf>
    <xf numFmtId="0" fontId="42" fillId="0" borderId="7" xfId="0" applyFont="1" applyBorder="1" applyAlignment="1">
      <alignment horizontal="center" wrapText="1"/>
    </xf>
    <xf numFmtId="0" fontId="42" fillId="0" borderId="23" xfId="0" applyFont="1" applyBorder="1" applyAlignment="1">
      <alignment horizontal="center" wrapText="1"/>
    </xf>
    <xf numFmtId="0" fontId="42" fillId="0" borderId="2" xfId="0" applyFont="1" applyBorder="1" applyAlignment="1">
      <alignment horizontal="center" wrapText="1"/>
    </xf>
    <xf numFmtId="0" fontId="12" fillId="0" borderId="25" xfId="0" applyFont="1" applyBorder="1" applyAlignment="1">
      <alignment horizontal="left" vertical="top" wrapText="1"/>
    </xf>
    <xf numFmtId="0" fontId="12" fillId="0" borderId="26" xfId="0" applyFont="1" applyBorder="1" applyAlignment="1">
      <alignment horizontal="left" vertical="top" wrapText="1"/>
    </xf>
    <xf numFmtId="0" fontId="12" fillId="0" borderId="27" xfId="0" applyFont="1" applyBorder="1" applyAlignment="1">
      <alignment horizontal="left" vertical="top" wrapText="1"/>
    </xf>
    <xf numFmtId="0" fontId="12" fillId="0" borderId="15" xfId="0" applyFont="1" applyBorder="1" applyAlignment="1">
      <alignment horizontal="left" vertical="top" wrapText="1"/>
    </xf>
    <xf numFmtId="0" fontId="7" fillId="4" borderId="28" xfId="0" applyFont="1" applyFill="1" applyBorder="1" applyAlignment="1">
      <alignment horizontal="center" wrapText="1"/>
    </xf>
    <xf numFmtId="0" fontId="12" fillId="0" borderId="0" xfId="0" applyFont="1" applyAlignment="1">
      <alignment horizontal="right" wrapText="1"/>
    </xf>
    <xf numFmtId="0" fontId="7" fillId="0" borderId="0" xfId="0" applyFont="1" applyBorder="1" applyAlignment="1">
      <alignment horizontal="center" wrapText="1"/>
    </xf>
    <xf numFmtId="3" fontId="53" fillId="8" borderId="23" xfId="0" applyNumberFormat="1" applyFont="1" applyFill="1" applyBorder="1" applyAlignment="1" applyProtection="1">
      <alignment horizontal="center" vertical="center" wrapText="1"/>
    </xf>
    <xf numFmtId="3" fontId="53" fillId="8" borderId="2" xfId="0" applyNumberFormat="1" applyFont="1" applyFill="1" applyBorder="1" applyAlignment="1" applyProtection="1">
      <alignment horizontal="center" vertical="center" wrapText="1"/>
    </xf>
    <xf numFmtId="0" fontId="46" fillId="0" borderId="0" xfId="0" applyFont="1" applyBorder="1" applyAlignment="1">
      <alignment horizontal="left" wrapText="1"/>
    </xf>
    <xf numFmtId="0" fontId="36" fillId="4" borderId="0" xfId="0" applyFont="1" applyFill="1" applyBorder="1" applyAlignment="1">
      <alignment horizontal="left" vertical="center" wrapText="1"/>
    </xf>
    <xf numFmtId="3" fontId="53" fillId="8" borderId="4" xfId="0" applyNumberFormat="1" applyFont="1" applyFill="1" applyBorder="1" applyAlignment="1" applyProtection="1">
      <alignment horizontal="center" vertical="center" wrapText="1"/>
    </xf>
    <xf numFmtId="3" fontId="53" fillId="8" borderId="7" xfId="0" applyNumberFormat="1" applyFont="1" applyFill="1" applyBorder="1" applyAlignment="1" applyProtection="1">
      <alignment horizontal="center" vertical="center" wrapText="1"/>
    </xf>
    <xf numFmtId="3" fontId="53" fillId="8" borderId="61" xfId="0" applyNumberFormat="1" applyFont="1" applyFill="1" applyBorder="1" applyAlignment="1" applyProtection="1">
      <alignment horizontal="center" vertical="center" wrapText="1"/>
    </xf>
    <xf numFmtId="3" fontId="53" fillId="8" borderId="62" xfId="0" applyNumberFormat="1" applyFont="1" applyFill="1" applyBorder="1" applyAlignment="1" applyProtection="1">
      <alignment horizontal="center" vertical="center" wrapText="1"/>
    </xf>
    <xf numFmtId="0" fontId="14" fillId="10" borderId="39" xfId="0" applyFont="1" applyFill="1" applyBorder="1" applyAlignment="1" applyProtection="1">
      <alignment horizontal="left" vertical="center" wrapText="1"/>
    </xf>
    <xf numFmtId="0" fontId="14" fillId="10" borderId="9" xfId="0" applyFont="1" applyFill="1" applyBorder="1" applyAlignment="1" applyProtection="1">
      <alignment horizontal="left" vertical="center" wrapText="1"/>
    </xf>
    <xf numFmtId="0" fontId="53" fillId="8" borderId="3" xfId="0" applyFont="1" applyFill="1" applyBorder="1" applyAlignment="1" applyProtection="1">
      <alignment horizontal="center" vertical="center" wrapText="1"/>
    </xf>
    <xf numFmtId="0" fontId="53" fillId="8" borderId="6" xfId="0" applyFont="1" applyFill="1" applyBorder="1" applyAlignment="1" applyProtection="1">
      <alignment horizontal="center" vertical="center" wrapText="1"/>
    </xf>
    <xf numFmtId="0" fontId="53" fillId="8" borderId="4" xfId="0" applyFont="1" applyFill="1" applyBorder="1" applyAlignment="1" applyProtection="1">
      <alignment horizontal="center" vertical="center" wrapText="1"/>
    </xf>
    <xf numFmtId="0" fontId="53" fillId="8" borderId="7" xfId="0" applyFont="1" applyFill="1" applyBorder="1" applyAlignment="1" applyProtection="1">
      <alignment horizontal="center" vertical="center" wrapText="1"/>
    </xf>
    <xf numFmtId="0" fontId="53" fillId="8" borderId="4" xfId="0" applyFont="1" applyFill="1" applyBorder="1" applyAlignment="1" applyProtection="1">
      <alignment horizontal="center" vertical="center"/>
    </xf>
    <xf numFmtId="4" fontId="53" fillId="8" borderId="4" xfId="0" applyNumberFormat="1" applyFont="1" applyFill="1" applyBorder="1" applyAlignment="1" applyProtection="1">
      <alignment horizontal="center" vertical="center" wrapText="1"/>
    </xf>
    <xf numFmtId="4" fontId="53" fillId="8" borderId="7" xfId="0" applyNumberFormat="1" applyFont="1" applyFill="1" applyBorder="1" applyAlignment="1" applyProtection="1">
      <alignment horizontal="center" vertical="center" wrapText="1"/>
    </xf>
    <xf numFmtId="0" fontId="24" fillId="0" borderId="25" xfId="0" applyFont="1" applyBorder="1" applyAlignment="1">
      <alignment horizontal="left" vertical="center"/>
    </xf>
    <xf numFmtId="0" fontId="24" fillId="0" borderId="26" xfId="0" applyFont="1" applyBorder="1" applyAlignment="1">
      <alignment horizontal="left" vertical="center"/>
    </xf>
    <xf numFmtId="0" fontId="24" fillId="0" borderId="27" xfId="0" applyFont="1" applyBorder="1" applyAlignment="1">
      <alignment horizontal="left" vertical="center"/>
    </xf>
    <xf numFmtId="0" fontId="23" fillId="3" borderId="25" xfId="0" applyFont="1" applyFill="1" applyBorder="1" applyAlignment="1">
      <alignment horizontal="left" vertical="center"/>
    </xf>
    <xf numFmtId="0" fontId="23" fillId="3" borderId="26" xfId="0" applyFont="1" applyFill="1" applyBorder="1" applyAlignment="1">
      <alignment horizontal="left" vertical="center"/>
    </xf>
    <xf numFmtId="0" fontId="23" fillId="3" borderId="27" xfId="0" applyFont="1" applyFill="1" applyBorder="1" applyAlignment="1">
      <alignment horizontal="left" vertical="center"/>
    </xf>
    <xf numFmtId="0" fontId="37" fillId="0" borderId="15" xfId="0" applyFont="1" applyBorder="1" applyAlignment="1">
      <alignment horizontal="left" vertical="center" wrapText="1"/>
    </xf>
  </cellXfs>
  <cellStyles count="2">
    <cellStyle name="Normal" xfId="0" builtinId="0"/>
    <cellStyle name="Normal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13</xdr:row>
      <xdr:rowOff>0</xdr:rowOff>
    </xdr:from>
    <xdr:ext cx="304800" cy="304800"/>
    <xdr:sp macro="" textlink="">
      <xdr:nvSpPr>
        <xdr:cNvPr id="2" name="AutoShape 1" descr="https://www.statoil.lv/cs/Satellite?blobcol=urldata&amp;blobheader=image%2Fjpeg&amp;blobheadername1=Content-Type&amp;blobkey=id&amp;blobtable=MungoBlobs&amp;blobwhere=1335453340249&amp;ssbinary=true">
          <a:extLst>
            <a:ext uri="{FF2B5EF4-FFF2-40B4-BE49-F238E27FC236}">
              <a16:creationId xmlns="" xmlns:a16="http://schemas.microsoft.com/office/drawing/2014/main" id="{00000000-0008-0000-0300-000002000000}"/>
            </a:ext>
          </a:extLst>
        </xdr:cNvPr>
        <xdr:cNvSpPr>
          <a:spLocks noChangeAspect="1" noChangeArrowheads="1"/>
        </xdr:cNvSpPr>
      </xdr:nvSpPr>
      <xdr:spPr bwMode="auto">
        <a:xfrm>
          <a:off x="609600" y="95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xdr:row>
      <xdr:rowOff>0</xdr:rowOff>
    </xdr:from>
    <xdr:ext cx="304800" cy="304800"/>
    <xdr:sp macro="" textlink="">
      <xdr:nvSpPr>
        <xdr:cNvPr id="3" name="AutoShape 2" descr="https://www.statoil.lv/cs/Satellite?blobcol=urldata&amp;blobheader=image%2Fjpeg&amp;blobheadername1=Content-Type&amp;blobkey=id&amp;blobtable=MungoBlobs&amp;blobwhere=1335453340264&amp;ssbinary=true">
          <a:extLst>
            <a:ext uri="{FF2B5EF4-FFF2-40B4-BE49-F238E27FC236}">
              <a16:creationId xmlns="" xmlns:a16="http://schemas.microsoft.com/office/drawing/2014/main" id="{00000000-0008-0000-0300-000003000000}"/>
            </a:ext>
          </a:extLst>
        </xdr:cNvPr>
        <xdr:cNvSpPr>
          <a:spLocks noChangeAspect="1" noChangeArrowheads="1"/>
        </xdr:cNvSpPr>
      </xdr:nvSpPr>
      <xdr:spPr bwMode="auto">
        <a:xfrm>
          <a:off x="60960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xdr:row>
      <xdr:rowOff>0</xdr:rowOff>
    </xdr:from>
    <xdr:ext cx="304800" cy="304800"/>
    <xdr:sp macro="" textlink="">
      <xdr:nvSpPr>
        <xdr:cNvPr id="4" name="AutoShape 3" descr="https://www.statoil.lv/cs/Satellite?blobcol=urldata&amp;blobheader=image%2Fjpeg&amp;blobheadername1=Content-Type&amp;blobkey=id&amp;blobtable=MungoBlobs&amp;blobwhere=1335453340279&amp;ssbinary=true">
          <a:extLst>
            <a:ext uri="{FF2B5EF4-FFF2-40B4-BE49-F238E27FC236}">
              <a16:creationId xmlns="" xmlns:a16="http://schemas.microsoft.com/office/drawing/2014/main" id="{00000000-0008-0000-0300-000004000000}"/>
            </a:ext>
          </a:extLst>
        </xdr:cNvPr>
        <xdr:cNvSpPr>
          <a:spLocks noChangeAspect="1" noChangeArrowheads="1"/>
        </xdr:cNvSpPr>
      </xdr:nvSpPr>
      <xdr:spPr bwMode="auto">
        <a:xfrm>
          <a:off x="609600" y="133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15</xdr:row>
      <xdr:rowOff>0</xdr:rowOff>
    </xdr:from>
    <xdr:ext cx="304800" cy="304800"/>
    <xdr:sp macro="" textlink="">
      <xdr:nvSpPr>
        <xdr:cNvPr id="5" name="AutoShape 4" descr="https://www.statoil.lv/cs/Satellite?blobcol=urldata&amp;blobheader=image%2Fjpeg&amp;blobheadername1=Content-Type&amp;blobkey=id&amp;blobtable=MungoBlobs&amp;blobwhere=1335453340218&amp;ssbinary=true">
          <a:extLst>
            <a:ext uri="{FF2B5EF4-FFF2-40B4-BE49-F238E27FC236}">
              <a16:creationId xmlns="" xmlns:a16="http://schemas.microsoft.com/office/drawing/2014/main" id="{00000000-0008-0000-0300-000005000000}"/>
            </a:ext>
          </a:extLst>
        </xdr:cNvPr>
        <xdr:cNvSpPr>
          <a:spLocks noChangeAspect="1" noChangeArrowheads="1"/>
        </xdr:cNvSpPr>
      </xdr:nvSpPr>
      <xdr:spPr bwMode="auto">
        <a:xfrm>
          <a:off x="609600" y="152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16</xdr:row>
      <xdr:rowOff>0</xdr:rowOff>
    </xdr:from>
    <xdr:ext cx="304800" cy="304800"/>
    <xdr:sp macro="" textlink="">
      <xdr:nvSpPr>
        <xdr:cNvPr id="6" name="AutoShape 5" descr="https://www.statoil.lv/cs/Satellite?blobcol=urldata&amp;blobheader=image%2Fjpeg&amp;blobheadername1=Content-Type&amp;blobkey=id&amp;blobtable=MungoBlobs&amp;blobwhere=1335453340203&amp;ssbinary=true">
          <a:extLst>
            <a:ext uri="{FF2B5EF4-FFF2-40B4-BE49-F238E27FC236}">
              <a16:creationId xmlns="" xmlns:a16="http://schemas.microsoft.com/office/drawing/2014/main" id="{00000000-0008-0000-0300-000006000000}"/>
            </a:ext>
          </a:extLst>
        </xdr:cNvPr>
        <xdr:cNvSpPr>
          <a:spLocks noChangeAspect="1" noChangeArrowheads="1"/>
        </xdr:cNvSpPr>
      </xdr:nvSpPr>
      <xdr:spPr bwMode="auto">
        <a:xfrm>
          <a:off x="609600" y="171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zoomScale="80" zoomScaleNormal="80" workbookViewId="0">
      <selection activeCell="B5" sqref="B5"/>
    </sheetView>
  </sheetViews>
  <sheetFormatPr defaultRowHeight="17.399999999999999" x14ac:dyDescent="0.25"/>
  <cols>
    <col min="1" max="1" width="6.33203125" style="323" customWidth="1"/>
    <col min="2" max="2" width="14.33203125" style="323" customWidth="1"/>
    <col min="3" max="3" width="14.109375" style="300" customWidth="1"/>
    <col min="4" max="4" width="54.88671875" style="300" customWidth="1"/>
    <col min="5" max="7" width="15.109375" style="300" customWidth="1"/>
    <col min="8" max="240" width="9.109375" style="300"/>
    <col min="241" max="241" width="14.109375" style="300" customWidth="1"/>
    <col min="242" max="242" width="26.88671875" style="300" customWidth="1"/>
    <col min="243" max="243" width="12" style="300" customWidth="1"/>
    <col min="244" max="244" width="10" style="300" customWidth="1"/>
    <col min="245" max="245" width="8.44140625" style="300" customWidth="1"/>
    <col min="246" max="246" width="10.88671875" style="300" customWidth="1"/>
    <col min="247" max="247" width="15.109375" style="300" customWidth="1"/>
    <col min="248" max="248" width="8.33203125" style="300" customWidth="1"/>
    <col min="249" max="249" width="8.44140625" style="300" customWidth="1"/>
    <col min="250" max="250" width="10.88671875" style="300" customWidth="1"/>
    <col min="251" max="251" width="15.109375" style="300" customWidth="1"/>
    <col min="252" max="252" width="8.33203125" style="300" customWidth="1"/>
    <col min="253" max="253" width="8.44140625" style="300" customWidth="1"/>
    <col min="254" max="254" width="10.88671875" style="300" customWidth="1"/>
    <col min="255" max="255" width="15.109375" style="300" customWidth="1"/>
    <col min="256" max="496" width="9.109375" style="300"/>
    <col min="497" max="497" width="14.109375" style="300" customWidth="1"/>
    <col min="498" max="498" width="26.88671875" style="300" customWidth="1"/>
    <col min="499" max="499" width="12" style="300" customWidth="1"/>
    <col min="500" max="500" width="10" style="300" customWidth="1"/>
    <col min="501" max="501" width="8.44140625" style="300" customWidth="1"/>
    <col min="502" max="502" width="10.88671875" style="300" customWidth="1"/>
    <col min="503" max="503" width="15.109375" style="300" customWidth="1"/>
    <col min="504" max="504" width="8.33203125" style="300" customWidth="1"/>
    <col min="505" max="505" width="8.44140625" style="300" customWidth="1"/>
    <col min="506" max="506" width="10.88671875" style="300" customWidth="1"/>
    <col min="507" max="507" width="15.109375" style="300" customWidth="1"/>
    <col min="508" max="508" width="8.33203125" style="300" customWidth="1"/>
    <col min="509" max="509" width="8.44140625" style="300" customWidth="1"/>
    <col min="510" max="510" width="10.88671875" style="300" customWidth="1"/>
    <col min="511" max="511" width="15.109375" style="300" customWidth="1"/>
    <col min="512" max="752" width="9.109375" style="300"/>
    <col min="753" max="753" width="14.109375" style="300" customWidth="1"/>
    <col min="754" max="754" width="26.88671875" style="300" customWidth="1"/>
    <col min="755" max="755" width="12" style="300" customWidth="1"/>
    <col min="756" max="756" width="10" style="300" customWidth="1"/>
    <col min="757" max="757" width="8.44140625" style="300" customWidth="1"/>
    <col min="758" max="758" width="10.88671875" style="300" customWidth="1"/>
    <col min="759" max="759" width="15.109375" style="300" customWidth="1"/>
    <col min="760" max="760" width="8.33203125" style="300" customWidth="1"/>
    <col min="761" max="761" width="8.44140625" style="300" customWidth="1"/>
    <col min="762" max="762" width="10.88671875" style="300" customWidth="1"/>
    <col min="763" max="763" width="15.109375" style="300" customWidth="1"/>
    <col min="764" max="764" width="8.33203125" style="300" customWidth="1"/>
    <col min="765" max="765" width="8.44140625" style="300" customWidth="1"/>
    <col min="766" max="766" width="10.88671875" style="300" customWidth="1"/>
    <col min="767" max="767" width="15.109375" style="300" customWidth="1"/>
    <col min="768" max="1008" width="9.109375" style="300"/>
    <col min="1009" max="1009" width="14.109375" style="300" customWidth="1"/>
    <col min="1010" max="1010" width="26.88671875" style="300" customWidth="1"/>
    <col min="1011" max="1011" width="12" style="300" customWidth="1"/>
    <col min="1012" max="1012" width="10" style="300" customWidth="1"/>
    <col min="1013" max="1013" width="8.44140625" style="300" customWidth="1"/>
    <col min="1014" max="1014" width="10.88671875" style="300" customWidth="1"/>
    <col min="1015" max="1015" width="15.109375" style="300" customWidth="1"/>
    <col min="1016" max="1016" width="8.33203125" style="300" customWidth="1"/>
    <col min="1017" max="1017" width="8.44140625" style="300" customWidth="1"/>
    <col min="1018" max="1018" width="10.88671875" style="300" customWidth="1"/>
    <col min="1019" max="1019" width="15.109375" style="300" customWidth="1"/>
    <col min="1020" max="1020" width="8.33203125" style="300" customWidth="1"/>
    <col min="1021" max="1021" width="8.44140625" style="300" customWidth="1"/>
    <col min="1022" max="1022" width="10.88671875" style="300" customWidth="1"/>
    <col min="1023" max="1023" width="15.109375" style="300" customWidth="1"/>
    <col min="1024" max="1264" width="9.109375" style="300"/>
    <col min="1265" max="1265" width="14.109375" style="300" customWidth="1"/>
    <col min="1266" max="1266" width="26.88671875" style="300" customWidth="1"/>
    <col min="1267" max="1267" width="12" style="300" customWidth="1"/>
    <col min="1268" max="1268" width="10" style="300" customWidth="1"/>
    <col min="1269" max="1269" width="8.44140625" style="300" customWidth="1"/>
    <col min="1270" max="1270" width="10.88671875" style="300" customWidth="1"/>
    <col min="1271" max="1271" width="15.109375" style="300" customWidth="1"/>
    <col min="1272" max="1272" width="8.33203125" style="300" customWidth="1"/>
    <col min="1273" max="1273" width="8.44140625" style="300" customWidth="1"/>
    <col min="1274" max="1274" width="10.88671875" style="300" customWidth="1"/>
    <col min="1275" max="1275" width="15.109375" style="300" customWidth="1"/>
    <col min="1276" max="1276" width="8.33203125" style="300" customWidth="1"/>
    <col min="1277" max="1277" width="8.44140625" style="300" customWidth="1"/>
    <col min="1278" max="1278" width="10.88671875" style="300" customWidth="1"/>
    <col min="1279" max="1279" width="15.109375" style="300" customWidth="1"/>
    <col min="1280" max="1520" width="9.109375" style="300"/>
    <col min="1521" max="1521" width="14.109375" style="300" customWidth="1"/>
    <col min="1522" max="1522" width="26.88671875" style="300" customWidth="1"/>
    <col min="1523" max="1523" width="12" style="300" customWidth="1"/>
    <col min="1524" max="1524" width="10" style="300" customWidth="1"/>
    <col min="1525" max="1525" width="8.44140625" style="300" customWidth="1"/>
    <col min="1526" max="1526" width="10.88671875" style="300" customWidth="1"/>
    <col min="1527" max="1527" width="15.109375" style="300" customWidth="1"/>
    <col min="1528" max="1528" width="8.33203125" style="300" customWidth="1"/>
    <col min="1529" max="1529" width="8.44140625" style="300" customWidth="1"/>
    <col min="1530" max="1530" width="10.88671875" style="300" customWidth="1"/>
    <col min="1531" max="1531" width="15.109375" style="300" customWidth="1"/>
    <col min="1532" max="1532" width="8.33203125" style="300" customWidth="1"/>
    <col min="1533" max="1533" width="8.44140625" style="300" customWidth="1"/>
    <col min="1534" max="1534" width="10.88671875" style="300" customWidth="1"/>
    <col min="1535" max="1535" width="15.109375" style="300" customWidth="1"/>
    <col min="1536" max="1776" width="9.109375" style="300"/>
    <col min="1777" max="1777" width="14.109375" style="300" customWidth="1"/>
    <col min="1778" max="1778" width="26.88671875" style="300" customWidth="1"/>
    <col min="1779" max="1779" width="12" style="300" customWidth="1"/>
    <col min="1780" max="1780" width="10" style="300" customWidth="1"/>
    <col min="1781" max="1781" width="8.44140625" style="300" customWidth="1"/>
    <col min="1782" max="1782" width="10.88671875" style="300" customWidth="1"/>
    <col min="1783" max="1783" width="15.109375" style="300" customWidth="1"/>
    <col min="1784" max="1784" width="8.33203125" style="300" customWidth="1"/>
    <col min="1785" max="1785" width="8.44140625" style="300" customWidth="1"/>
    <col min="1786" max="1786" width="10.88671875" style="300" customWidth="1"/>
    <col min="1787" max="1787" width="15.109375" style="300" customWidth="1"/>
    <col min="1788" max="1788" width="8.33203125" style="300" customWidth="1"/>
    <col min="1789" max="1789" width="8.44140625" style="300" customWidth="1"/>
    <col min="1790" max="1790" width="10.88671875" style="300" customWidth="1"/>
    <col min="1791" max="1791" width="15.109375" style="300" customWidth="1"/>
    <col min="1792" max="2032" width="9.109375" style="300"/>
    <col min="2033" max="2033" width="14.109375" style="300" customWidth="1"/>
    <col min="2034" max="2034" width="26.88671875" style="300" customWidth="1"/>
    <col min="2035" max="2035" width="12" style="300" customWidth="1"/>
    <col min="2036" max="2036" width="10" style="300" customWidth="1"/>
    <col min="2037" max="2037" width="8.44140625" style="300" customWidth="1"/>
    <col min="2038" max="2038" width="10.88671875" style="300" customWidth="1"/>
    <col min="2039" max="2039" width="15.109375" style="300" customWidth="1"/>
    <col min="2040" max="2040" width="8.33203125" style="300" customWidth="1"/>
    <col min="2041" max="2041" width="8.44140625" style="300" customWidth="1"/>
    <col min="2042" max="2042" width="10.88671875" style="300" customWidth="1"/>
    <col min="2043" max="2043" width="15.109375" style="300" customWidth="1"/>
    <col min="2044" max="2044" width="8.33203125" style="300" customWidth="1"/>
    <col min="2045" max="2045" width="8.44140625" style="300" customWidth="1"/>
    <col min="2046" max="2046" width="10.88671875" style="300" customWidth="1"/>
    <col min="2047" max="2047" width="15.109375" style="300" customWidth="1"/>
    <col min="2048" max="2288" width="9.109375" style="300"/>
    <col min="2289" max="2289" width="14.109375" style="300" customWidth="1"/>
    <col min="2290" max="2290" width="26.88671875" style="300" customWidth="1"/>
    <col min="2291" max="2291" width="12" style="300" customWidth="1"/>
    <col min="2292" max="2292" width="10" style="300" customWidth="1"/>
    <col min="2293" max="2293" width="8.44140625" style="300" customWidth="1"/>
    <col min="2294" max="2294" width="10.88671875" style="300" customWidth="1"/>
    <col min="2295" max="2295" width="15.109375" style="300" customWidth="1"/>
    <col min="2296" max="2296" width="8.33203125" style="300" customWidth="1"/>
    <col min="2297" max="2297" width="8.44140625" style="300" customWidth="1"/>
    <col min="2298" max="2298" width="10.88671875" style="300" customWidth="1"/>
    <col min="2299" max="2299" width="15.109375" style="300" customWidth="1"/>
    <col min="2300" max="2300" width="8.33203125" style="300" customWidth="1"/>
    <col min="2301" max="2301" width="8.44140625" style="300" customWidth="1"/>
    <col min="2302" max="2302" width="10.88671875" style="300" customWidth="1"/>
    <col min="2303" max="2303" width="15.109375" style="300" customWidth="1"/>
    <col min="2304" max="2544" width="9.109375" style="300"/>
    <col min="2545" max="2545" width="14.109375" style="300" customWidth="1"/>
    <col min="2546" max="2546" width="26.88671875" style="300" customWidth="1"/>
    <col min="2547" max="2547" width="12" style="300" customWidth="1"/>
    <col min="2548" max="2548" width="10" style="300" customWidth="1"/>
    <col min="2549" max="2549" width="8.44140625" style="300" customWidth="1"/>
    <col min="2550" max="2550" width="10.88671875" style="300" customWidth="1"/>
    <col min="2551" max="2551" width="15.109375" style="300" customWidth="1"/>
    <col min="2552" max="2552" width="8.33203125" style="300" customWidth="1"/>
    <col min="2553" max="2553" width="8.44140625" style="300" customWidth="1"/>
    <col min="2554" max="2554" width="10.88671875" style="300" customWidth="1"/>
    <col min="2555" max="2555" width="15.109375" style="300" customWidth="1"/>
    <col min="2556" max="2556" width="8.33203125" style="300" customWidth="1"/>
    <col min="2557" max="2557" width="8.44140625" style="300" customWidth="1"/>
    <col min="2558" max="2558" width="10.88671875" style="300" customWidth="1"/>
    <col min="2559" max="2559" width="15.109375" style="300" customWidth="1"/>
    <col min="2560" max="2800" width="9.109375" style="300"/>
    <col min="2801" max="2801" width="14.109375" style="300" customWidth="1"/>
    <col min="2802" max="2802" width="26.88671875" style="300" customWidth="1"/>
    <col min="2803" max="2803" width="12" style="300" customWidth="1"/>
    <col min="2804" max="2804" width="10" style="300" customWidth="1"/>
    <col min="2805" max="2805" width="8.44140625" style="300" customWidth="1"/>
    <col min="2806" max="2806" width="10.88671875" style="300" customWidth="1"/>
    <col min="2807" max="2807" width="15.109375" style="300" customWidth="1"/>
    <col min="2808" max="2808" width="8.33203125" style="300" customWidth="1"/>
    <col min="2809" max="2809" width="8.44140625" style="300" customWidth="1"/>
    <col min="2810" max="2810" width="10.88671875" style="300" customWidth="1"/>
    <col min="2811" max="2811" width="15.109375" style="300" customWidth="1"/>
    <col min="2812" max="2812" width="8.33203125" style="300" customWidth="1"/>
    <col min="2813" max="2813" width="8.44140625" style="300" customWidth="1"/>
    <col min="2814" max="2814" width="10.88671875" style="300" customWidth="1"/>
    <col min="2815" max="2815" width="15.109375" style="300" customWidth="1"/>
    <col min="2816" max="3056" width="9.109375" style="300"/>
    <col min="3057" max="3057" width="14.109375" style="300" customWidth="1"/>
    <col min="3058" max="3058" width="26.88671875" style="300" customWidth="1"/>
    <col min="3059" max="3059" width="12" style="300" customWidth="1"/>
    <col min="3060" max="3060" width="10" style="300" customWidth="1"/>
    <col min="3061" max="3061" width="8.44140625" style="300" customWidth="1"/>
    <col min="3062" max="3062" width="10.88671875" style="300" customWidth="1"/>
    <col min="3063" max="3063" width="15.109375" style="300" customWidth="1"/>
    <col min="3064" max="3064" width="8.33203125" style="300" customWidth="1"/>
    <col min="3065" max="3065" width="8.44140625" style="300" customWidth="1"/>
    <col min="3066" max="3066" width="10.88671875" style="300" customWidth="1"/>
    <col min="3067" max="3067" width="15.109375" style="300" customWidth="1"/>
    <col min="3068" max="3068" width="8.33203125" style="300" customWidth="1"/>
    <col min="3069" max="3069" width="8.44140625" style="300" customWidth="1"/>
    <col min="3070" max="3070" width="10.88671875" style="300" customWidth="1"/>
    <col min="3071" max="3071" width="15.109375" style="300" customWidth="1"/>
    <col min="3072" max="3312" width="9.109375" style="300"/>
    <col min="3313" max="3313" width="14.109375" style="300" customWidth="1"/>
    <col min="3314" max="3314" width="26.88671875" style="300" customWidth="1"/>
    <col min="3315" max="3315" width="12" style="300" customWidth="1"/>
    <col min="3316" max="3316" width="10" style="300" customWidth="1"/>
    <col min="3317" max="3317" width="8.44140625" style="300" customWidth="1"/>
    <col min="3318" max="3318" width="10.88671875" style="300" customWidth="1"/>
    <col min="3319" max="3319" width="15.109375" style="300" customWidth="1"/>
    <col min="3320" max="3320" width="8.33203125" style="300" customWidth="1"/>
    <col min="3321" max="3321" width="8.44140625" style="300" customWidth="1"/>
    <col min="3322" max="3322" width="10.88671875" style="300" customWidth="1"/>
    <col min="3323" max="3323" width="15.109375" style="300" customWidth="1"/>
    <col min="3324" max="3324" width="8.33203125" style="300" customWidth="1"/>
    <col min="3325" max="3325" width="8.44140625" style="300" customWidth="1"/>
    <col min="3326" max="3326" width="10.88671875" style="300" customWidth="1"/>
    <col min="3327" max="3327" width="15.109375" style="300" customWidth="1"/>
    <col min="3328" max="3568" width="9.109375" style="300"/>
    <col min="3569" max="3569" width="14.109375" style="300" customWidth="1"/>
    <col min="3570" max="3570" width="26.88671875" style="300" customWidth="1"/>
    <col min="3571" max="3571" width="12" style="300" customWidth="1"/>
    <col min="3572" max="3572" width="10" style="300" customWidth="1"/>
    <col min="3573" max="3573" width="8.44140625" style="300" customWidth="1"/>
    <col min="3574" max="3574" width="10.88671875" style="300" customWidth="1"/>
    <col min="3575" max="3575" width="15.109375" style="300" customWidth="1"/>
    <col min="3576" max="3576" width="8.33203125" style="300" customWidth="1"/>
    <col min="3577" max="3577" width="8.44140625" style="300" customWidth="1"/>
    <col min="3578" max="3578" width="10.88671875" style="300" customWidth="1"/>
    <col min="3579" max="3579" width="15.109375" style="300" customWidth="1"/>
    <col min="3580" max="3580" width="8.33203125" style="300" customWidth="1"/>
    <col min="3581" max="3581" width="8.44140625" style="300" customWidth="1"/>
    <col min="3582" max="3582" width="10.88671875" style="300" customWidth="1"/>
    <col min="3583" max="3583" width="15.109375" style="300" customWidth="1"/>
    <col min="3584" max="3824" width="9.109375" style="300"/>
    <col min="3825" max="3825" width="14.109375" style="300" customWidth="1"/>
    <col min="3826" max="3826" width="26.88671875" style="300" customWidth="1"/>
    <col min="3827" max="3827" width="12" style="300" customWidth="1"/>
    <col min="3828" max="3828" width="10" style="300" customWidth="1"/>
    <col min="3829" max="3829" width="8.44140625" style="300" customWidth="1"/>
    <col min="3830" max="3830" width="10.88671875" style="300" customWidth="1"/>
    <col min="3831" max="3831" width="15.109375" style="300" customWidth="1"/>
    <col min="3832" max="3832" width="8.33203125" style="300" customWidth="1"/>
    <col min="3833" max="3833" width="8.44140625" style="300" customWidth="1"/>
    <col min="3834" max="3834" width="10.88671875" style="300" customWidth="1"/>
    <col min="3835" max="3835" width="15.109375" style="300" customWidth="1"/>
    <col min="3836" max="3836" width="8.33203125" style="300" customWidth="1"/>
    <col min="3837" max="3837" width="8.44140625" style="300" customWidth="1"/>
    <col min="3838" max="3838" width="10.88671875" style="300" customWidth="1"/>
    <col min="3839" max="3839" width="15.109375" style="300" customWidth="1"/>
    <col min="3840" max="4080" width="9.109375" style="300"/>
    <col min="4081" max="4081" width="14.109375" style="300" customWidth="1"/>
    <col min="4082" max="4082" width="26.88671875" style="300" customWidth="1"/>
    <col min="4083" max="4083" width="12" style="300" customWidth="1"/>
    <col min="4084" max="4084" width="10" style="300" customWidth="1"/>
    <col min="4085" max="4085" width="8.44140625" style="300" customWidth="1"/>
    <col min="4086" max="4086" width="10.88671875" style="300" customWidth="1"/>
    <col min="4087" max="4087" width="15.109375" style="300" customWidth="1"/>
    <col min="4088" max="4088" width="8.33203125" style="300" customWidth="1"/>
    <col min="4089" max="4089" width="8.44140625" style="300" customWidth="1"/>
    <col min="4090" max="4090" width="10.88671875" style="300" customWidth="1"/>
    <col min="4091" max="4091" width="15.109375" style="300" customWidth="1"/>
    <col min="4092" max="4092" width="8.33203125" style="300" customWidth="1"/>
    <col min="4093" max="4093" width="8.44140625" style="300" customWidth="1"/>
    <col min="4094" max="4094" width="10.88671875" style="300" customWidth="1"/>
    <col min="4095" max="4095" width="15.109375" style="300" customWidth="1"/>
    <col min="4096" max="4336" width="9.109375" style="300"/>
    <col min="4337" max="4337" width="14.109375" style="300" customWidth="1"/>
    <col min="4338" max="4338" width="26.88671875" style="300" customWidth="1"/>
    <col min="4339" max="4339" width="12" style="300" customWidth="1"/>
    <col min="4340" max="4340" width="10" style="300" customWidth="1"/>
    <col min="4341" max="4341" width="8.44140625" style="300" customWidth="1"/>
    <col min="4342" max="4342" width="10.88671875" style="300" customWidth="1"/>
    <col min="4343" max="4343" width="15.109375" style="300" customWidth="1"/>
    <col min="4344" max="4344" width="8.33203125" style="300" customWidth="1"/>
    <col min="4345" max="4345" width="8.44140625" style="300" customWidth="1"/>
    <col min="4346" max="4346" width="10.88671875" style="300" customWidth="1"/>
    <col min="4347" max="4347" width="15.109375" style="300" customWidth="1"/>
    <col min="4348" max="4348" width="8.33203125" style="300" customWidth="1"/>
    <col min="4349" max="4349" width="8.44140625" style="300" customWidth="1"/>
    <col min="4350" max="4350" width="10.88671875" style="300" customWidth="1"/>
    <col min="4351" max="4351" width="15.109375" style="300" customWidth="1"/>
    <col min="4352" max="4592" width="9.109375" style="300"/>
    <col min="4593" max="4593" width="14.109375" style="300" customWidth="1"/>
    <col min="4594" max="4594" width="26.88671875" style="300" customWidth="1"/>
    <col min="4595" max="4595" width="12" style="300" customWidth="1"/>
    <col min="4596" max="4596" width="10" style="300" customWidth="1"/>
    <col min="4597" max="4597" width="8.44140625" style="300" customWidth="1"/>
    <col min="4598" max="4598" width="10.88671875" style="300" customWidth="1"/>
    <col min="4599" max="4599" width="15.109375" style="300" customWidth="1"/>
    <col min="4600" max="4600" width="8.33203125" style="300" customWidth="1"/>
    <col min="4601" max="4601" width="8.44140625" style="300" customWidth="1"/>
    <col min="4602" max="4602" width="10.88671875" style="300" customWidth="1"/>
    <col min="4603" max="4603" width="15.109375" style="300" customWidth="1"/>
    <col min="4604" max="4604" width="8.33203125" style="300" customWidth="1"/>
    <col min="4605" max="4605" width="8.44140625" style="300" customWidth="1"/>
    <col min="4606" max="4606" width="10.88671875" style="300" customWidth="1"/>
    <col min="4607" max="4607" width="15.109375" style="300" customWidth="1"/>
    <col min="4608" max="4848" width="9.109375" style="300"/>
    <col min="4849" max="4849" width="14.109375" style="300" customWidth="1"/>
    <col min="4850" max="4850" width="26.88671875" style="300" customWidth="1"/>
    <col min="4851" max="4851" width="12" style="300" customWidth="1"/>
    <col min="4852" max="4852" width="10" style="300" customWidth="1"/>
    <col min="4853" max="4853" width="8.44140625" style="300" customWidth="1"/>
    <col min="4854" max="4854" width="10.88671875" style="300" customWidth="1"/>
    <col min="4855" max="4855" width="15.109375" style="300" customWidth="1"/>
    <col min="4856" max="4856" width="8.33203125" style="300" customWidth="1"/>
    <col min="4857" max="4857" width="8.44140625" style="300" customWidth="1"/>
    <col min="4858" max="4858" width="10.88671875" style="300" customWidth="1"/>
    <col min="4859" max="4859" width="15.109375" style="300" customWidth="1"/>
    <col min="4860" max="4860" width="8.33203125" style="300" customWidth="1"/>
    <col min="4861" max="4861" width="8.44140625" style="300" customWidth="1"/>
    <col min="4862" max="4862" width="10.88671875" style="300" customWidth="1"/>
    <col min="4863" max="4863" width="15.109375" style="300" customWidth="1"/>
    <col min="4864" max="5104" width="9.109375" style="300"/>
    <col min="5105" max="5105" width="14.109375" style="300" customWidth="1"/>
    <col min="5106" max="5106" width="26.88671875" style="300" customWidth="1"/>
    <col min="5107" max="5107" width="12" style="300" customWidth="1"/>
    <col min="5108" max="5108" width="10" style="300" customWidth="1"/>
    <col min="5109" max="5109" width="8.44140625" style="300" customWidth="1"/>
    <col min="5110" max="5110" width="10.88671875" style="300" customWidth="1"/>
    <col min="5111" max="5111" width="15.109375" style="300" customWidth="1"/>
    <col min="5112" max="5112" width="8.33203125" style="300" customWidth="1"/>
    <col min="5113" max="5113" width="8.44140625" style="300" customWidth="1"/>
    <col min="5114" max="5114" width="10.88671875" style="300" customWidth="1"/>
    <col min="5115" max="5115" width="15.109375" style="300" customWidth="1"/>
    <col min="5116" max="5116" width="8.33203125" style="300" customWidth="1"/>
    <col min="5117" max="5117" width="8.44140625" style="300" customWidth="1"/>
    <col min="5118" max="5118" width="10.88671875" style="300" customWidth="1"/>
    <col min="5119" max="5119" width="15.109375" style="300" customWidth="1"/>
    <col min="5120" max="5360" width="9.109375" style="300"/>
    <col min="5361" max="5361" width="14.109375" style="300" customWidth="1"/>
    <col min="5362" max="5362" width="26.88671875" style="300" customWidth="1"/>
    <col min="5363" max="5363" width="12" style="300" customWidth="1"/>
    <col min="5364" max="5364" width="10" style="300" customWidth="1"/>
    <col min="5365" max="5365" width="8.44140625" style="300" customWidth="1"/>
    <col min="5366" max="5366" width="10.88671875" style="300" customWidth="1"/>
    <col min="5367" max="5367" width="15.109375" style="300" customWidth="1"/>
    <col min="5368" max="5368" width="8.33203125" style="300" customWidth="1"/>
    <col min="5369" max="5369" width="8.44140625" style="300" customWidth="1"/>
    <col min="5370" max="5370" width="10.88671875" style="300" customWidth="1"/>
    <col min="5371" max="5371" width="15.109375" style="300" customWidth="1"/>
    <col min="5372" max="5372" width="8.33203125" style="300" customWidth="1"/>
    <col min="5373" max="5373" width="8.44140625" style="300" customWidth="1"/>
    <col min="5374" max="5374" width="10.88671875" style="300" customWidth="1"/>
    <col min="5375" max="5375" width="15.109375" style="300" customWidth="1"/>
    <col min="5376" max="5616" width="9.109375" style="300"/>
    <col min="5617" max="5617" width="14.109375" style="300" customWidth="1"/>
    <col min="5618" max="5618" width="26.88671875" style="300" customWidth="1"/>
    <col min="5619" max="5619" width="12" style="300" customWidth="1"/>
    <col min="5620" max="5620" width="10" style="300" customWidth="1"/>
    <col min="5621" max="5621" width="8.44140625" style="300" customWidth="1"/>
    <col min="5622" max="5622" width="10.88671875" style="300" customWidth="1"/>
    <col min="5623" max="5623" width="15.109375" style="300" customWidth="1"/>
    <col min="5624" max="5624" width="8.33203125" style="300" customWidth="1"/>
    <col min="5625" max="5625" width="8.44140625" style="300" customWidth="1"/>
    <col min="5626" max="5626" width="10.88671875" style="300" customWidth="1"/>
    <col min="5627" max="5627" width="15.109375" style="300" customWidth="1"/>
    <col min="5628" max="5628" width="8.33203125" style="300" customWidth="1"/>
    <col min="5629" max="5629" width="8.44140625" style="300" customWidth="1"/>
    <col min="5630" max="5630" width="10.88671875" style="300" customWidth="1"/>
    <col min="5631" max="5631" width="15.109375" style="300" customWidth="1"/>
    <col min="5632" max="5872" width="9.109375" style="300"/>
    <col min="5873" max="5873" width="14.109375" style="300" customWidth="1"/>
    <col min="5874" max="5874" width="26.88671875" style="300" customWidth="1"/>
    <col min="5875" max="5875" width="12" style="300" customWidth="1"/>
    <col min="5876" max="5876" width="10" style="300" customWidth="1"/>
    <col min="5877" max="5877" width="8.44140625" style="300" customWidth="1"/>
    <col min="5878" max="5878" width="10.88671875" style="300" customWidth="1"/>
    <col min="5879" max="5879" width="15.109375" style="300" customWidth="1"/>
    <col min="5880" max="5880" width="8.33203125" style="300" customWidth="1"/>
    <col min="5881" max="5881" width="8.44140625" style="300" customWidth="1"/>
    <col min="5882" max="5882" width="10.88671875" style="300" customWidth="1"/>
    <col min="5883" max="5883" width="15.109375" style="300" customWidth="1"/>
    <col min="5884" max="5884" width="8.33203125" style="300" customWidth="1"/>
    <col min="5885" max="5885" width="8.44140625" style="300" customWidth="1"/>
    <col min="5886" max="5886" width="10.88671875" style="300" customWidth="1"/>
    <col min="5887" max="5887" width="15.109375" style="300" customWidth="1"/>
    <col min="5888" max="6128" width="9.109375" style="300"/>
    <col min="6129" max="6129" width="14.109375" style="300" customWidth="1"/>
    <col min="6130" max="6130" width="26.88671875" style="300" customWidth="1"/>
    <col min="6131" max="6131" width="12" style="300" customWidth="1"/>
    <col min="6132" max="6132" width="10" style="300" customWidth="1"/>
    <col min="6133" max="6133" width="8.44140625" style="300" customWidth="1"/>
    <col min="6134" max="6134" width="10.88671875" style="300" customWidth="1"/>
    <col min="6135" max="6135" width="15.109375" style="300" customWidth="1"/>
    <col min="6136" max="6136" width="8.33203125" style="300" customWidth="1"/>
    <col min="6137" max="6137" width="8.44140625" style="300" customWidth="1"/>
    <col min="6138" max="6138" width="10.88671875" style="300" customWidth="1"/>
    <col min="6139" max="6139" width="15.109375" style="300" customWidth="1"/>
    <col min="6140" max="6140" width="8.33203125" style="300" customWidth="1"/>
    <col min="6141" max="6141" width="8.44140625" style="300" customWidth="1"/>
    <col min="6142" max="6142" width="10.88671875" style="300" customWidth="1"/>
    <col min="6143" max="6143" width="15.109375" style="300" customWidth="1"/>
    <col min="6144" max="6384" width="9.109375" style="300"/>
    <col min="6385" max="6385" width="14.109375" style="300" customWidth="1"/>
    <col min="6386" max="6386" width="26.88671875" style="300" customWidth="1"/>
    <col min="6387" max="6387" width="12" style="300" customWidth="1"/>
    <col min="6388" max="6388" width="10" style="300" customWidth="1"/>
    <col min="6389" max="6389" width="8.44140625" style="300" customWidth="1"/>
    <col min="6390" max="6390" width="10.88671875" style="300" customWidth="1"/>
    <col min="6391" max="6391" width="15.109375" style="300" customWidth="1"/>
    <col min="6392" max="6392" width="8.33203125" style="300" customWidth="1"/>
    <col min="6393" max="6393" width="8.44140625" style="300" customWidth="1"/>
    <col min="6394" max="6394" width="10.88671875" style="300" customWidth="1"/>
    <col min="6395" max="6395" width="15.109375" style="300" customWidth="1"/>
    <col min="6396" max="6396" width="8.33203125" style="300" customWidth="1"/>
    <col min="6397" max="6397" width="8.44140625" style="300" customWidth="1"/>
    <col min="6398" max="6398" width="10.88671875" style="300" customWidth="1"/>
    <col min="6399" max="6399" width="15.109375" style="300" customWidth="1"/>
    <col min="6400" max="6640" width="9.109375" style="300"/>
    <col min="6641" max="6641" width="14.109375" style="300" customWidth="1"/>
    <col min="6642" max="6642" width="26.88671875" style="300" customWidth="1"/>
    <col min="6643" max="6643" width="12" style="300" customWidth="1"/>
    <col min="6644" max="6644" width="10" style="300" customWidth="1"/>
    <col min="6645" max="6645" width="8.44140625" style="300" customWidth="1"/>
    <col min="6646" max="6646" width="10.88671875" style="300" customWidth="1"/>
    <col min="6647" max="6647" width="15.109375" style="300" customWidth="1"/>
    <col min="6648" max="6648" width="8.33203125" style="300" customWidth="1"/>
    <col min="6649" max="6649" width="8.44140625" style="300" customWidth="1"/>
    <col min="6650" max="6650" width="10.88671875" style="300" customWidth="1"/>
    <col min="6651" max="6651" width="15.109375" style="300" customWidth="1"/>
    <col min="6652" max="6652" width="8.33203125" style="300" customWidth="1"/>
    <col min="6653" max="6653" width="8.44140625" style="300" customWidth="1"/>
    <col min="6654" max="6654" width="10.88671875" style="300" customWidth="1"/>
    <col min="6655" max="6655" width="15.109375" style="300" customWidth="1"/>
    <col min="6656" max="6896" width="9.109375" style="300"/>
    <col min="6897" max="6897" width="14.109375" style="300" customWidth="1"/>
    <col min="6898" max="6898" width="26.88671875" style="300" customWidth="1"/>
    <col min="6899" max="6899" width="12" style="300" customWidth="1"/>
    <col min="6900" max="6900" width="10" style="300" customWidth="1"/>
    <col min="6901" max="6901" width="8.44140625" style="300" customWidth="1"/>
    <col min="6902" max="6902" width="10.88671875" style="300" customWidth="1"/>
    <col min="6903" max="6903" width="15.109375" style="300" customWidth="1"/>
    <col min="6904" max="6904" width="8.33203125" style="300" customWidth="1"/>
    <col min="6905" max="6905" width="8.44140625" style="300" customWidth="1"/>
    <col min="6906" max="6906" width="10.88671875" style="300" customWidth="1"/>
    <col min="6907" max="6907" width="15.109375" style="300" customWidth="1"/>
    <col min="6908" max="6908" width="8.33203125" style="300" customWidth="1"/>
    <col min="6909" max="6909" width="8.44140625" style="300" customWidth="1"/>
    <col min="6910" max="6910" width="10.88671875" style="300" customWidth="1"/>
    <col min="6911" max="6911" width="15.109375" style="300" customWidth="1"/>
    <col min="6912" max="7152" width="9.109375" style="300"/>
    <col min="7153" max="7153" width="14.109375" style="300" customWidth="1"/>
    <col min="7154" max="7154" width="26.88671875" style="300" customWidth="1"/>
    <col min="7155" max="7155" width="12" style="300" customWidth="1"/>
    <col min="7156" max="7156" width="10" style="300" customWidth="1"/>
    <col min="7157" max="7157" width="8.44140625" style="300" customWidth="1"/>
    <col min="7158" max="7158" width="10.88671875" style="300" customWidth="1"/>
    <col min="7159" max="7159" width="15.109375" style="300" customWidth="1"/>
    <col min="7160" max="7160" width="8.33203125" style="300" customWidth="1"/>
    <col min="7161" max="7161" width="8.44140625" style="300" customWidth="1"/>
    <col min="7162" max="7162" width="10.88671875" style="300" customWidth="1"/>
    <col min="7163" max="7163" width="15.109375" style="300" customWidth="1"/>
    <col min="7164" max="7164" width="8.33203125" style="300" customWidth="1"/>
    <col min="7165" max="7165" width="8.44140625" style="300" customWidth="1"/>
    <col min="7166" max="7166" width="10.88671875" style="300" customWidth="1"/>
    <col min="7167" max="7167" width="15.109375" style="300" customWidth="1"/>
    <col min="7168" max="7408" width="9.109375" style="300"/>
    <col min="7409" max="7409" width="14.109375" style="300" customWidth="1"/>
    <col min="7410" max="7410" width="26.88671875" style="300" customWidth="1"/>
    <col min="7411" max="7411" width="12" style="300" customWidth="1"/>
    <col min="7412" max="7412" width="10" style="300" customWidth="1"/>
    <col min="7413" max="7413" width="8.44140625" style="300" customWidth="1"/>
    <col min="7414" max="7414" width="10.88671875" style="300" customWidth="1"/>
    <col min="7415" max="7415" width="15.109375" style="300" customWidth="1"/>
    <col min="7416" max="7416" width="8.33203125" style="300" customWidth="1"/>
    <col min="7417" max="7417" width="8.44140625" style="300" customWidth="1"/>
    <col min="7418" max="7418" width="10.88671875" style="300" customWidth="1"/>
    <col min="7419" max="7419" width="15.109375" style="300" customWidth="1"/>
    <col min="7420" max="7420" width="8.33203125" style="300" customWidth="1"/>
    <col min="7421" max="7421" width="8.44140625" style="300" customWidth="1"/>
    <col min="7422" max="7422" width="10.88671875" style="300" customWidth="1"/>
    <col min="7423" max="7423" width="15.109375" style="300" customWidth="1"/>
    <col min="7424" max="7664" width="9.109375" style="300"/>
    <col min="7665" max="7665" width="14.109375" style="300" customWidth="1"/>
    <col min="7666" max="7666" width="26.88671875" style="300" customWidth="1"/>
    <col min="7667" max="7667" width="12" style="300" customWidth="1"/>
    <col min="7668" max="7668" width="10" style="300" customWidth="1"/>
    <col min="7669" max="7669" width="8.44140625" style="300" customWidth="1"/>
    <col min="7670" max="7670" width="10.88671875" style="300" customWidth="1"/>
    <col min="7671" max="7671" width="15.109375" style="300" customWidth="1"/>
    <col min="7672" max="7672" width="8.33203125" style="300" customWidth="1"/>
    <col min="7673" max="7673" width="8.44140625" style="300" customWidth="1"/>
    <col min="7674" max="7674" width="10.88671875" style="300" customWidth="1"/>
    <col min="7675" max="7675" width="15.109375" style="300" customWidth="1"/>
    <col min="7676" max="7676" width="8.33203125" style="300" customWidth="1"/>
    <col min="7677" max="7677" width="8.44140625" style="300" customWidth="1"/>
    <col min="7678" max="7678" width="10.88671875" style="300" customWidth="1"/>
    <col min="7679" max="7679" width="15.109375" style="300" customWidth="1"/>
    <col min="7680" max="7920" width="9.109375" style="300"/>
    <col min="7921" max="7921" width="14.109375" style="300" customWidth="1"/>
    <col min="7922" max="7922" width="26.88671875" style="300" customWidth="1"/>
    <col min="7923" max="7923" width="12" style="300" customWidth="1"/>
    <col min="7924" max="7924" width="10" style="300" customWidth="1"/>
    <col min="7925" max="7925" width="8.44140625" style="300" customWidth="1"/>
    <col min="7926" max="7926" width="10.88671875" style="300" customWidth="1"/>
    <col min="7927" max="7927" width="15.109375" style="300" customWidth="1"/>
    <col min="7928" max="7928" width="8.33203125" style="300" customWidth="1"/>
    <col min="7929" max="7929" width="8.44140625" style="300" customWidth="1"/>
    <col min="7930" max="7930" width="10.88671875" style="300" customWidth="1"/>
    <col min="7931" max="7931" width="15.109375" style="300" customWidth="1"/>
    <col min="7932" max="7932" width="8.33203125" style="300" customWidth="1"/>
    <col min="7933" max="7933" width="8.44140625" style="300" customWidth="1"/>
    <col min="7934" max="7934" width="10.88671875" style="300" customWidth="1"/>
    <col min="7935" max="7935" width="15.109375" style="300" customWidth="1"/>
    <col min="7936" max="8176" width="9.109375" style="300"/>
    <col min="8177" max="8177" width="14.109375" style="300" customWidth="1"/>
    <col min="8178" max="8178" width="26.88671875" style="300" customWidth="1"/>
    <col min="8179" max="8179" width="12" style="300" customWidth="1"/>
    <col min="8180" max="8180" width="10" style="300" customWidth="1"/>
    <col min="8181" max="8181" width="8.44140625" style="300" customWidth="1"/>
    <col min="8182" max="8182" width="10.88671875" style="300" customWidth="1"/>
    <col min="8183" max="8183" width="15.109375" style="300" customWidth="1"/>
    <col min="8184" max="8184" width="8.33203125" style="300" customWidth="1"/>
    <col min="8185" max="8185" width="8.44140625" style="300" customWidth="1"/>
    <col min="8186" max="8186" width="10.88671875" style="300" customWidth="1"/>
    <col min="8187" max="8187" width="15.109375" style="300" customWidth="1"/>
    <col min="8188" max="8188" width="8.33203125" style="300" customWidth="1"/>
    <col min="8189" max="8189" width="8.44140625" style="300" customWidth="1"/>
    <col min="8190" max="8190" width="10.88671875" style="300" customWidth="1"/>
    <col min="8191" max="8191" width="15.109375" style="300" customWidth="1"/>
    <col min="8192" max="8432" width="9.109375" style="300"/>
    <col min="8433" max="8433" width="14.109375" style="300" customWidth="1"/>
    <col min="8434" max="8434" width="26.88671875" style="300" customWidth="1"/>
    <col min="8435" max="8435" width="12" style="300" customWidth="1"/>
    <col min="8436" max="8436" width="10" style="300" customWidth="1"/>
    <col min="8437" max="8437" width="8.44140625" style="300" customWidth="1"/>
    <col min="8438" max="8438" width="10.88671875" style="300" customWidth="1"/>
    <col min="8439" max="8439" width="15.109375" style="300" customWidth="1"/>
    <col min="8440" max="8440" width="8.33203125" style="300" customWidth="1"/>
    <col min="8441" max="8441" width="8.44140625" style="300" customWidth="1"/>
    <col min="8442" max="8442" width="10.88671875" style="300" customWidth="1"/>
    <col min="8443" max="8443" width="15.109375" style="300" customWidth="1"/>
    <col min="8444" max="8444" width="8.33203125" style="300" customWidth="1"/>
    <col min="8445" max="8445" width="8.44140625" style="300" customWidth="1"/>
    <col min="8446" max="8446" width="10.88671875" style="300" customWidth="1"/>
    <col min="8447" max="8447" width="15.109375" style="300" customWidth="1"/>
    <col min="8448" max="8688" width="9.109375" style="300"/>
    <col min="8689" max="8689" width="14.109375" style="300" customWidth="1"/>
    <col min="8690" max="8690" width="26.88671875" style="300" customWidth="1"/>
    <col min="8691" max="8691" width="12" style="300" customWidth="1"/>
    <col min="8692" max="8692" width="10" style="300" customWidth="1"/>
    <col min="8693" max="8693" width="8.44140625" style="300" customWidth="1"/>
    <col min="8694" max="8694" width="10.88671875" style="300" customWidth="1"/>
    <col min="8695" max="8695" width="15.109375" style="300" customWidth="1"/>
    <col min="8696" max="8696" width="8.33203125" style="300" customWidth="1"/>
    <col min="8697" max="8697" width="8.44140625" style="300" customWidth="1"/>
    <col min="8698" max="8698" width="10.88671875" style="300" customWidth="1"/>
    <col min="8699" max="8699" width="15.109375" style="300" customWidth="1"/>
    <col min="8700" max="8700" width="8.33203125" style="300" customWidth="1"/>
    <col min="8701" max="8701" width="8.44140625" style="300" customWidth="1"/>
    <col min="8702" max="8702" width="10.88671875" style="300" customWidth="1"/>
    <col min="8703" max="8703" width="15.109375" style="300" customWidth="1"/>
    <col min="8704" max="8944" width="9.109375" style="300"/>
    <col min="8945" max="8945" width="14.109375" style="300" customWidth="1"/>
    <col min="8946" max="8946" width="26.88671875" style="300" customWidth="1"/>
    <col min="8947" max="8947" width="12" style="300" customWidth="1"/>
    <col min="8948" max="8948" width="10" style="300" customWidth="1"/>
    <col min="8949" max="8949" width="8.44140625" style="300" customWidth="1"/>
    <col min="8950" max="8950" width="10.88671875" style="300" customWidth="1"/>
    <col min="8951" max="8951" width="15.109375" style="300" customWidth="1"/>
    <col min="8952" max="8952" width="8.33203125" style="300" customWidth="1"/>
    <col min="8953" max="8953" width="8.44140625" style="300" customWidth="1"/>
    <col min="8954" max="8954" width="10.88671875" style="300" customWidth="1"/>
    <col min="8955" max="8955" width="15.109375" style="300" customWidth="1"/>
    <col min="8956" max="8956" width="8.33203125" style="300" customWidth="1"/>
    <col min="8957" max="8957" width="8.44140625" style="300" customWidth="1"/>
    <col min="8958" max="8958" width="10.88671875" style="300" customWidth="1"/>
    <col min="8959" max="8959" width="15.109375" style="300" customWidth="1"/>
    <col min="8960" max="9200" width="9.109375" style="300"/>
    <col min="9201" max="9201" width="14.109375" style="300" customWidth="1"/>
    <col min="9202" max="9202" width="26.88671875" style="300" customWidth="1"/>
    <col min="9203" max="9203" width="12" style="300" customWidth="1"/>
    <col min="9204" max="9204" width="10" style="300" customWidth="1"/>
    <col min="9205" max="9205" width="8.44140625" style="300" customWidth="1"/>
    <col min="9206" max="9206" width="10.88671875" style="300" customWidth="1"/>
    <col min="9207" max="9207" width="15.109375" style="300" customWidth="1"/>
    <col min="9208" max="9208" width="8.33203125" style="300" customWidth="1"/>
    <col min="9209" max="9209" width="8.44140625" style="300" customWidth="1"/>
    <col min="9210" max="9210" width="10.88671875" style="300" customWidth="1"/>
    <col min="9211" max="9211" width="15.109375" style="300" customWidth="1"/>
    <col min="9212" max="9212" width="8.33203125" style="300" customWidth="1"/>
    <col min="9213" max="9213" width="8.44140625" style="300" customWidth="1"/>
    <col min="9214" max="9214" width="10.88671875" style="300" customWidth="1"/>
    <col min="9215" max="9215" width="15.109375" style="300" customWidth="1"/>
    <col min="9216" max="9456" width="9.109375" style="300"/>
    <col min="9457" max="9457" width="14.109375" style="300" customWidth="1"/>
    <col min="9458" max="9458" width="26.88671875" style="300" customWidth="1"/>
    <col min="9459" max="9459" width="12" style="300" customWidth="1"/>
    <col min="9460" max="9460" width="10" style="300" customWidth="1"/>
    <col min="9461" max="9461" width="8.44140625" style="300" customWidth="1"/>
    <col min="9462" max="9462" width="10.88671875" style="300" customWidth="1"/>
    <col min="9463" max="9463" width="15.109375" style="300" customWidth="1"/>
    <col min="9464" max="9464" width="8.33203125" style="300" customWidth="1"/>
    <col min="9465" max="9465" width="8.44140625" style="300" customWidth="1"/>
    <col min="9466" max="9466" width="10.88671875" style="300" customWidth="1"/>
    <col min="9467" max="9467" width="15.109375" style="300" customWidth="1"/>
    <col min="9468" max="9468" width="8.33203125" style="300" customWidth="1"/>
    <col min="9469" max="9469" width="8.44140625" style="300" customWidth="1"/>
    <col min="9470" max="9470" width="10.88671875" style="300" customWidth="1"/>
    <col min="9471" max="9471" width="15.109375" style="300" customWidth="1"/>
    <col min="9472" max="9712" width="9.109375" style="300"/>
    <col min="9713" max="9713" width="14.109375" style="300" customWidth="1"/>
    <col min="9714" max="9714" width="26.88671875" style="300" customWidth="1"/>
    <col min="9715" max="9715" width="12" style="300" customWidth="1"/>
    <col min="9716" max="9716" width="10" style="300" customWidth="1"/>
    <col min="9717" max="9717" width="8.44140625" style="300" customWidth="1"/>
    <col min="9718" max="9718" width="10.88671875" style="300" customWidth="1"/>
    <col min="9719" max="9719" width="15.109375" style="300" customWidth="1"/>
    <col min="9720" max="9720" width="8.33203125" style="300" customWidth="1"/>
    <col min="9721" max="9721" width="8.44140625" style="300" customWidth="1"/>
    <col min="9722" max="9722" width="10.88671875" style="300" customWidth="1"/>
    <col min="9723" max="9723" width="15.109375" style="300" customWidth="1"/>
    <col min="9724" max="9724" width="8.33203125" style="300" customWidth="1"/>
    <col min="9725" max="9725" width="8.44140625" style="300" customWidth="1"/>
    <col min="9726" max="9726" width="10.88671875" style="300" customWidth="1"/>
    <col min="9727" max="9727" width="15.109375" style="300" customWidth="1"/>
    <col min="9728" max="9968" width="9.109375" style="300"/>
    <col min="9969" max="9969" width="14.109375" style="300" customWidth="1"/>
    <col min="9970" max="9970" width="26.88671875" style="300" customWidth="1"/>
    <col min="9971" max="9971" width="12" style="300" customWidth="1"/>
    <col min="9972" max="9972" width="10" style="300" customWidth="1"/>
    <col min="9973" max="9973" width="8.44140625" style="300" customWidth="1"/>
    <col min="9974" max="9974" width="10.88671875" style="300" customWidth="1"/>
    <col min="9975" max="9975" width="15.109375" style="300" customWidth="1"/>
    <col min="9976" max="9976" width="8.33203125" style="300" customWidth="1"/>
    <col min="9977" max="9977" width="8.44140625" style="300" customWidth="1"/>
    <col min="9978" max="9978" width="10.88671875" style="300" customWidth="1"/>
    <col min="9979" max="9979" width="15.109375" style="300" customWidth="1"/>
    <col min="9980" max="9980" width="8.33203125" style="300" customWidth="1"/>
    <col min="9981" max="9981" width="8.44140625" style="300" customWidth="1"/>
    <col min="9982" max="9982" width="10.88671875" style="300" customWidth="1"/>
    <col min="9983" max="9983" width="15.109375" style="300" customWidth="1"/>
    <col min="9984" max="10224" width="9.109375" style="300"/>
    <col min="10225" max="10225" width="14.109375" style="300" customWidth="1"/>
    <col min="10226" max="10226" width="26.88671875" style="300" customWidth="1"/>
    <col min="10227" max="10227" width="12" style="300" customWidth="1"/>
    <col min="10228" max="10228" width="10" style="300" customWidth="1"/>
    <col min="10229" max="10229" width="8.44140625" style="300" customWidth="1"/>
    <col min="10230" max="10230" width="10.88671875" style="300" customWidth="1"/>
    <col min="10231" max="10231" width="15.109375" style="300" customWidth="1"/>
    <col min="10232" max="10232" width="8.33203125" style="300" customWidth="1"/>
    <col min="10233" max="10233" width="8.44140625" style="300" customWidth="1"/>
    <col min="10234" max="10234" width="10.88671875" style="300" customWidth="1"/>
    <col min="10235" max="10235" width="15.109375" style="300" customWidth="1"/>
    <col min="10236" max="10236" width="8.33203125" style="300" customWidth="1"/>
    <col min="10237" max="10237" width="8.44140625" style="300" customWidth="1"/>
    <col min="10238" max="10238" width="10.88671875" style="300" customWidth="1"/>
    <col min="10239" max="10239" width="15.109375" style="300" customWidth="1"/>
    <col min="10240" max="10480" width="9.109375" style="300"/>
    <col min="10481" max="10481" width="14.109375" style="300" customWidth="1"/>
    <col min="10482" max="10482" width="26.88671875" style="300" customWidth="1"/>
    <col min="10483" max="10483" width="12" style="300" customWidth="1"/>
    <col min="10484" max="10484" width="10" style="300" customWidth="1"/>
    <col min="10485" max="10485" width="8.44140625" style="300" customWidth="1"/>
    <col min="10486" max="10486" width="10.88671875" style="300" customWidth="1"/>
    <col min="10487" max="10487" width="15.109375" style="300" customWidth="1"/>
    <col min="10488" max="10488" width="8.33203125" style="300" customWidth="1"/>
    <col min="10489" max="10489" width="8.44140625" style="300" customWidth="1"/>
    <col min="10490" max="10490" width="10.88671875" style="300" customWidth="1"/>
    <col min="10491" max="10491" width="15.109375" style="300" customWidth="1"/>
    <col min="10492" max="10492" width="8.33203125" style="300" customWidth="1"/>
    <col min="10493" max="10493" width="8.44140625" style="300" customWidth="1"/>
    <col min="10494" max="10494" width="10.88671875" style="300" customWidth="1"/>
    <col min="10495" max="10495" width="15.109375" style="300" customWidth="1"/>
    <col min="10496" max="10736" width="9.109375" style="300"/>
    <col min="10737" max="10737" width="14.109375" style="300" customWidth="1"/>
    <col min="10738" max="10738" width="26.88671875" style="300" customWidth="1"/>
    <col min="10739" max="10739" width="12" style="300" customWidth="1"/>
    <col min="10740" max="10740" width="10" style="300" customWidth="1"/>
    <col min="10741" max="10741" width="8.44140625" style="300" customWidth="1"/>
    <col min="10742" max="10742" width="10.88671875" style="300" customWidth="1"/>
    <col min="10743" max="10743" width="15.109375" style="300" customWidth="1"/>
    <col min="10744" max="10744" width="8.33203125" style="300" customWidth="1"/>
    <col min="10745" max="10745" width="8.44140625" style="300" customWidth="1"/>
    <col min="10746" max="10746" width="10.88671875" style="300" customWidth="1"/>
    <col min="10747" max="10747" width="15.109375" style="300" customWidth="1"/>
    <col min="10748" max="10748" width="8.33203125" style="300" customWidth="1"/>
    <col min="10749" max="10749" width="8.44140625" style="300" customWidth="1"/>
    <col min="10750" max="10750" width="10.88671875" style="300" customWidth="1"/>
    <col min="10751" max="10751" width="15.109375" style="300" customWidth="1"/>
    <col min="10752" max="10992" width="9.109375" style="300"/>
    <col min="10993" max="10993" width="14.109375" style="300" customWidth="1"/>
    <col min="10994" max="10994" width="26.88671875" style="300" customWidth="1"/>
    <col min="10995" max="10995" width="12" style="300" customWidth="1"/>
    <col min="10996" max="10996" width="10" style="300" customWidth="1"/>
    <col min="10997" max="10997" width="8.44140625" style="300" customWidth="1"/>
    <col min="10998" max="10998" width="10.88671875" style="300" customWidth="1"/>
    <col min="10999" max="10999" width="15.109375" style="300" customWidth="1"/>
    <col min="11000" max="11000" width="8.33203125" style="300" customWidth="1"/>
    <col min="11001" max="11001" width="8.44140625" style="300" customWidth="1"/>
    <col min="11002" max="11002" width="10.88671875" style="300" customWidth="1"/>
    <col min="11003" max="11003" width="15.109375" style="300" customWidth="1"/>
    <col min="11004" max="11004" width="8.33203125" style="300" customWidth="1"/>
    <col min="11005" max="11005" width="8.44140625" style="300" customWidth="1"/>
    <col min="11006" max="11006" width="10.88671875" style="300" customWidth="1"/>
    <col min="11007" max="11007" width="15.109375" style="300" customWidth="1"/>
    <col min="11008" max="11248" width="9.109375" style="300"/>
    <col min="11249" max="11249" width="14.109375" style="300" customWidth="1"/>
    <col min="11250" max="11250" width="26.88671875" style="300" customWidth="1"/>
    <col min="11251" max="11251" width="12" style="300" customWidth="1"/>
    <col min="11252" max="11252" width="10" style="300" customWidth="1"/>
    <col min="11253" max="11253" width="8.44140625" style="300" customWidth="1"/>
    <col min="11254" max="11254" width="10.88671875" style="300" customWidth="1"/>
    <col min="11255" max="11255" width="15.109375" style="300" customWidth="1"/>
    <col min="11256" max="11256" width="8.33203125" style="300" customWidth="1"/>
    <col min="11257" max="11257" width="8.44140625" style="300" customWidth="1"/>
    <col min="11258" max="11258" width="10.88671875" style="300" customWidth="1"/>
    <col min="11259" max="11259" width="15.109375" style="300" customWidth="1"/>
    <col min="11260" max="11260" width="8.33203125" style="300" customWidth="1"/>
    <col min="11261" max="11261" width="8.44140625" style="300" customWidth="1"/>
    <col min="11262" max="11262" width="10.88671875" style="300" customWidth="1"/>
    <col min="11263" max="11263" width="15.109375" style="300" customWidth="1"/>
    <col min="11264" max="11504" width="9.109375" style="300"/>
    <col min="11505" max="11505" width="14.109375" style="300" customWidth="1"/>
    <col min="11506" max="11506" width="26.88671875" style="300" customWidth="1"/>
    <col min="11507" max="11507" width="12" style="300" customWidth="1"/>
    <col min="11508" max="11508" width="10" style="300" customWidth="1"/>
    <col min="11509" max="11509" width="8.44140625" style="300" customWidth="1"/>
    <col min="11510" max="11510" width="10.88671875" style="300" customWidth="1"/>
    <col min="11511" max="11511" width="15.109375" style="300" customWidth="1"/>
    <col min="11512" max="11512" width="8.33203125" style="300" customWidth="1"/>
    <col min="11513" max="11513" width="8.44140625" style="300" customWidth="1"/>
    <col min="11514" max="11514" width="10.88671875" style="300" customWidth="1"/>
    <col min="11515" max="11515" width="15.109375" style="300" customWidth="1"/>
    <col min="11516" max="11516" width="8.33203125" style="300" customWidth="1"/>
    <col min="11517" max="11517" width="8.44140625" style="300" customWidth="1"/>
    <col min="11518" max="11518" width="10.88671875" style="300" customWidth="1"/>
    <col min="11519" max="11519" width="15.109375" style="300" customWidth="1"/>
    <col min="11520" max="11760" width="9.109375" style="300"/>
    <col min="11761" max="11761" width="14.109375" style="300" customWidth="1"/>
    <col min="11762" max="11762" width="26.88671875" style="300" customWidth="1"/>
    <col min="11763" max="11763" width="12" style="300" customWidth="1"/>
    <col min="11764" max="11764" width="10" style="300" customWidth="1"/>
    <col min="11765" max="11765" width="8.44140625" style="300" customWidth="1"/>
    <col min="11766" max="11766" width="10.88671875" style="300" customWidth="1"/>
    <col min="11767" max="11767" width="15.109375" style="300" customWidth="1"/>
    <col min="11768" max="11768" width="8.33203125" style="300" customWidth="1"/>
    <col min="11769" max="11769" width="8.44140625" style="300" customWidth="1"/>
    <col min="11770" max="11770" width="10.88671875" style="300" customWidth="1"/>
    <col min="11771" max="11771" width="15.109375" style="300" customWidth="1"/>
    <col min="11772" max="11772" width="8.33203125" style="300" customWidth="1"/>
    <col min="11773" max="11773" width="8.44140625" style="300" customWidth="1"/>
    <col min="11774" max="11774" width="10.88671875" style="300" customWidth="1"/>
    <col min="11775" max="11775" width="15.109375" style="300" customWidth="1"/>
    <col min="11776" max="12016" width="9.109375" style="300"/>
    <col min="12017" max="12017" width="14.109375" style="300" customWidth="1"/>
    <col min="12018" max="12018" width="26.88671875" style="300" customWidth="1"/>
    <col min="12019" max="12019" width="12" style="300" customWidth="1"/>
    <col min="12020" max="12020" width="10" style="300" customWidth="1"/>
    <col min="12021" max="12021" width="8.44140625" style="300" customWidth="1"/>
    <col min="12022" max="12022" width="10.88671875" style="300" customWidth="1"/>
    <col min="12023" max="12023" width="15.109375" style="300" customWidth="1"/>
    <col min="12024" max="12024" width="8.33203125" style="300" customWidth="1"/>
    <col min="12025" max="12025" width="8.44140625" style="300" customWidth="1"/>
    <col min="12026" max="12026" width="10.88671875" style="300" customWidth="1"/>
    <col min="12027" max="12027" width="15.109375" style="300" customWidth="1"/>
    <col min="12028" max="12028" width="8.33203125" style="300" customWidth="1"/>
    <col min="12029" max="12029" width="8.44140625" style="300" customWidth="1"/>
    <col min="12030" max="12030" width="10.88671875" style="300" customWidth="1"/>
    <col min="12031" max="12031" width="15.109375" style="300" customWidth="1"/>
    <col min="12032" max="12272" width="9.109375" style="300"/>
    <col min="12273" max="12273" width="14.109375" style="300" customWidth="1"/>
    <col min="12274" max="12274" width="26.88671875" style="300" customWidth="1"/>
    <col min="12275" max="12275" width="12" style="300" customWidth="1"/>
    <col min="12276" max="12276" width="10" style="300" customWidth="1"/>
    <col min="12277" max="12277" width="8.44140625" style="300" customWidth="1"/>
    <col min="12278" max="12278" width="10.88671875" style="300" customWidth="1"/>
    <col min="12279" max="12279" width="15.109375" style="300" customWidth="1"/>
    <col min="12280" max="12280" width="8.33203125" style="300" customWidth="1"/>
    <col min="12281" max="12281" width="8.44140625" style="300" customWidth="1"/>
    <col min="12282" max="12282" width="10.88671875" style="300" customWidth="1"/>
    <col min="12283" max="12283" width="15.109375" style="300" customWidth="1"/>
    <col min="12284" max="12284" width="8.33203125" style="300" customWidth="1"/>
    <col min="12285" max="12285" width="8.44140625" style="300" customWidth="1"/>
    <col min="12286" max="12286" width="10.88671875" style="300" customWidth="1"/>
    <col min="12287" max="12287" width="15.109375" style="300" customWidth="1"/>
    <col min="12288" max="12528" width="9.109375" style="300"/>
    <col min="12529" max="12529" width="14.109375" style="300" customWidth="1"/>
    <col min="12530" max="12530" width="26.88671875" style="300" customWidth="1"/>
    <col min="12531" max="12531" width="12" style="300" customWidth="1"/>
    <col min="12532" max="12532" width="10" style="300" customWidth="1"/>
    <col min="12533" max="12533" width="8.44140625" style="300" customWidth="1"/>
    <col min="12534" max="12534" width="10.88671875" style="300" customWidth="1"/>
    <col min="12535" max="12535" width="15.109375" style="300" customWidth="1"/>
    <col min="12536" max="12536" width="8.33203125" style="300" customWidth="1"/>
    <col min="12537" max="12537" width="8.44140625" style="300" customWidth="1"/>
    <col min="12538" max="12538" width="10.88671875" style="300" customWidth="1"/>
    <col min="12539" max="12539" width="15.109375" style="300" customWidth="1"/>
    <col min="12540" max="12540" width="8.33203125" style="300" customWidth="1"/>
    <col min="12541" max="12541" width="8.44140625" style="300" customWidth="1"/>
    <col min="12542" max="12542" width="10.88671875" style="300" customWidth="1"/>
    <col min="12543" max="12543" width="15.109375" style="300" customWidth="1"/>
    <col min="12544" max="12784" width="9.109375" style="300"/>
    <col min="12785" max="12785" width="14.109375" style="300" customWidth="1"/>
    <col min="12786" max="12786" width="26.88671875" style="300" customWidth="1"/>
    <col min="12787" max="12787" width="12" style="300" customWidth="1"/>
    <col min="12788" max="12788" width="10" style="300" customWidth="1"/>
    <col min="12789" max="12789" width="8.44140625" style="300" customWidth="1"/>
    <col min="12790" max="12790" width="10.88671875" style="300" customWidth="1"/>
    <col min="12791" max="12791" width="15.109375" style="300" customWidth="1"/>
    <col min="12792" max="12792" width="8.33203125" style="300" customWidth="1"/>
    <col min="12793" max="12793" width="8.44140625" style="300" customWidth="1"/>
    <col min="12794" max="12794" width="10.88671875" style="300" customWidth="1"/>
    <col min="12795" max="12795" width="15.109375" style="300" customWidth="1"/>
    <col min="12796" max="12796" width="8.33203125" style="300" customWidth="1"/>
    <col min="12797" max="12797" width="8.44140625" style="300" customWidth="1"/>
    <col min="12798" max="12798" width="10.88671875" style="300" customWidth="1"/>
    <col min="12799" max="12799" width="15.109375" style="300" customWidth="1"/>
    <col min="12800" max="13040" width="9.109375" style="300"/>
    <col min="13041" max="13041" width="14.109375" style="300" customWidth="1"/>
    <col min="13042" max="13042" width="26.88671875" style="300" customWidth="1"/>
    <col min="13043" max="13043" width="12" style="300" customWidth="1"/>
    <col min="13044" max="13044" width="10" style="300" customWidth="1"/>
    <col min="13045" max="13045" width="8.44140625" style="300" customWidth="1"/>
    <col min="13046" max="13046" width="10.88671875" style="300" customWidth="1"/>
    <col min="13047" max="13047" width="15.109375" style="300" customWidth="1"/>
    <col min="13048" max="13048" width="8.33203125" style="300" customWidth="1"/>
    <col min="13049" max="13049" width="8.44140625" style="300" customWidth="1"/>
    <col min="13050" max="13050" width="10.88671875" style="300" customWidth="1"/>
    <col min="13051" max="13051" width="15.109375" style="300" customWidth="1"/>
    <col min="13052" max="13052" width="8.33203125" style="300" customWidth="1"/>
    <col min="13053" max="13053" width="8.44140625" style="300" customWidth="1"/>
    <col min="13054" max="13054" width="10.88671875" style="300" customWidth="1"/>
    <col min="13055" max="13055" width="15.109375" style="300" customWidth="1"/>
    <col min="13056" max="13296" width="9.109375" style="300"/>
    <col min="13297" max="13297" width="14.109375" style="300" customWidth="1"/>
    <col min="13298" max="13298" width="26.88671875" style="300" customWidth="1"/>
    <col min="13299" max="13299" width="12" style="300" customWidth="1"/>
    <col min="13300" max="13300" width="10" style="300" customWidth="1"/>
    <col min="13301" max="13301" width="8.44140625" style="300" customWidth="1"/>
    <col min="13302" max="13302" width="10.88671875" style="300" customWidth="1"/>
    <col min="13303" max="13303" width="15.109375" style="300" customWidth="1"/>
    <col min="13304" max="13304" width="8.33203125" style="300" customWidth="1"/>
    <col min="13305" max="13305" width="8.44140625" style="300" customWidth="1"/>
    <col min="13306" max="13306" width="10.88671875" style="300" customWidth="1"/>
    <col min="13307" max="13307" width="15.109375" style="300" customWidth="1"/>
    <col min="13308" max="13308" width="8.33203125" style="300" customWidth="1"/>
    <col min="13309" max="13309" width="8.44140625" style="300" customWidth="1"/>
    <col min="13310" max="13310" width="10.88671875" style="300" customWidth="1"/>
    <col min="13311" max="13311" width="15.109375" style="300" customWidth="1"/>
    <col min="13312" max="13552" width="9.109375" style="300"/>
    <col min="13553" max="13553" width="14.109375" style="300" customWidth="1"/>
    <col min="13554" max="13554" width="26.88671875" style="300" customWidth="1"/>
    <col min="13555" max="13555" width="12" style="300" customWidth="1"/>
    <col min="13556" max="13556" width="10" style="300" customWidth="1"/>
    <col min="13557" max="13557" width="8.44140625" style="300" customWidth="1"/>
    <col min="13558" max="13558" width="10.88671875" style="300" customWidth="1"/>
    <col min="13559" max="13559" width="15.109375" style="300" customWidth="1"/>
    <col min="13560" max="13560" width="8.33203125" style="300" customWidth="1"/>
    <col min="13561" max="13561" width="8.44140625" style="300" customWidth="1"/>
    <col min="13562" max="13562" width="10.88671875" style="300" customWidth="1"/>
    <col min="13563" max="13563" width="15.109375" style="300" customWidth="1"/>
    <col min="13564" max="13564" width="8.33203125" style="300" customWidth="1"/>
    <col min="13565" max="13565" width="8.44140625" style="300" customWidth="1"/>
    <col min="13566" max="13566" width="10.88671875" style="300" customWidth="1"/>
    <col min="13567" max="13567" width="15.109375" style="300" customWidth="1"/>
    <col min="13568" max="13808" width="9.109375" style="300"/>
    <col min="13809" max="13809" width="14.109375" style="300" customWidth="1"/>
    <col min="13810" max="13810" width="26.88671875" style="300" customWidth="1"/>
    <col min="13811" max="13811" width="12" style="300" customWidth="1"/>
    <col min="13812" max="13812" width="10" style="300" customWidth="1"/>
    <col min="13813" max="13813" width="8.44140625" style="300" customWidth="1"/>
    <col min="13814" max="13814" width="10.88671875" style="300" customWidth="1"/>
    <col min="13815" max="13815" width="15.109375" style="300" customWidth="1"/>
    <col min="13816" max="13816" width="8.33203125" style="300" customWidth="1"/>
    <col min="13817" max="13817" width="8.44140625" style="300" customWidth="1"/>
    <col min="13818" max="13818" width="10.88671875" style="300" customWidth="1"/>
    <col min="13819" max="13819" width="15.109375" style="300" customWidth="1"/>
    <col min="13820" max="13820" width="8.33203125" style="300" customWidth="1"/>
    <col min="13821" max="13821" width="8.44140625" style="300" customWidth="1"/>
    <col min="13822" max="13822" width="10.88671875" style="300" customWidth="1"/>
    <col min="13823" max="13823" width="15.109375" style="300" customWidth="1"/>
    <col min="13824" max="14064" width="9.109375" style="300"/>
    <col min="14065" max="14065" width="14.109375" style="300" customWidth="1"/>
    <col min="14066" max="14066" width="26.88671875" style="300" customWidth="1"/>
    <col min="14067" max="14067" width="12" style="300" customWidth="1"/>
    <col min="14068" max="14068" width="10" style="300" customWidth="1"/>
    <col min="14069" max="14069" width="8.44140625" style="300" customWidth="1"/>
    <col min="14070" max="14070" width="10.88671875" style="300" customWidth="1"/>
    <col min="14071" max="14071" width="15.109375" style="300" customWidth="1"/>
    <col min="14072" max="14072" width="8.33203125" style="300" customWidth="1"/>
    <col min="14073" max="14073" width="8.44140625" style="300" customWidth="1"/>
    <col min="14074" max="14074" width="10.88671875" style="300" customWidth="1"/>
    <col min="14075" max="14075" width="15.109375" style="300" customWidth="1"/>
    <col min="14076" max="14076" width="8.33203125" style="300" customWidth="1"/>
    <col min="14077" max="14077" width="8.44140625" style="300" customWidth="1"/>
    <col min="14078" max="14078" width="10.88671875" style="300" customWidth="1"/>
    <col min="14079" max="14079" width="15.109375" style="300" customWidth="1"/>
    <col min="14080" max="14320" width="9.109375" style="300"/>
    <col min="14321" max="14321" width="14.109375" style="300" customWidth="1"/>
    <col min="14322" max="14322" width="26.88671875" style="300" customWidth="1"/>
    <col min="14323" max="14323" width="12" style="300" customWidth="1"/>
    <col min="14324" max="14324" width="10" style="300" customWidth="1"/>
    <col min="14325" max="14325" width="8.44140625" style="300" customWidth="1"/>
    <col min="14326" max="14326" width="10.88671875" style="300" customWidth="1"/>
    <col min="14327" max="14327" width="15.109375" style="300" customWidth="1"/>
    <col min="14328" max="14328" width="8.33203125" style="300" customWidth="1"/>
    <col min="14329" max="14329" width="8.44140625" style="300" customWidth="1"/>
    <col min="14330" max="14330" width="10.88671875" style="300" customWidth="1"/>
    <col min="14331" max="14331" width="15.109375" style="300" customWidth="1"/>
    <col min="14332" max="14332" width="8.33203125" style="300" customWidth="1"/>
    <col min="14333" max="14333" width="8.44140625" style="300" customWidth="1"/>
    <col min="14334" max="14334" width="10.88671875" style="300" customWidth="1"/>
    <col min="14335" max="14335" width="15.109375" style="300" customWidth="1"/>
    <col min="14336" max="14576" width="9.109375" style="300"/>
    <col min="14577" max="14577" width="14.109375" style="300" customWidth="1"/>
    <col min="14578" max="14578" width="26.88671875" style="300" customWidth="1"/>
    <col min="14579" max="14579" width="12" style="300" customWidth="1"/>
    <col min="14580" max="14580" width="10" style="300" customWidth="1"/>
    <col min="14581" max="14581" width="8.44140625" style="300" customWidth="1"/>
    <col min="14582" max="14582" width="10.88671875" style="300" customWidth="1"/>
    <col min="14583" max="14583" width="15.109375" style="300" customWidth="1"/>
    <col min="14584" max="14584" width="8.33203125" style="300" customWidth="1"/>
    <col min="14585" max="14585" width="8.44140625" style="300" customWidth="1"/>
    <col min="14586" max="14586" width="10.88671875" style="300" customWidth="1"/>
    <col min="14587" max="14587" width="15.109375" style="300" customWidth="1"/>
    <col min="14588" max="14588" width="8.33203125" style="300" customWidth="1"/>
    <col min="14589" max="14589" width="8.44140625" style="300" customWidth="1"/>
    <col min="14590" max="14590" width="10.88671875" style="300" customWidth="1"/>
    <col min="14591" max="14591" width="15.109375" style="300" customWidth="1"/>
    <col min="14592" max="14832" width="9.109375" style="300"/>
    <col min="14833" max="14833" width="14.109375" style="300" customWidth="1"/>
    <col min="14834" max="14834" width="26.88671875" style="300" customWidth="1"/>
    <col min="14835" max="14835" width="12" style="300" customWidth="1"/>
    <col min="14836" max="14836" width="10" style="300" customWidth="1"/>
    <col min="14837" max="14837" width="8.44140625" style="300" customWidth="1"/>
    <col min="14838" max="14838" width="10.88671875" style="300" customWidth="1"/>
    <col min="14839" max="14839" width="15.109375" style="300" customWidth="1"/>
    <col min="14840" max="14840" width="8.33203125" style="300" customWidth="1"/>
    <col min="14841" max="14841" width="8.44140625" style="300" customWidth="1"/>
    <col min="14842" max="14842" width="10.88671875" style="300" customWidth="1"/>
    <col min="14843" max="14843" width="15.109375" style="300" customWidth="1"/>
    <col min="14844" max="14844" width="8.33203125" style="300" customWidth="1"/>
    <col min="14845" max="14845" width="8.44140625" style="300" customWidth="1"/>
    <col min="14846" max="14846" width="10.88671875" style="300" customWidth="1"/>
    <col min="14847" max="14847" width="15.109375" style="300" customWidth="1"/>
    <col min="14848" max="15088" width="9.109375" style="300"/>
    <col min="15089" max="15089" width="14.109375" style="300" customWidth="1"/>
    <col min="15090" max="15090" width="26.88671875" style="300" customWidth="1"/>
    <col min="15091" max="15091" width="12" style="300" customWidth="1"/>
    <col min="15092" max="15092" width="10" style="300" customWidth="1"/>
    <col min="15093" max="15093" width="8.44140625" style="300" customWidth="1"/>
    <col min="15094" max="15094" width="10.88671875" style="300" customWidth="1"/>
    <col min="15095" max="15095" width="15.109375" style="300" customWidth="1"/>
    <col min="15096" max="15096" width="8.33203125" style="300" customWidth="1"/>
    <col min="15097" max="15097" width="8.44140625" style="300" customWidth="1"/>
    <col min="15098" max="15098" width="10.88671875" style="300" customWidth="1"/>
    <col min="15099" max="15099" width="15.109375" style="300" customWidth="1"/>
    <col min="15100" max="15100" width="8.33203125" style="300" customWidth="1"/>
    <col min="15101" max="15101" width="8.44140625" style="300" customWidth="1"/>
    <col min="15102" max="15102" width="10.88671875" style="300" customWidth="1"/>
    <col min="15103" max="15103" width="15.109375" style="300" customWidth="1"/>
    <col min="15104" max="15344" width="9.109375" style="300"/>
    <col min="15345" max="15345" width="14.109375" style="300" customWidth="1"/>
    <col min="15346" max="15346" width="26.88671875" style="300" customWidth="1"/>
    <col min="15347" max="15347" width="12" style="300" customWidth="1"/>
    <col min="15348" max="15348" width="10" style="300" customWidth="1"/>
    <col min="15349" max="15349" width="8.44140625" style="300" customWidth="1"/>
    <col min="15350" max="15350" width="10.88671875" style="300" customWidth="1"/>
    <col min="15351" max="15351" width="15.109375" style="300" customWidth="1"/>
    <col min="15352" max="15352" width="8.33203125" style="300" customWidth="1"/>
    <col min="15353" max="15353" width="8.44140625" style="300" customWidth="1"/>
    <col min="15354" max="15354" width="10.88671875" style="300" customWidth="1"/>
    <col min="15355" max="15355" width="15.109375" style="300" customWidth="1"/>
    <col min="15356" max="15356" width="8.33203125" style="300" customWidth="1"/>
    <col min="15357" max="15357" width="8.44140625" style="300" customWidth="1"/>
    <col min="15358" max="15358" width="10.88671875" style="300" customWidth="1"/>
    <col min="15359" max="15359" width="15.109375" style="300" customWidth="1"/>
    <col min="15360" max="15600" width="9.109375" style="300"/>
    <col min="15601" max="15601" width="14.109375" style="300" customWidth="1"/>
    <col min="15602" max="15602" width="26.88671875" style="300" customWidth="1"/>
    <col min="15603" max="15603" width="12" style="300" customWidth="1"/>
    <col min="15604" max="15604" width="10" style="300" customWidth="1"/>
    <col min="15605" max="15605" width="8.44140625" style="300" customWidth="1"/>
    <col min="15606" max="15606" width="10.88671875" style="300" customWidth="1"/>
    <col min="15607" max="15607" width="15.109375" style="300" customWidth="1"/>
    <col min="15608" max="15608" width="8.33203125" style="300" customWidth="1"/>
    <col min="15609" max="15609" width="8.44140625" style="300" customWidth="1"/>
    <col min="15610" max="15610" width="10.88671875" style="300" customWidth="1"/>
    <col min="15611" max="15611" width="15.109375" style="300" customWidth="1"/>
    <col min="15612" max="15612" width="8.33203125" style="300" customWidth="1"/>
    <col min="15613" max="15613" width="8.44140625" style="300" customWidth="1"/>
    <col min="15614" max="15614" width="10.88671875" style="300" customWidth="1"/>
    <col min="15615" max="15615" width="15.109375" style="300" customWidth="1"/>
    <col min="15616" max="15856" width="9.109375" style="300"/>
    <col min="15857" max="15857" width="14.109375" style="300" customWidth="1"/>
    <col min="15858" max="15858" width="26.88671875" style="300" customWidth="1"/>
    <col min="15859" max="15859" width="12" style="300" customWidth="1"/>
    <col min="15860" max="15860" width="10" style="300" customWidth="1"/>
    <col min="15861" max="15861" width="8.44140625" style="300" customWidth="1"/>
    <col min="15862" max="15862" width="10.88671875" style="300" customWidth="1"/>
    <col min="15863" max="15863" width="15.109375" style="300" customWidth="1"/>
    <col min="15864" max="15864" width="8.33203125" style="300" customWidth="1"/>
    <col min="15865" max="15865" width="8.44140625" style="300" customWidth="1"/>
    <col min="15866" max="15866" width="10.88671875" style="300" customWidth="1"/>
    <col min="15867" max="15867" width="15.109375" style="300" customWidth="1"/>
    <col min="15868" max="15868" width="8.33203125" style="300" customWidth="1"/>
    <col min="15869" max="15869" width="8.44140625" style="300" customWidth="1"/>
    <col min="15870" max="15870" width="10.88671875" style="300" customWidth="1"/>
    <col min="15871" max="15871" width="15.109375" style="300" customWidth="1"/>
    <col min="15872" max="16112" width="9.109375" style="300"/>
    <col min="16113" max="16113" width="14.109375" style="300" customWidth="1"/>
    <col min="16114" max="16114" width="26.88671875" style="300" customWidth="1"/>
    <col min="16115" max="16115" width="12" style="300" customWidth="1"/>
    <col min="16116" max="16116" width="10" style="300" customWidth="1"/>
    <col min="16117" max="16117" width="8.44140625" style="300" customWidth="1"/>
    <col min="16118" max="16118" width="10.88671875" style="300" customWidth="1"/>
    <col min="16119" max="16119" width="15.109375" style="300" customWidth="1"/>
    <col min="16120" max="16120" width="8.33203125" style="300" customWidth="1"/>
    <col min="16121" max="16121" width="8.44140625" style="300" customWidth="1"/>
    <col min="16122" max="16122" width="10.88671875" style="300" customWidth="1"/>
    <col min="16123" max="16123" width="15.109375" style="300" customWidth="1"/>
    <col min="16124" max="16124" width="8.33203125" style="300" customWidth="1"/>
    <col min="16125" max="16125" width="8.44140625" style="300" customWidth="1"/>
    <col min="16126" max="16126" width="10.88671875" style="300" customWidth="1"/>
    <col min="16127" max="16127" width="15.109375" style="300" customWidth="1"/>
    <col min="16128" max="16384" width="9.109375" style="300"/>
  </cols>
  <sheetData>
    <row r="1" spans="1:9" ht="87" customHeight="1" x14ac:dyDescent="0.25">
      <c r="A1" s="331" t="s">
        <v>181</v>
      </c>
      <c r="B1" s="331"/>
      <c r="C1" s="331"/>
      <c r="D1" s="331"/>
      <c r="E1" s="331"/>
      <c r="F1" s="331"/>
      <c r="G1" s="331"/>
    </row>
    <row r="2" spans="1:9" ht="87.75" customHeight="1" thickBot="1" x14ac:dyDescent="0.3">
      <c r="A2" s="332" t="s">
        <v>172</v>
      </c>
      <c r="B2" s="332"/>
      <c r="C2" s="332"/>
      <c r="D2" s="332"/>
      <c r="E2" s="332"/>
      <c r="F2" s="332"/>
      <c r="G2" s="332"/>
    </row>
    <row r="3" spans="1:9" ht="52.5" customHeight="1" thickBot="1" x14ac:dyDescent="0.35">
      <c r="A3" s="301" t="s">
        <v>171</v>
      </c>
      <c r="B3" s="302" t="s">
        <v>187</v>
      </c>
      <c r="C3" s="334" t="s">
        <v>192</v>
      </c>
      <c r="D3" s="334"/>
      <c r="E3" s="303" t="s">
        <v>193</v>
      </c>
      <c r="F3" s="303" t="s">
        <v>194</v>
      </c>
      <c r="G3" s="304" t="s">
        <v>195</v>
      </c>
    </row>
    <row r="4" spans="1:9" ht="39" customHeight="1" x14ac:dyDescent="0.3">
      <c r="A4" s="305">
        <v>1</v>
      </c>
      <c r="B4" s="306" t="s">
        <v>188</v>
      </c>
      <c r="C4" s="333" t="s">
        <v>283</v>
      </c>
      <c r="D4" s="333"/>
      <c r="E4" s="307">
        <f>ROUND(Pielik_2._Grozs_gadā_PA!L52,0)</f>
        <v>523067</v>
      </c>
      <c r="F4" s="307">
        <f>E4</f>
        <v>523067</v>
      </c>
      <c r="G4" s="308">
        <f>E4</f>
        <v>523067</v>
      </c>
    </row>
    <row r="5" spans="1:9" ht="105" customHeight="1" x14ac:dyDescent="0.3">
      <c r="A5" s="309">
        <v>2</v>
      </c>
      <c r="B5" s="326" t="s">
        <v>285</v>
      </c>
      <c r="C5" s="337" t="s">
        <v>284</v>
      </c>
      <c r="D5" s="338"/>
      <c r="E5" s="310">
        <v>52250</v>
      </c>
      <c r="F5" s="311">
        <v>0</v>
      </c>
      <c r="G5" s="312">
        <v>0</v>
      </c>
    </row>
    <row r="6" spans="1:9" s="318" customFormat="1" ht="33.75" customHeight="1" thickBot="1" x14ac:dyDescent="0.35">
      <c r="A6" s="313">
        <v>3</v>
      </c>
      <c r="B6" s="314" t="s">
        <v>189</v>
      </c>
      <c r="C6" s="339" t="s">
        <v>258</v>
      </c>
      <c r="D6" s="339"/>
      <c r="E6" s="315">
        <f>Pielik_3._pārraudzība!L6+2620</f>
        <v>24520</v>
      </c>
      <c r="F6" s="316">
        <f>Pielik_3._pārraudzība!L6+2620</f>
        <v>24520</v>
      </c>
      <c r="G6" s="317">
        <f>Pielik_3._pārraudzība!L6+2620</f>
        <v>24520</v>
      </c>
    </row>
    <row r="7" spans="1:9" ht="18" thickBot="1" x14ac:dyDescent="0.3">
      <c r="A7" s="335"/>
      <c r="B7" s="336"/>
      <c r="C7" s="336"/>
      <c r="D7" s="336"/>
      <c r="E7" s="336"/>
      <c r="F7" s="336"/>
      <c r="G7" s="336"/>
      <c r="H7" s="319"/>
      <c r="I7" s="319"/>
    </row>
    <row r="8" spans="1:9" s="318" customFormat="1" ht="18" thickBot="1" x14ac:dyDescent="0.35">
      <c r="A8" s="320">
        <v>6</v>
      </c>
      <c r="B8" s="328" t="s">
        <v>24</v>
      </c>
      <c r="C8" s="329"/>
      <c r="D8" s="330"/>
      <c r="E8" s="321">
        <f>E4+E5+E6</f>
        <v>599837</v>
      </c>
      <c r="F8" s="321">
        <f>F4+F5+F6</f>
        <v>547587</v>
      </c>
      <c r="G8" s="322">
        <f>G4+G5+G6</f>
        <v>547587</v>
      </c>
    </row>
    <row r="11" spans="1:9" ht="17.399999999999999" customHeight="1" x14ac:dyDescent="0.25">
      <c r="B11" s="327" t="s">
        <v>223</v>
      </c>
      <c r="C11" s="327"/>
      <c r="D11" s="327"/>
      <c r="E11" s="324"/>
      <c r="F11" s="324"/>
      <c r="G11" s="324"/>
    </row>
    <row r="12" spans="1:9" x14ac:dyDescent="0.25">
      <c r="B12" s="327"/>
      <c r="C12" s="327"/>
      <c r="D12" s="327"/>
      <c r="E12" s="324"/>
      <c r="F12" s="324"/>
      <c r="G12" s="324"/>
    </row>
    <row r="13" spans="1:9" ht="39" customHeight="1" x14ac:dyDescent="0.25">
      <c r="B13" s="327"/>
      <c r="C13" s="327"/>
      <c r="D13" s="327"/>
      <c r="E13" s="325"/>
      <c r="F13" s="325"/>
      <c r="G13" s="325"/>
    </row>
    <row r="14" spans="1:9" x14ac:dyDescent="0.25">
      <c r="E14" s="325"/>
      <c r="F14" s="325"/>
      <c r="G14" s="325"/>
    </row>
  </sheetData>
  <mergeCells count="9">
    <mergeCell ref="B11:D13"/>
    <mergeCell ref="B8:D8"/>
    <mergeCell ref="A1:G1"/>
    <mergeCell ref="A2:G2"/>
    <mergeCell ref="C4:D4"/>
    <mergeCell ref="C3:D3"/>
    <mergeCell ref="A7:G7"/>
    <mergeCell ref="C5:D5"/>
    <mergeCell ref="C6:D6"/>
  </mergeCells>
  <pageMargins left="1.1023622047244095" right="0.70866141732283472"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AD53"/>
  <sheetViews>
    <sheetView topLeftCell="B1" zoomScale="70" zoomScaleNormal="70" workbookViewId="0">
      <pane ySplit="3" topLeftCell="A46" activePane="bottomLeft" state="frozen"/>
      <selection pane="bottomLeft" activeCell="N46" sqref="N46"/>
    </sheetView>
  </sheetViews>
  <sheetFormatPr defaultRowHeight="18" x14ac:dyDescent="0.35"/>
  <cols>
    <col min="1" max="1" width="10.5546875" style="35" customWidth="1"/>
    <col min="2" max="2" width="25.44140625" style="100" customWidth="1"/>
    <col min="3" max="3" width="11.6640625" style="118" customWidth="1"/>
    <col min="4" max="4" width="10" style="118" customWidth="1"/>
    <col min="5" max="5" width="11.109375" style="118" customWidth="1"/>
    <col min="6" max="6" width="8.109375" style="118" customWidth="1"/>
    <col min="7" max="7" width="8.88671875" style="100" customWidth="1"/>
    <col min="8" max="8" width="14.88671875" style="100" customWidth="1"/>
    <col min="9" max="9" width="14.5546875" style="118" customWidth="1"/>
    <col min="10" max="10" width="7.5546875" style="118" customWidth="1"/>
    <col min="11" max="11" width="13.44140625" style="118" customWidth="1"/>
    <col min="12" max="12" width="12.88671875" style="118" customWidth="1"/>
    <col min="13" max="13" width="14" style="118" customWidth="1"/>
    <col min="14" max="14" width="99.33203125" style="100" customWidth="1"/>
    <col min="15" max="15" width="3.44140625" style="100" hidden="1" customWidth="1"/>
    <col min="16" max="16" width="9.109375" style="100" hidden="1" customWidth="1"/>
    <col min="17" max="17" width="4.44140625" style="100" hidden="1" customWidth="1"/>
    <col min="18" max="19" width="9.109375" style="100" hidden="1" customWidth="1"/>
    <col min="20" max="20" width="4" style="100" hidden="1" customWidth="1"/>
    <col min="21" max="21" width="9.109375" style="100" hidden="1" customWidth="1"/>
    <col min="22" max="22" width="6.33203125" style="100" hidden="1" customWidth="1"/>
    <col min="23" max="25" width="9.109375" style="100" hidden="1" customWidth="1"/>
    <col min="26" max="26" width="0" style="100" hidden="1" customWidth="1"/>
    <col min="27" max="27" width="9.109375" style="100"/>
    <col min="28" max="28" width="13" style="100" bestFit="1" customWidth="1"/>
    <col min="29" max="30" width="10.44140625" style="100" bestFit="1" customWidth="1"/>
    <col min="31" max="244" width="9.109375" style="100"/>
    <col min="245" max="245" width="24.6640625" style="100" customWidth="1"/>
    <col min="246" max="246" width="12" style="100" customWidth="1"/>
    <col min="247" max="247" width="9" style="100" customWidth="1"/>
    <col min="248" max="251" width="8.6640625" style="100" customWidth="1"/>
    <col min="252" max="252" width="8.5546875" style="100" customWidth="1"/>
    <col min="253" max="253" width="8.88671875" style="100" customWidth="1"/>
    <col min="254" max="255" width="11.5546875" style="100" customWidth="1"/>
    <col min="256" max="256" width="9.33203125" style="100" customWidth="1"/>
    <col min="257" max="257" width="40.44140625" style="100" customWidth="1"/>
    <col min="258" max="258" width="51.33203125" style="100" customWidth="1"/>
    <col min="259" max="260" width="9.109375" style="100" customWidth="1"/>
    <col min="261" max="500" width="9.109375" style="100"/>
    <col min="501" max="501" width="24.6640625" style="100" customWidth="1"/>
    <col min="502" max="502" width="12" style="100" customWidth="1"/>
    <col min="503" max="503" width="9" style="100" customWidth="1"/>
    <col min="504" max="507" width="8.6640625" style="100" customWidth="1"/>
    <col min="508" max="508" width="8.5546875" style="100" customWidth="1"/>
    <col min="509" max="509" width="8.88671875" style="100" customWidth="1"/>
    <col min="510" max="511" width="11.5546875" style="100" customWidth="1"/>
    <col min="512" max="512" width="9.33203125" style="100" customWidth="1"/>
    <col min="513" max="513" width="40.44140625" style="100" customWidth="1"/>
    <col min="514" max="514" width="51.33203125" style="100" customWidth="1"/>
    <col min="515" max="516" width="9.109375" style="100" customWidth="1"/>
    <col min="517" max="756" width="9.109375" style="100"/>
    <col min="757" max="757" width="24.6640625" style="100" customWidth="1"/>
    <col min="758" max="758" width="12" style="100" customWidth="1"/>
    <col min="759" max="759" width="9" style="100" customWidth="1"/>
    <col min="760" max="763" width="8.6640625" style="100" customWidth="1"/>
    <col min="764" max="764" width="8.5546875" style="100" customWidth="1"/>
    <col min="765" max="765" width="8.88671875" style="100" customWidth="1"/>
    <col min="766" max="767" width="11.5546875" style="100" customWidth="1"/>
    <col min="768" max="768" width="9.33203125" style="100" customWidth="1"/>
    <col min="769" max="769" width="40.44140625" style="100" customWidth="1"/>
    <col min="770" max="770" width="51.33203125" style="100" customWidth="1"/>
    <col min="771" max="772" width="9.109375" style="100" customWidth="1"/>
    <col min="773" max="1012" width="9.109375" style="100"/>
    <col min="1013" max="1013" width="24.6640625" style="100" customWidth="1"/>
    <col min="1014" max="1014" width="12" style="100" customWidth="1"/>
    <col min="1015" max="1015" width="9" style="100" customWidth="1"/>
    <col min="1016" max="1019" width="8.6640625" style="100" customWidth="1"/>
    <col min="1020" max="1020" width="8.5546875" style="100" customWidth="1"/>
    <col min="1021" max="1021" width="8.88671875" style="100" customWidth="1"/>
    <col min="1022" max="1023" width="11.5546875" style="100" customWidth="1"/>
    <col min="1024" max="1024" width="9.33203125" style="100" customWidth="1"/>
    <col min="1025" max="1025" width="40.44140625" style="100" customWidth="1"/>
    <col min="1026" max="1026" width="51.33203125" style="100" customWidth="1"/>
    <col min="1027" max="1028" width="9.109375" style="100" customWidth="1"/>
    <col min="1029" max="1268" width="9.109375" style="100"/>
    <col min="1269" max="1269" width="24.6640625" style="100" customWidth="1"/>
    <col min="1270" max="1270" width="12" style="100" customWidth="1"/>
    <col min="1271" max="1271" width="9" style="100" customWidth="1"/>
    <col min="1272" max="1275" width="8.6640625" style="100" customWidth="1"/>
    <col min="1276" max="1276" width="8.5546875" style="100" customWidth="1"/>
    <col min="1277" max="1277" width="8.88671875" style="100" customWidth="1"/>
    <col min="1278" max="1279" width="11.5546875" style="100" customWidth="1"/>
    <col min="1280" max="1280" width="9.33203125" style="100" customWidth="1"/>
    <col min="1281" max="1281" width="40.44140625" style="100" customWidth="1"/>
    <col min="1282" max="1282" width="51.33203125" style="100" customWidth="1"/>
    <col min="1283" max="1284" width="9.109375" style="100" customWidth="1"/>
    <col min="1285" max="1524" width="9.109375" style="100"/>
    <col min="1525" max="1525" width="24.6640625" style="100" customWidth="1"/>
    <col min="1526" max="1526" width="12" style="100" customWidth="1"/>
    <col min="1527" max="1527" width="9" style="100" customWidth="1"/>
    <col min="1528" max="1531" width="8.6640625" style="100" customWidth="1"/>
    <col min="1532" max="1532" width="8.5546875" style="100" customWidth="1"/>
    <col min="1533" max="1533" width="8.88671875" style="100" customWidth="1"/>
    <col min="1534" max="1535" width="11.5546875" style="100" customWidth="1"/>
    <col min="1536" max="1536" width="9.33203125" style="100" customWidth="1"/>
    <col min="1537" max="1537" width="40.44140625" style="100" customWidth="1"/>
    <col min="1538" max="1538" width="51.33203125" style="100" customWidth="1"/>
    <col min="1539" max="1540" width="9.109375" style="100" customWidth="1"/>
    <col min="1541" max="1780" width="9.109375" style="100"/>
    <col min="1781" max="1781" width="24.6640625" style="100" customWidth="1"/>
    <col min="1782" max="1782" width="12" style="100" customWidth="1"/>
    <col min="1783" max="1783" width="9" style="100" customWidth="1"/>
    <col min="1784" max="1787" width="8.6640625" style="100" customWidth="1"/>
    <col min="1788" max="1788" width="8.5546875" style="100" customWidth="1"/>
    <col min="1789" max="1789" width="8.88671875" style="100" customWidth="1"/>
    <col min="1790" max="1791" width="11.5546875" style="100" customWidth="1"/>
    <col min="1792" max="1792" width="9.33203125" style="100" customWidth="1"/>
    <col min="1793" max="1793" width="40.44140625" style="100" customWidth="1"/>
    <col min="1794" max="1794" width="51.33203125" style="100" customWidth="1"/>
    <col min="1795" max="1796" width="9.109375" style="100" customWidth="1"/>
    <col min="1797" max="2036" width="9.109375" style="100"/>
    <col min="2037" max="2037" width="24.6640625" style="100" customWidth="1"/>
    <col min="2038" max="2038" width="12" style="100" customWidth="1"/>
    <col min="2039" max="2039" width="9" style="100" customWidth="1"/>
    <col min="2040" max="2043" width="8.6640625" style="100" customWidth="1"/>
    <col min="2044" max="2044" width="8.5546875" style="100" customWidth="1"/>
    <col min="2045" max="2045" width="8.88671875" style="100" customWidth="1"/>
    <col min="2046" max="2047" width="11.5546875" style="100" customWidth="1"/>
    <col min="2048" max="2048" width="9.33203125" style="100" customWidth="1"/>
    <col min="2049" max="2049" width="40.44140625" style="100" customWidth="1"/>
    <col min="2050" max="2050" width="51.33203125" style="100" customWidth="1"/>
    <col min="2051" max="2052" width="9.109375" style="100" customWidth="1"/>
    <col min="2053" max="2292" width="9.109375" style="100"/>
    <col min="2293" max="2293" width="24.6640625" style="100" customWidth="1"/>
    <col min="2294" max="2294" width="12" style="100" customWidth="1"/>
    <col min="2295" max="2295" width="9" style="100" customWidth="1"/>
    <col min="2296" max="2299" width="8.6640625" style="100" customWidth="1"/>
    <col min="2300" max="2300" width="8.5546875" style="100" customWidth="1"/>
    <col min="2301" max="2301" width="8.88671875" style="100" customWidth="1"/>
    <col min="2302" max="2303" width="11.5546875" style="100" customWidth="1"/>
    <col min="2304" max="2304" width="9.33203125" style="100" customWidth="1"/>
    <col min="2305" max="2305" width="40.44140625" style="100" customWidth="1"/>
    <col min="2306" max="2306" width="51.33203125" style="100" customWidth="1"/>
    <col min="2307" max="2308" width="9.109375" style="100" customWidth="1"/>
    <col min="2309" max="2548" width="9.109375" style="100"/>
    <col min="2549" max="2549" width="24.6640625" style="100" customWidth="1"/>
    <col min="2550" max="2550" width="12" style="100" customWidth="1"/>
    <col min="2551" max="2551" width="9" style="100" customWidth="1"/>
    <col min="2552" max="2555" width="8.6640625" style="100" customWidth="1"/>
    <col min="2556" max="2556" width="8.5546875" style="100" customWidth="1"/>
    <col min="2557" max="2557" width="8.88671875" style="100" customWidth="1"/>
    <col min="2558" max="2559" width="11.5546875" style="100" customWidth="1"/>
    <col min="2560" max="2560" width="9.33203125" style="100" customWidth="1"/>
    <col min="2561" max="2561" width="40.44140625" style="100" customWidth="1"/>
    <col min="2562" max="2562" width="51.33203125" style="100" customWidth="1"/>
    <col min="2563" max="2564" width="9.109375" style="100" customWidth="1"/>
    <col min="2565" max="2804" width="9.109375" style="100"/>
    <col min="2805" max="2805" width="24.6640625" style="100" customWidth="1"/>
    <col min="2806" max="2806" width="12" style="100" customWidth="1"/>
    <col min="2807" max="2807" width="9" style="100" customWidth="1"/>
    <col min="2808" max="2811" width="8.6640625" style="100" customWidth="1"/>
    <col min="2812" max="2812" width="8.5546875" style="100" customWidth="1"/>
    <col min="2813" max="2813" width="8.88671875" style="100" customWidth="1"/>
    <col min="2814" max="2815" width="11.5546875" style="100" customWidth="1"/>
    <col min="2816" max="2816" width="9.33203125" style="100" customWidth="1"/>
    <col min="2817" max="2817" width="40.44140625" style="100" customWidth="1"/>
    <col min="2818" max="2818" width="51.33203125" style="100" customWidth="1"/>
    <col min="2819" max="2820" width="9.109375" style="100" customWidth="1"/>
    <col min="2821" max="3060" width="9.109375" style="100"/>
    <col min="3061" max="3061" width="24.6640625" style="100" customWidth="1"/>
    <col min="3062" max="3062" width="12" style="100" customWidth="1"/>
    <col min="3063" max="3063" width="9" style="100" customWidth="1"/>
    <col min="3064" max="3067" width="8.6640625" style="100" customWidth="1"/>
    <col min="3068" max="3068" width="8.5546875" style="100" customWidth="1"/>
    <col min="3069" max="3069" width="8.88671875" style="100" customWidth="1"/>
    <col min="3070" max="3071" width="11.5546875" style="100" customWidth="1"/>
    <col min="3072" max="3072" width="9.33203125" style="100" customWidth="1"/>
    <col min="3073" max="3073" width="40.44140625" style="100" customWidth="1"/>
    <col min="3074" max="3074" width="51.33203125" style="100" customWidth="1"/>
    <col min="3075" max="3076" width="9.109375" style="100" customWidth="1"/>
    <col min="3077" max="3316" width="9.109375" style="100"/>
    <col min="3317" max="3317" width="24.6640625" style="100" customWidth="1"/>
    <col min="3318" max="3318" width="12" style="100" customWidth="1"/>
    <col min="3319" max="3319" width="9" style="100" customWidth="1"/>
    <col min="3320" max="3323" width="8.6640625" style="100" customWidth="1"/>
    <col min="3324" max="3324" width="8.5546875" style="100" customWidth="1"/>
    <col min="3325" max="3325" width="8.88671875" style="100" customWidth="1"/>
    <col min="3326" max="3327" width="11.5546875" style="100" customWidth="1"/>
    <col min="3328" max="3328" width="9.33203125" style="100" customWidth="1"/>
    <col min="3329" max="3329" width="40.44140625" style="100" customWidth="1"/>
    <col min="3330" max="3330" width="51.33203125" style="100" customWidth="1"/>
    <col min="3331" max="3332" width="9.109375" style="100" customWidth="1"/>
    <col min="3333" max="3572" width="9.109375" style="100"/>
    <col min="3573" max="3573" width="24.6640625" style="100" customWidth="1"/>
    <col min="3574" max="3574" width="12" style="100" customWidth="1"/>
    <col min="3575" max="3575" width="9" style="100" customWidth="1"/>
    <col min="3576" max="3579" width="8.6640625" style="100" customWidth="1"/>
    <col min="3580" max="3580" width="8.5546875" style="100" customWidth="1"/>
    <col min="3581" max="3581" width="8.88671875" style="100" customWidth="1"/>
    <col min="3582" max="3583" width="11.5546875" style="100" customWidth="1"/>
    <col min="3584" max="3584" width="9.33203125" style="100" customWidth="1"/>
    <col min="3585" max="3585" width="40.44140625" style="100" customWidth="1"/>
    <col min="3586" max="3586" width="51.33203125" style="100" customWidth="1"/>
    <col min="3587" max="3588" width="9.109375" style="100" customWidth="1"/>
    <col min="3589" max="3828" width="9.109375" style="100"/>
    <col min="3829" max="3829" width="24.6640625" style="100" customWidth="1"/>
    <col min="3830" max="3830" width="12" style="100" customWidth="1"/>
    <col min="3831" max="3831" width="9" style="100" customWidth="1"/>
    <col min="3832" max="3835" width="8.6640625" style="100" customWidth="1"/>
    <col min="3836" max="3836" width="8.5546875" style="100" customWidth="1"/>
    <col min="3837" max="3837" width="8.88671875" style="100" customWidth="1"/>
    <col min="3838" max="3839" width="11.5546875" style="100" customWidth="1"/>
    <col min="3840" max="3840" width="9.33203125" style="100" customWidth="1"/>
    <col min="3841" max="3841" width="40.44140625" style="100" customWidth="1"/>
    <col min="3842" max="3842" width="51.33203125" style="100" customWidth="1"/>
    <col min="3843" max="3844" width="9.109375" style="100" customWidth="1"/>
    <col min="3845" max="4084" width="9.109375" style="100"/>
    <col min="4085" max="4085" width="24.6640625" style="100" customWidth="1"/>
    <col min="4086" max="4086" width="12" style="100" customWidth="1"/>
    <col min="4087" max="4087" width="9" style="100" customWidth="1"/>
    <col min="4088" max="4091" width="8.6640625" style="100" customWidth="1"/>
    <col min="4092" max="4092" width="8.5546875" style="100" customWidth="1"/>
    <col min="4093" max="4093" width="8.88671875" style="100" customWidth="1"/>
    <col min="4094" max="4095" width="11.5546875" style="100" customWidth="1"/>
    <col min="4096" max="4096" width="9.33203125" style="100" customWidth="1"/>
    <col min="4097" max="4097" width="40.44140625" style="100" customWidth="1"/>
    <col min="4098" max="4098" width="51.33203125" style="100" customWidth="1"/>
    <col min="4099" max="4100" width="9.109375" style="100" customWidth="1"/>
    <col min="4101" max="4340" width="9.109375" style="100"/>
    <col min="4341" max="4341" width="24.6640625" style="100" customWidth="1"/>
    <col min="4342" max="4342" width="12" style="100" customWidth="1"/>
    <col min="4343" max="4343" width="9" style="100" customWidth="1"/>
    <col min="4344" max="4347" width="8.6640625" style="100" customWidth="1"/>
    <col min="4348" max="4348" width="8.5546875" style="100" customWidth="1"/>
    <col min="4349" max="4349" width="8.88671875" style="100" customWidth="1"/>
    <col min="4350" max="4351" width="11.5546875" style="100" customWidth="1"/>
    <col min="4352" max="4352" width="9.33203125" style="100" customWidth="1"/>
    <col min="4353" max="4353" width="40.44140625" style="100" customWidth="1"/>
    <col min="4354" max="4354" width="51.33203125" style="100" customWidth="1"/>
    <col min="4355" max="4356" width="9.109375" style="100" customWidth="1"/>
    <col min="4357" max="4596" width="9.109375" style="100"/>
    <col min="4597" max="4597" width="24.6640625" style="100" customWidth="1"/>
    <col min="4598" max="4598" width="12" style="100" customWidth="1"/>
    <col min="4599" max="4599" width="9" style="100" customWidth="1"/>
    <col min="4600" max="4603" width="8.6640625" style="100" customWidth="1"/>
    <col min="4604" max="4604" width="8.5546875" style="100" customWidth="1"/>
    <col min="4605" max="4605" width="8.88671875" style="100" customWidth="1"/>
    <col min="4606" max="4607" width="11.5546875" style="100" customWidth="1"/>
    <col min="4608" max="4608" width="9.33203125" style="100" customWidth="1"/>
    <col min="4609" max="4609" width="40.44140625" style="100" customWidth="1"/>
    <col min="4610" max="4610" width="51.33203125" style="100" customWidth="1"/>
    <col min="4611" max="4612" width="9.109375" style="100" customWidth="1"/>
    <col min="4613" max="4852" width="9.109375" style="100"/>
    <col min="4853" max="4853" width="24.6640625" style="100" customWidth="1"/>
    <col min="4854" max="4854" width="12" style="100" customWidth="1"/>
    <col min="4855" max="4855" width="9" style="100" customWidth="1"/>
    <col min="4856" max="4859" width="8.6640625" style="100" customWidth="1"/>
    <col min="4860" max="4860" width="8.5546875" style="100" customWidth="1"/>
    <col min="4861" max="4861" width="8.88671875" style="100" customWidth="1"/>
    <col min="4862" max="4863" width="11.5546875" style="100" customWidth="1"/>
    <col min="4864" max="4864" width="9.33203125" style="100" customWidth="1"/>
    <col min="4865" max="4865" width="40.44140625" style="100" customWidth="1"/>
    <col min="4866" max="4866" width="51.33203125" style="100" customWidth="1"/>
    <col min="4867" max="4868" width="9.109375" style="100" customWidth="1"/>
    <col min="4869" max="5108" width="9.109375" style="100"/>
    <col min="5109" max="5109" width="24.6640625" style="100" customWidth="1"/>
    <col min="5110" max="5110" width="12" style="100" customWidth="1"/>
    <col min="5111" max="5111" width="9" style="100" customWidth="1"/>
    <col min="5112" max="5115" width="8.6640625" style="100" customWidth="1"/>
    <col min="5116" max="5116" width="8.5546875" style="100" customWidth="1"/>
    <col min="5117" max="5117" width="8.88671875" style="100" customWidth="1"/>
    <col min="5118" max="5119" width="11.5546875" style="100" customWidth="1"/>
    <col min="5120" max="5120" width="9.33203125" style="100" customWidth="1"/>
    <col min="5121" max="5121" width="40.44140625" style="100" customWidth="1"/>
    <col min="5122" max="5122" width="51.33203125" style="100" customWidth="1"/>
    <col min="5123" max="5124" width="9.109375" style="100" customWidth="1"/>
    <col min="5125" max="5364" width="9.109375" style="100"/>
    <col min="5365" max="5365" width="24.6640625" style="100" customWidth="1"/>
    <col min="5366" max="5366" width="12" style="100" customWidth="1"/>
    <col min="5367" max="5367" width="9" style="100" customWidth="1"/>
    <col min="5368" max="5371" width="8.6640625" style="100" customWidth="1"/>
    <col min="5372" max="5372" width="8.5546875" style="100" customWidth="1"/>
    <col min="5373" max="5373" width="8.88671875" style="100" customWidth="1"/>
    <col min="5374" max="5375" width="11.5546875" style="100" customWidth="1"/>
    <col min="5376" max="5376" width="9.33203125" style="100" customWidth="1"/>
    <col min="5377" max="5377" width="40.44140625" style="100" customWidth="1"/>
    <col min="5378" max="5378" width="51.33203125" style="100" customWidth="1"/>
    <col min="5379" max="5380" width="9.109375" style="100" customWidth="1"/>
    <col min="5381" max="5620" width="9.109375" style="100"/>
    <col min="5621" max="5621" width="24.6640625" style="100" customWidth="1"/>
    <col min="5622" max="5622" width="12" style="100" customWidth="1"/>
    <col min="5623" max="5623" width="9" style="100" customWidth="1"/>
    <col min="5624" max="5627" width="8.6640625" style="100" customWidth="1"/>
    <col min="5628" max="5628" width="8.5546875" style="100" customWidth="1"/>
    <col min="5629" max="5629" width="8.88671875" style="100" customWidth="1"/>
    <col min="5630" max="5631" width="11.5546875" style="100" customWidth="1"/>
    <col min="5632" max="5632" width="9.33203125" style="100" customWidth="1"/>
    <col min="5633" max="5633" width="40.44140625" style="100" customWidth="1"/>
    <col min="5634" max="5634" width="51.33203125" style="100" customWidth="1"/>
    <col min="5635" max="5636" width="9.109375" style="100" customWidth="1"/>
    <col min="5637" max="5876" width="9.109375" style="100"/>
    <col min="5877" max="5877" width="24.6640625" style="100" customWidth="1"/>
    <col min="5878" max="5878" width="12" style="100" customWidth="1"/>
    <col min="5879" max="5879" width="9" style="100" customWidth="1"/>
    <col min="5880" max="5883" width="8.6640625" style="100" customWidth="1"/>
    <col min="5884" max="5884" width="8.5546875" style="100" customWidth="1"/>
    <col min="5885" max="5885" width="8.88671875" style="100" customWidth="1"/>
    <col min="5886" max="5887" width="11.5546875" style="100" customWidth="1"/>
    <col min="5888" max="5888" width="9.33203125" style="100" customWidth="1"/>
    <col min="5889" max="5889" width="40.44140625" style="100" customWidth="1"/>
    <col min="5890" max="5890" width="51.33203125" style="100" customWidth="1"/>
    <col min="5891" max="5892" width="9.109375" style="100" customWidth="1"/>
    <col min="5893" max="6132" width="9.109375" style="100"/>
    <col min="6133" max="6133" width="24.6640625" style="100" customWidth="1"/>
    <col min="6134" max="6134" width="12" style="100" customWidth="1"/>
    <col min="6135" max="6135" width="9" style="100" customWidth="1"/>
    <col min="6136" max="6139" width="8.6640625" style="100" customWidth="1"/>
    <col min="6140" max="6140" width="8.5546875" style="100" customWidth="1"/>
    <col min="6141" max="6141" width="8.88671875" style="100" customWidth="1"/>
    <col min="6142" max="6143" width="11.5546875" style="100" customWidth="1"/>
    <col min="6144" max="6144" width="9.33203125" style="100" customWidth="1"/>
    <col min="6145" max="6145" width="40.44140625" style="100" customWidth="1"/>
    <col min="6146" max="6146" width="51.33203125" style="100" customWidth="1"/>
    <col min="6147" max="6148" width="9.109375" style="100" customWidth="1"/>
    <col min="6149" max="6388" width="9.109375" style="100"/>
    <col min="6389" max="6389" width="24.6640625" style="100" customWidth="1"/>
    <col min="6390" max="6390" width="12" style="100" customWidth="1"/>
    <col min="6391" max="6391" width="9" style="100" customWidth="1"/>
    <col min="6392" max="6395" width="8.6640625" style="100" customWidth="1"/>
    <col min="6396" max="6396" width="8.5546875" style="100" customWidth="1"/>
    <col min="6397" max="6397" width="8.88671875" style="100" customWidth="1"/>
    <col min="6398" max="6399" width="11.5546875" style="100" customWidth="1"/>
    <col min="6400" max="6400" width="9.33203125" style="100" customWidth="1"/>
    <col min="6401" max="6401" width="40.44140625" style="100" customWidth="1"/>
    <col min="6402" max="6402" width="51.33203125" style="100" customWidth="1"/>
    <col min="6403" max="6404" width="9.109375" style="100" customWidth="1"/>
    <col min="6405" max="6644" width="9.109375" style="100"/>
    <col min="6645" max="6645" width="24.6640625" style="100" customWidth="1"/>
    <col min="6646" max="6646" width="12" style="100" customWidth="1"/>
    <col min="6647" max="6647" width="9" style="100" customWidth="1"/>
    <col min="6648" max="6651" width="8.6640625" style="100" customWidth="1"/>
    <col min="6652" max="6652" width="8.5546875" style="100" customWidth="1"/>
    <col min="6653" max="6653" width="8.88671875" style="100" customWidth="1"/>
    <col min="6654" max="6655" width="11.5546875" style="100" customWidth="1"/>
    <col min="6656" max="6656" width="9.33203125" style="100" customWidth="1"/>
    <col min="6657" max="6657" width="40.44140625" style="100" customWidth="1"/>
    <col min="6658" max="6658" width="51.33203125" style="100" customWidth="1"/>
    <col min="6659" max="6660" width="9.109375" style="100" customWidth="1"/>
    <col min="6661" max="6900" width="9.109375" style="100"/>
    <col min="6901" max="6901" width="24.6640625" style="100" customWidth="1"/>
    <col min="6902" max="6902" width="12" style="100" customWidth="1"/>
    <col min="6903" max="6903" width="9" style="100" customWidth="1"/>
    <col min="6904" max="6907" width="8.6640625" style="100" customWidth="1"/>
    <col min="6908" max="6908" width="8.5546875" style="100" customWidth="1"/>
    <col min="6909" max="6909" width="8.88671875" style="100" customWidth="1"/>
    <col min="6910" max="6911" width="11.5546875" style="100" customWidth="1"/>
    <col min="6912" max="6912" width="9.33203125" style="100" customWidth="1"/>
    <col min="6913" max="6913" width="40.44140625" style="100" customWidth="1"/>
    <col min="6914" max="6914" width="51.33203125" style="100" customWidth="1"/>
    <col min="6915" max="6916" width="9.109375" style="100" customWidth="1"/>
    <col min="6917" max="7156" width="9.109375" style="100"/>
    <col min="7157" max="7157" width="24.6640625" style="100" customWidth="1"/>
    <col min="7158" max="7158" width="12" style="100" customWidth="1"/>
    <col min="7159" max="7159" width="9" style="100" customWidth="1"/>
    <col min="7160" max="7163" width="8.6640625" style="100" customWidth="1"/>
    <col min="7164" max="7164" width="8.5546875" style="100" customWidth="1"/>
    <col min="7165" max="7165" width="8.88671875" style="100" customWidth="1"/>
    <col min="7166" max="7167" width="11.5546875" style="100" customWidth="1"/>
    <col min="7168" max="7168" width="9.33203125" style="100" customWidth="1"/>
    <col min="7169" max="7169" width="40.44140625" style="100" customWidth="1"/>
    <col min="7170" max="7170" width="51.33203125" style="100" customWidth="1"/>
    <col min="7171" max="7172" width="9.109375" style="100" customWidth="1"/>
    <col min="7173" max="7412" width="9.109375" style="100"/>
    <col min="7413" max="7413" width="24.6640625" style="100" customWidth="1"/>
    <col min="7414" max="7414" width="12" style="100" customWidth="1"/>
    <col min="7415" max="7415" width="9" style="100" customWidth="1"/>
    <col min="7416" max="7419" width="8.6640625" style="100" customWidth="1"/>
    <col min="7420" max="7420" width="8.5546875" style="100" customWidth="1"/>
    <col min="7421" max="7421" width="8.88671875" style="100" customWidth="1"/>
    <col min="7422" max="7423" width="11.5546875" style="100" customWidth="1"/>
    <col min="7424" max="7424" width="9.33203125" style="100" customWidth="1"/>
    <col min="7425" max="7425" width="40.44140625" style="100" customWidth="1"/>
    <col min="7426" max="7426" width="51.33203125" style="100" customWidth="1"/>
    <col min="7427" max="7428" width="9.109375" style="100" customWidth="1"/>
    <col min="7429" max="7668" width="9.109375" style="100"/>
    <col min="7669" max="7669" width="24.6640625" style="100" customWidth="1"/>
    <col min="7670" max="7670" width="12" style="100" customWidth="1"/>
    <col min="7671" max="7671" width="9" style="100" customWidth="1"/>
    <col min="7672" max="7675" width="8.6640625" style="100" customWidth="1"/>
    <col min="7676" max="7676" width="8.5546875" style="100" customWidth="1"/>
    <col min="7677" max="7677" width="8.88671875" style="100" customWidth="1"/>
    <col min="7678" max="7679" width="11.5546875" style="100" customWidth="1"/>
    <col min="7680" max="7680" width="9.33203125" style="100" customWidth="1"/>
    <col min="7681" max="7681" width="40.44140625" style="100" customWidth="1"/>
    <col min="7682" max="7682" width="51.33203125" style="100" customWidth="1"/>
    <col min="7683" max="7684" width="9.109375" style="100" customWidth="1"/>
    <col min="7685" max="7924" width="9.109375" style="100"/>
    <col min="7925" max="7925" width="24.6640625" style="100" customWidth="1"/>
    <col min="7926" max="7926" width="12" style="100" customWidth="1"/>
    <col min="7927" max="7927" width="9" style="100" customWidth="1"/>
    <col min="7928" max="7931" width="8.6640625" style="100" customWidth="1"/>
    <col min="7932" max="7932" width="8.5546875" style="100" customWidth="1"/>
    <col min="7933" max="7933" width="8.88671875" style="100" customWidth="1"/>
    <col min="7934" max="7935" width="11.5546875" style="100" customWidth="1"/>
    <col min="7936" max="7936" width="9.33203125" style="100" customWidth="1"/>
    <col min="7937" max="7937" width="40.44140625" style="100" customWidth="1"/>
    <col min="7938" max="7938" width="51.33203125" style="100" customWidth="1"/>
    <col min="7939" max="7940" width="9.109375" style="100" customWidth="1"/>
    <col min="7941" max="8180" width="9.109375" style="100"/>
    <col min="8181" max="8181" width="24.6640625" style="100" customWidth="1"/>
    <col min="8182" max="8182" width="12" style="100" customWidth="1"/>
    <col min="8183" max="8183" width="9" style="100" customWidth="1"/>
    <col min="8184" max="8187" width="8.6640625" style="100" customWidth="1"/>
    <col min="8188" max="8188" width="8.5546875" style="100" customWidth="1"/>
    <col min="8189" max="8189" width="8.88671875" style="100" customWidth="1"/>
    <col min="8190" max="8191" width="11.5546875" style="100" customWidth="1"/>
    <col min="8192" max="8192" width="9.33203125" style="100" customWidth="1"/>
    <col min="8193" max="8193" width="40.44140625" style="100" customWidth="1"/>
    <col min="8194" max="8194" width="51.33203125" style="100" customWidth="1"/>
    <col min="8195" max="8196" width="9.109375" style="100" customWidth="1"/>
    <col min="8197" max="8436" width="9.109375" style="100"/>
    <col min="8437" max="8437" width="24.6640625" style="100" customWidth="1"/>
    <col min="8438" max="8438" width="12" style="100" customWidth="1"/>
    <col min="8439" max="8439" width="9" style="100" customWidth="1"/>
    <col min="8440" max="8443" width="8.6640625" style="100" customWidth="1"/>
    <col min="8444" max="8444" width="8.5546875" style="100" customWidth="1"/>
    <col min="8445" max="8445" width="8.88671875" style="100" customWidth="1"/>
    <col min="8446" max="8447" width="11.5546875" style="100" customWidth="1"/>
    <col min="8448" max="8448" width="9.33203125" style="100" customWidth="1"/>
    <col min="8449" max="8449" width="40.44140625" style="100" customWidth="1"/>
    <col min="8450" max="8450" width="51.33203125" style="100" customWidth="1"/>
    <col min="8451" max="8452" width="9.109375" style="100" customWidth="1"/>
    <col min="8453" max="8692" width="9.109375" style="100"/>
    <col min="8693" max="8693" width="24.6640625" style="100" customWidth="1"/>
    <col min="8694" max="8694" width="12" style="100" customWidth="1"/>
    <col min="8695" max="8695" width="9" style="100" customWidth="1"/>
    <col min="8696" max="8699" width="8.6640625" style="100" customWidth="1"/>
    <col min="8700" max="8700" width="8.5546875" style="100" customWidth="1"/>
    <col min="8701" max="8701" width="8.88671875" style="100" customWidth="1"/>
    <col min="8702" max="8703" width="11.5546875" style="100" customWidth="1"/>
    <col min="8704" max="8704" width="9.33203125" style="100" customWidth="1"/>
    <col min="8705" max="8705" width="40.44140625" style="100" customWidth="1"/>
    <col min="8706" max="8706" width="51.33203125" style="100" customWidth="1"/>
    <col min="8707" max="8708" width="9.109375" style="100" customWidth="1"/>
    <col min="8709" max="8948" width="9.109375" style="100"/>
    <col min="8949" max="8949" width="24.6640625" style="100" customWidth="1"/>
    <col min="8950" max="8950" width="12" style="100" customWidth="1"/>
    <col min="8951" max="8951" width="9" style="100" customWidth="1"/>
    <col min="8952" max="8955" width="8.6640625" style="100" customWidth="1"/>
    <col min="8956" max="8956" width="8.5546875" style="100" customWidth="1"/>
    <col min="8957" max="8957" width="8.88671875" style="100" customWidth="1"/>
    <col min="8958" max="8959" width="11.5546875" style="100" customWidth="1"/>
    <col min="8960" max="8960" width="9.33203125" style="100" customWidth="1"/>
    <col min="8961" max="8961" width="40.44140625" style="100" customWidth="1"/>
    <col min="8962" max="8962" width="51.33203125" style="100" customWidth="1"/>
    <col min="8963" max="8964" width="9.109375" style="100" customWidth="1"/>
    <col min="8965" max="9204" width="9.109375" style="100"/>
    <col min="9205" max="9205" width="24.6640625" style="100" customWidth="1"/>
    <col min="9206" max="9206" width="12" style="100" customWidth="1"/>
    <col min="9207" max="9207" width="9" style="100" customWidth="1"/>
    <col min="9208" max="9211" width="8.6640625" style="100" customWidth="1"/>
    <col min="9212" max="9212" width="8.5546875" style="100" customWidth="1"/>
    <col min="9213" max="9213" width="8.88671875" style="100" customWidth="1"/>
    <col min="9214" max="9215" width="11.5546875" style="100" customWidth="1"/>
    <col min="9216" max="9216" width="9.33203125" style="100" customWidth="1"/>
    <col min="9217" max="9217" width="40.44140625" style="100" customWidth="1"/>
    <col min="9218" max="9218" width="51.33203125" style="100" customWidth="1"/>
    <col min="9219" max="9220" width="9.109375" style="100" customWidth="1"/>
    <col min="9221" max="9460" width="9.109375" style="100"/>
    <col min="9461" max="9461" width="24.6640625" style="100" customWidth="1"/>
    <col min="9462" max="9462" width="12" style="100" customWidth="1"/>
    <col min="9463" max="9463" width="9" style="100" customWidth="1"/>
    <col min="9464" max="9467" width="8.6640625" style="100" customWidth="1"/>
    <col min="9468" max="9468" width="8.5546875" style="100" customWidth="1"/>
    <col min="9469" max="9469" width="8.88671875" style="100" customWidth="1"/>
    <col min="9470" max="9471" width="11.5546875" style="100" customWidth="1"/>
    <col min="9472" max="9472" width="9.33203125" style="100" customWidth="1"/>
    <col min="9473" max="9473" width="40.44140625" style="100" customWidth="1"/>
    <col min="9474" max="9474" width="51.33203125" style="100" customWidth="1"/>
    <col min="9475" max="9476" width="9.109375" style="100" customWidth="1"/>
    <col min="9477" max="9716" width="9.109375" style="100"/>
    <col min="9717" max="9717" width="24.6640625" style="100" customWidth="1"/>
    <col min="9718" max="9718" width="12" style="100" customWidth="1"/>
    <col min="9719" max="9719" width="9" style="100" customWidth="1"/>
    <col min="9720" max="9723" width="8.6640625" style="100" customWidth="1"/>
    <col min="9724" max="9724" width="8.5546875" style="100" customWidth="1"/>
    <col min="9725" max="9725" width="8.88671875" style="100" customWidth="1"/>
    <col min="9726" max="9727" width="11.5546875" style="100" customWidth="1"/>
    <col min="9728" max="9728" width="9.33203125" style="100" customWidth="1"/>
    <col min="9729" max="9729" width="40.44140625" style="100" customWidth="1"/>
    <col min="9730" max="9730" width="51.33203125" style="100" customWidth="1"/>
    <col min="9731" max="9732" width="9.109375" style="100" customWidth="1"/>
    <col min="9733" max="9972" width="9.109375" style="100"/>
    <col min="9973" max="9973" width="24.6640625" style="100" customWidth="1"/>
    <col min="9974" max="9974" width="12" style="100" customWidth="1"/>
    <col min="9975" max="9975" width="9" style="100" customWidth="1"/>
    <col min="9976" max="9979" width="8.6640625" style="100" customWidth="1"/>
    <col min="9980" max="9980" width="8.5546875" style="100" customWidth="1"/>
    <col min="9981" max="9981" width="8.88671875" style="100" customWidth="1"/>
    <col min="9982" max="9983" width="11.5546875" style="100" customWidth="1"/>
    <col min="9984" max="9984" width="9.33203125" style="100" customWidth="1"/>
    <col min="9985" max="9985" width="40.44140625" style="100" customWidth="1"/>
    <col min="9986" max="9986" width="51.33203125" style="100" customWidth="1"/>
    <col min="9987" max="9988" width="9.109375" style="100" customWidth="1"/>
    <col min="9989" max="10228" width="9.109375" style="100"/>
    <col min="10229" max="10229" width="24.6640625" style="100" customWidth="1"/>
    <col min="10230" max="10230" width="12" style="100" customWidth="1"/>
    <col min="10231" max="10231" width="9" style="100" customWidth="1"/>
    <col min="10232" max="10235" width="8.6640625" style="100" customWidth="1"/>
    <col min="10236" max="10236" width="8.5546875" style="100" customWidth="1"/>
    <col min="10237" max="10237" width="8.88671875" style="100" customWidth="1"/>
    <col min="10238" max="10239" width="11.5546875" style="100" customWidth="1"/>
    <col min="10240" max="10240" width="9.33203125" style="100" customWidth="1"/>
    <col min="10241" max="10241" width="40.44140625" style="100" customWidth="1"/>
    <col min="10242" max="10242" width="51.33203125" style="100" customWidth="1"/>
    <col min="10243" max="10244" width="9.109375" style="100" customWidth="1"/>
    <col min="10245" max="10484" width="9.109375" style="100"/>
    <col min="10485" max="10485" width="24.6640625" style="100" customWidth="1"/>
    <col min="10486" max="10486" width="12" style="100" customWidth="1"/>
    <col min="10487" max="10487" width="9" style="100" customWidth="1"/>
    <col min="10488" max="10491" width="8.6640625" style="100" customWidth="1"/>
    <col min="10492" max="10492" width="8.5546875" style="100" customWidth="1"/>
    <col min="10493" max="10493" width="8.88671875" style="100" customWidth="1"/>
    <col min="10494" max="10495" width="11.5546875" style="100" customWidth="1"/>
    <col min="10496" max="10496" width="9.33203125" style="100" customWidth="1"/>
    <col min="10497" max="10497" width="40.44140625" style="100" customWidth="1"/>
    <col min="10498" max="10498" width="51.33203125" style="100" customWidth="1"/>
    <col min="10499" max="10500" width="9.109375" style="100" customWidth="1"/>
    <col min="10501" max="10740" width="9.109375" style="100"/>
    <col min="10741" max="10741" width="24.6640625" style="100" customWidth="1"/>
    <col min="10742" max="10742" width="12" style="100" customWidth="1"/>
    <col min="10743" max="10743" width="9" style="100" customWidth="1"/>
    <col min="10744" max="10747" width="8.6640625" style="100" customWidth="1"/>
    <col min="10748" max="10748" width="8.5546875" style="100" customWidth="1"/>
    <col min="10749" max="10749" width="8.88671875" style="100" customWidth="1"/>
    <col min="10750" max="10751" width="11.5546875" style="100" customWidth="1"/>
    <col min="10752" max="10752" width="9.33203125" style="100" customWidth="1"/>
    <col min="10753" max="10753" width="40.44140625" style="100" customWidth="1"/>
    <col min="10754" max="10754" width="51.33203125" style="100" customWidth="1"/>
    <col min="10755" max="10756" width="9.109375" style="100" customWidth="1"/>
    <col min="10757" max="10996" width="9.109375" style="100"/>
    <col min="10997" max="10997" width="24.6640625" style="100" customWidth="1"/>
    <col min="10998" max="10998" width="12" style="100" customWidth="1"/>
    <col min="10999" max="10999" width="9" style="100" customWidth="1"/>
    <col min="11000" max="11003" width="8.6640625" style="100" customWidth="1"/>
    <col min="11004" max="11004" width="8.5546875" style="100" customWidth="1"/>
    <col min="11005" max="11005" width="8.88671875" style="100" customWidth="1"/>
    <col min="11006" max="11007" width="11.5546875" style="100" customWidth="1"/>
    <col min="11008" max="11008" width="9.33203125" style="100" customWidth="1"/>
    <col min="11009" max="11009" width="40.44140625" style="100" customWidth="1"/>
    <col min="11010" max="11010" width="51.33203125" style="100" customWidth="1"/>
    <col min="11011" max="11012" width="9.109375" style="100" customWidth="1"/>
    <col min="11013" max="11252" width="9.109375" style="100"/>
    <col min="11253" max="11253" width="24.6640625" style="100" customWidth="1"/>
    <col min="11254" max="11254" width="12" style="100" customWidth="1"/>
    <col min="11255" max="11255" width="9" style="100" customWidth="1"/>
    <col min="11256" max="11259" width="8.6640625" style="100" customWidth="1"/>
    <col min="11260" max="11260" width="8.5546875" style="100" customWidth="1"/>
    <col min="11261" max="11261" width="8.88671875" style="100" customWidth="1"/>
    <col min="11262" max="11263" width="11.5546875" style="100" customWidth="1"/>
    <col min="11264" max="11264" width="9.33203125" style="100" customWidth="1"/>
    <col min="11265" max="11265" width="40.44140625" style="100" customWidth="1"/>
    <col min="11266" max="11266" width="51.33203125" style="100" customWidth="1"/>
    <col min="11267" max="11268" width="9.109375" style="100" customWidth="1"/>
    <col min="11269" max="11508" width="9.109375" style="100"/>
    <col min="11509" max="11509" width="24.6640625" style="100" customWidth="1"/>
    <col min="11510" max="11510" width="12" style="100" customWidth="1"/>
    <col min="11511" max="11511" width="9" style="100" customWidth="1"/>
    <col min="11512" max="11515" width="8.6640625" style="100" customWidth="1"/>
    <col min="11516" max="11516" width="8.5546875" style="100" customWidth="1"/>
    <col min="11517" max="11517" width="8.88671875" style="100" customWidth="1"/>
    <col min="11518" max="11519" width="11.5546875" style="100" customWidth="1"/>
    <col min="11520" max="11520" width="9.33203125" style="100" customWidth="1"/>
    <col min="11521" max="11521" width="40.44140625" style="100" customWidth="1"/>
    <col min="11522" max="11522" width="51.33203125" style="100" customWidth="1"/>
    <col min="11523" max="11524" width="9.109375" style="100" customWidth="1"/>
    <col min="11525" max="11764" width="9.109375" style="100"/>
    <col min="11765" max="11765" width="24.6640625" style="100" customWidth="1"/>
    <col min="11766" max="11766" width="12" style="100" customWidth="1"/>
    <col min="11767" max="11767" width="9" style="100" customWidth="1"/>
    <col min="11768" max="11771" width="8.6640625" style="100" customWidth="1"/>
    <col min="11772" max="11772" width="8.5546875" style="100" customWidth="1"/>
    <col min="11773" max="11773" width="8.88671875" style="100" customWidth="1"/>
    <col min="11774" max="11775" width="11.5546875" style="100" customWidth="1"/>
    <col min="11776" max="11776" width="9.33203125" style="100" customWidth="1"/>
    <col min="11777" max="11777" width="40.44140625" style="100" customWidth="1"/>
    <col min="11778" max="11778" width="51.33203125" style="100" customWidth="1"/>
    <col min="11779" max="11780" width="9.109375" style="100" customWidth="1"/>
    <col min="11781" max="12020" width="9.109375" style="100"/>
    <col min="12021" max="12021" width="24.6640625" style="100" customWidth="1"/>
    <col min="12022" max="12022" width="12" style="100" customWidth="1"/>
    <col min="12023" max="12023" width="9" style="100" customWidth="1"/>
    <col min="12024" max="12027" width="8.6640625" style="100" customWidth="1"/>
    <col min="12028" max="12028" width="8.5546875" style="100" customWidth="1"/>
    <col min="12029" max="12029" width="8.88671875" style="100" customWidth="1"/>
    <col min="12030" max="12031" width="11.5546875" style="100" customWidth="1"/>
    <col min="12032" max="12032" width="9.33203125" style="100" customWidth="1"/>
    <col min="12033" max="12033" width="40.44140625" style="100" customWidth="1"/>
    <col min="12034" max="12034" width="51.33203125" style="100" customWidth="1"/>
    <col min="12035" max="12036" width="9.109375" style="100" customWidth="1"/>
    <col min="12037" max="12276" width="9.109375" style="100"/>
    <col min="12277" max="12277" width="24.6640625" style="100" customWidth="1"/>
    <col min="12278" max="12278" width="12" style="100" customWidth="1"/>
    <col min="12279" max="12279" width="9" style="100" customWidth="1"/>
    <col min="12280" max="12283" width="8.6640625" style="100" customWidth="1"/>
    <col min="12284" max="12284" width="8.5546875" style="100" customWidth="1"/>
    <col min="12285" max="12285" width="8.88671875" style="100" customWidth="1"/>
    <col min="12286" max="12287" width="11.5546875" style="100" customWidth="1"/>
    <col min="12288" max="12288" width="9.33203125" style="100" customWidth="1"/>
    <col min="12289" max="12289" width="40.44140625" style="100" customWidth="1"/>
    <col min="12290" max="12290" width="51.33203125" style="100" customWidth="1"/>
    <col min="12291" max="12292" width="9.109375" style="100" customWidth="1"/>
    <col min="12293" max="12532" width="9.109375" style="100"/>
    <col min="12533" max="12533" width="24.6640625" style="100" customWidth="1"/>
    <col min="12534" max="12534" width="12" style="100" customWidth="1"/>
    <col min="12535" max="12535" width="9" style="100" customWidth="1"/>
    <col min="12536" max="12539" width="8.6640625" style="100" customWidth="1"/>
    <col min="12540" max="12540" width="8.5546875" style="100" customWidth="1"/>
    <col min="12541" max="12541" width="8.88671875" style="100" customWidth="1"/>
    <col min="12542" max="12543" width="11.5546875" style="100" customWidth="1"/>
    <col min="12544" max="12544" width="9.33203125" style="100" customWidth="1"/>
    <col min="12545" max="12545" width="40.44140625" style="100" customWidth="1"/>
    <col min="12546" max="12546" width="51.33203125" style="100" customWidth="1"/>
    <col min="12547" max="12548" width="9.109375" style="100" customWidth="1"/>
    <col min="12549" max="12788" width="9.109375" style="100"/>
    <col min="12789" max="12789" width="24.6640625" style="100" customWidth="1"/>
    <col min="12790" max="12790" width="12" style="100" customWidth="1"/>
    <col min="12791" max="12791" width="9" style="100" customWidth="1"/>
    <col min="12792" max="12795" width="8.6640625" style="100" customWidth="1"/>
    <col min="12796" max="12796" width="8.5546875" style="100" customWidth="1"/>
    <col min="12797" max="12797" width="8.88671875" style="100" customWidth="1"/>
    <col min="12798" max="12799" width="11.5546875" style="100" customWidth="1"/>
    <col min="12800" max="12800" width="9.33203125" style="100" customWidth="1"/>
    <col min="12801" max="12801" width="40.44140625" style="100" customWidth="1"/>
    <col min="12802" max="12802" width="51.33203125" style="100" customWidth="1"/>
    <col min="12803" max="12804" width="9.109375" style="100" customWidth="1"/>
    <col min="12805" max="13044" width="9.109375" style="100"/>
    <col min="13045" max="13045" width="24.6640625" style="100" customWidth="1"/>
    <col min="13046" max="13046" width="12" style="100" customWidth="1"/>
    <col min="13047" max="13047" width="9" style="100" customWidth="1"/>
    <col min="13048" max="13051" width="8.6640625" style="100" customWidth="1"/>
    <col min="13052" max="13052" width="8.5546875" style="100" customWidth="1"/>
    <col min="13053" max="13053" width="8.88671875" style="100" customWidth="1"/>
    <col min="13054" max="13055" width="11.5546875" style="100" customWidth="1"/>
    <col min="13056" max="13056" width="9.33203125" style="100" customWidth="1"/>
    <col min="13057" max="13057" width="40.44140625" style="100" customWidth="1"/>
    <col min="13058" max="13058" width="51.33203125" style="100" customWidth="1"/>
    <col min="13059" max="13060" width="9.109375" style="100" customWidth="1"/>
    <col min="13061" max="13300" width="9.109375" style="100"/>
    <col min="13301" max="13301" width="24.6640625" style="100" customWidth="1"/>
    <col min="13302" max="13302" width="12" style="100" customWidth="1"/>
    <col min="13303" max="13303" width="9" style="100" customWidth="1"/>
    <col min="13304" max="13307" width="8.6640625" style="100" customWidth="1"/>
    <col min="13308" max="13308" width="8.5546875" style="100" customWidth="1"/>
    <col min="13309" max="13309" width="8.88671875" style="100" customWidth="1"/>
    <col min="13310" max="13311" width="11.5546875" style="100" customWidth="1"/>
    <col min="13312" max="13312" width="9.33203125" style="100" customWidth="1"/>
    <col min="13313" max="13313" width="40.44140625" style="100" customWidth="1"/>
    <col min="13314" max="13314" width="51.33203125" style="100" customWidth="1"/>
    <col min="13315" max="13316" width="9.109375" style="100" customWidth="1"/>
    <col min="13317" max="13556" width="9.109375" style="100"/>
    <col min="13557" max="13557" width="24.6640625" style="100" customWidth="1"/>
    <col min="13558" max="13558" width="12" style="100" customWidth="1"/>
    <col min="13559" max="13559" width="9" style="100" customWidth="1"/>
    <col min="13560" max="13563" width="8.6640625" style="100" customWidth="1"/>
    <col min="13564" max="13564" width="8.5546875" style="100" customWidth="1"/>
    <col min="13565" max="13565" width="8.88671875" style="100" customWidth="1"/>
    <col min="13566" max="13567" width="11.5546875" style="100" customWidth="1"/>
    <col min="13568" max="13568" width="9.33203125" style="100" customWidth="1"/>
    <col min="13569" max="13569" width="40.44140625" style="100" customWidth="1"/>
    <col min="13570" max="13570" width="51.33203125" style="100" customWidth="1"/>
    <col min="13571" max="13572" width="9.109375" style="100" customWidth="1"/>
    <col min="13573" max="13812" width="9.109375" style="100"/>
    <col min="13813" max="13813" width="24.6640625" style="100" customWidth="1"/>
    <col min="13814" max="13814" width="12" style="100" customWidth="1"/>
    <col min="13815" max="13815" width="9" style="100" customWidth="1"/>
    <col min="13816" max="13819" width="8.6640625" style="100" customWidth="1"/>
    <col min="13820" max="13820" width="8.5546875" style="100" customWidth="1"/>
    <col min="13821" max="13821" width="8.88671875" style="100" customWidth="1"/>
    <col min="13822" max="13823" width="11.5546875" style="100" customWidth="1"/>
    <col min="13824" max="13824" width="9.33203125" style="100" customWidth="1"/>
    <col min="13825" max="13825" width="40.44140625" style="100" customWidth="1"/>
    <col min="13826" max="13826" width="51.33203125" style="100" customWidth="1"/>
    <col min="13827" max="13828" width="9.109375" style="100" customWidth="1"/>
    <col min="13829" max="14068" width="9.109375" style="100"/>
    <col min="14069" max="14069" width="24.6640625" style="100" customWidth="1"/>
    <col min="14070" max="14070" width="12" style="100" customWidth="1"/>
    <col min="14071" max="14071" width="9" style="100" customWidth="1"/>
    <col min="14072" max="14075" width="8.6640625" style="100" customWidth="1"/>
    <col min="14076" max="14076" width="8.5546875" style="100" customWidth="1"/>
    <col min="14077" max="14077" width="8.88671875" style="100" customWidth="1"/>
    <col min="14078" max="14079" width="11.5546875" style="100" customWidth="1"/>
    <col min="14080" max="14080" width="9.33203125" style="100" customWidth="1"/>
    <col min="14081" max="14081" width="40.44140625" style="100" customWidth="1"/>
    <col min="14082" max="14082" width="51.33203125" style="100" customWidth="1"/>
    <col min="14083" max="14084" width="9.109375" style="100" customWidth="1"/>
    <col min="14085" max="14324" width="9.109375" style="100"/>
    <col min="14325" max="14325" width="24.6640625" style="100" customWidth="1"/>
    <col min="14326" max="14326" width="12" style="100" customWidth="1"/>
    <col min="14327" max="14327" width="9" style="100" customWidth="1"/>
    <col min="14328" max="14331" width="8.6640625" style="100" customWidth="1"/>
    <col min="14332" max="14332" width="8.5546875" style="100" customWidth="1"/>
    <col min="14333" max="14333" width="8.88671875" style="100" customWidth="1"/>
    <col min="14334" max="14335" width="11.5546875" style="100" customWidth="1"/>
    <col min="14336" max="14336" width="9.33203125" style="100" customWidth="1"/>
    <col min="14337" max="14337" width="40.44140625" style="100" customWidth="1"/>
    <col min="14338" max="14338" width="51.33203125" style="100" customWidth="1"/>
    <col min="14339" max="14340" width="9.109375" style="100" customWidth="1"/>
    <col min="14341" max="14580" width="9.109375" style="100"/>
    <col min="14581" max="14581" width="24.6640625" style="100" customWidth="1"/>
    <col min="14582" max="14582" width="12" style="100" customWidth="1"/>
    <col min="14583" max="14583" width="9" style="100" customWidth="1"/>
    <col min="14584" max="14587" width="8.6640625" style="100" customWidth="1"/>
    <col min="14588" max="14588" width="8.5546875" style="100" customWidth="1"/>
    <col min="14589" max="14589" width="8.88671875" style="100" customWidth="1"/>
    <col min="14590" max="14591" width="11.5546875" style="100" customWidth="1"/>
    <col min="14592" max="14592" width="9.33203125" style="100" customWidth="1"/>
    <col min="14593" max="14593" width="40.44140625" style="100" customWidth="1"/>
    <col min="14594" max="14594" width="51.33203125" style="100" customWidth="1"/>
    <col min="14595" max="14596" width="9.109375" style="100" customWidth="1"/>
    <col min="14597" max="14836" width="9.109375" style="100"/>
    <col min="14837" max="14837" width="24.6640625" style="100" customWidth="1"/>
    <col min="14838" max="14838" width="12" style="100" customWidth="1"/>
    <col min="14839" max="14839" width="9" style="100" customWidth="1"/>
    <col min="14840" max="14843" width="8.6640625" style="100" customWidth="1"/>
    <col min="14844" max="14844" width="8.5546875" style="100" customWidth="1"/>
    <col min="14845" max="14845" width="8.88671875" style="100" customWidth="1"/>
    <col min="14846" max="14847" width="11.5546875" style="100" customWidth="1"/>
    <col min="14848" max="14848" width="9.33203125" style="100" customWidth="1"/>
    <col min="14849" max="14849" width="40.44140625" style="100" customWidth="1"/>
    <col min="14850" max="14850" width="51.33203125" style="100" customWidth="1"/>
    <col min="14851" max="14852" width="9.109375" style="100" customWidth="1"/>
    <col min="14853" max="15092" width="9.109375" style="100"/>
    <col min="15093" max="15093" width="24.6640625" style="100" customWidth="1"/>
    <col min="15094" max="15094" width="12" style="100" customWidth="1"/>
    <col min="15095" max="15095" width="9" style="100" customWidth="1"/>
    <col min="15096" max="15099" width="8.6640625" style="100" customWidth="1"/>
    <col min="15100" max="15100" width="8.5546875" style="100" customWidth="1"/>
    <col min="15101" max="15101" width="8.88671875" style="100" customWidth="1"/>
    <col min="15102" max="15103" width="11.5546875" style="100" customWidth="1"/>
    <col min="15104" max="15104" width="9.33203125" style="100" customWidth="1"/>
    <col min="15105" max="15105" width="40.44140625" style="100" customWidth="1"/>
    <col min="15106" max="15106" width="51.33203125" style="100" customWidth="1"/>
    <col min="15107" max="15108" width="9.109375" style="100" customWidth="1"/>
    <col min="15109" max="15348" width="9.109375" style="100"/>
    <col min="15349" max="15349" width="24.6640625" style="100" customWidth="1"/>
    <col min="15350" max="15350" width="12" style="100" customWidth="1"/>
    <col min="15351" max="15351" width="9" style="100" customWidth="1"/>
    <col min="15352" max="15355" width="8.6640625" style="100" customWidth="1"/>
    <col min="15356" max="15356" width="8.5546875" style="100" customWidth="1"/>
    <col min="15357" max="15357" width="8.88671875" style="100" customWidth="1"/>
    <col min="15358" max="15359" width="11.5546875" style="100" customWidth="1"/>
    <col min="15360" max="15360" width="9.33203125" style="100" customWidth="1"/>
    <col min="15361" max="15361" width="40.44140625" style="100" customWidth="1"/>
    <col min="15362" max="15362" width="51.33203125" style="100" customWidth="1"/>
    <col min="15363" max="15364" width="9.109375" style="100" customWidth="1"/>
    <col min="15365" max="15604" width="9.109375" style="100"/>
    <col min="15605" max="15605" width="24.6640625" style="100" customWidth="1"/>
    <col min="15606" max="15606" width="12" style="100" customWidth="1"/>
    <col min="15607" max="15607" width="9" style="100" customWidth="1"/>
    <col min="15608" max="15611" width="8.6640625" style="100" customWidth="1"/>
    <col min="15612" max="15612" width="8.5546875" style="100" customWidth="1"/>
    <col min="15613" max="15613" width="8.88671875" style="100" customWidth="1"/>
    <col min="15614" max="15615" width="11.5546875" style="100" customWidth="1"/>
    <col min="15616" max="15616" width="9.33203125" style="100" customWidth="1"/>
    <col min="15617" max="15617" width="40.44140625" style="100" customWidth="1"/>
    <col min="15618" max="15618" width="51.33203125" style="100" customWidth="1"/>
    <col min="15619" max="15620" width="9.109375" style="100" customWidth="1"/>
    <col min="15621" max="15860" width="9.109375" style="100"/>
    <col min="15861" max="15861" width="24.6640625" style="100" customWidth="1"/>
    <col min="15862" max="15862" width="12" style="100" customWidth="1"/>
    <col min="15863" max="15863" width="9" style="100" customWidth="1"/>
    <col min="15864" max="15867" width="8.6640625" style="100" customWidth="1"/>
    <col min="15868" max="15868" width="8.5546875" style="100" customWidth="1"/>
    <col min="15869" max="15869" width="8.88671875" style="100" customWidth="1"/>
    <col min="15870" max="15871" width="11.5546875" style="100" customWidth="1"/>
    <col min="15872" max="15872" width="9.33203125" style="100" customWidth="1"/>
    <col min="15873" max="15873" width="40.44140625" style="100" customWidth="1"/>
    <col min="15874" max="15874" width="51.33203125" style="100" customWidth="1"/>
    <col min="15875" max="15876" width="9.109375" style="100" customWidth="1"/>
    <col min="15877" max="16116" width="9.109375" style="100"/>
    <col min="16117" max="16117" width="24.6640625" style="100" customWidth="1"/>
    <col min="16118" max="16118" width="12" style="100" customWidth="1"/>
    <col min="16119" max="16119" width="9" style="100" customWidth="1"/>
    <col min="16120" max="16123" width="8.6640625" style="100" customWidth="1"/>
    <col min="16124" max="16124" width="8.5546875" style="100" customWidth="1"/>
    <col min="16125" max="16125" width="8.88671875" style="100" customWidth="1"/>
    <col min="16126" max="16127" width="11.5546875" style="100" customWidth="1"/>
    <col min="16128" max="16128" width="9.33203125" style="100" customWidth="1"/>
    <col min="16129" max="16129" width="40.44140625" style="100" customWidth="1"/>
    <col min="16130" max="16130" width="51.33203125" style="100" customWidth="1"/>
    <col min="16131" max="16132" width="9.109375" style="100" customWidth="1"/>
    <col min="16133" max="16384" width="9.109375" style="100"/>
  </cols>
  <sheetData>
    <row r="1" spans="1:30" ht="39" customHeight="1" x14ac:dyDescent="0.35">
      <c r="A1" s="342" t="s">
        <v>182</v>
      </c>
      <c r="B1" s="342"/>
      <c r="C1" s="342"/>
      <c r="D1" s="342"/>
      <c r="E1" s="342"/>
      <c r="F1" s="342"/>
      <c r="G1" s="342"/>
      <c r="H1" s="342"/>
      <c r="I1" s="342"/>
      <c r="J1" s="342"/>
      <c r="K1" s="342"/>
      <c r="L1" s="342"/>
      <c r="M1" s="342"/>
      <c r="N1" s="342"/>
    </row>
    <row r="2" spans="1:30" ht="48.75" customHeight="1" x14ac:dyDescent="0.35">
      <c r="A2" s="380" t="s">
        <v>8</v>
      </c>
      <c r="B2" s="380"/>
      <c r="C2" s="380"/>
      <c r="D2" s="380"/>
      <c r="E2" s="380"/>
      <c r="F2" s="380"/>
      <c r="G2" s="380"/>
      <c r="H2" s="380"/>
      <c r="I2" s="380"/>
      <c r="J2" s="380"/>
      <c r="K2" s="380"/>
      <c r="L2" s="380"/>
      <c r="M2" s="380"/>
      <c r="N2" s="380"/>
    </row>
    <row r="3" spans="1:30" ht="128.25" customHeight="1" x14ac:dyDescent="0.35">
      <c r="A3" s="379" t="s">
        <v>253</v>
      </c>
      <c r="B3" s="379"/>
      <c r="C3" s="379"/>
      <c r="D3" s="379"/>
      <c r="E3" s="379"/>
      <c r="F3" s="379"/>
      <c r="G3" s="379"/>
      <c r="H3" s="379"/>
      <c r="I3" s="379"/>
      <c r="J3" s="379"/>
      <c r="K3" s="379"/>
      <c r="L3" s="379"/>
      <c r="M3" s="379"/>
      <c r="N3" s="379"/>
      <c r="AB3" s="269"/>
      <c r="AC3" s="269"/>
      <c r="AD3" s="269"/>
    </row>
    <row r="4" spans="1:30" ht="27" customHeight="1" thickBot="1" x14ac:dyDescent="0.4">
      <c r="B4" s="360" t="s">
        <v>86</v>
      </c>
      <c r="C4" s="360"/>
      <c r="D4" s="360"/>
      <c r="E4" s="360"/>
      <c r="F4" s="360"/>
      <c r="G4" s="360"/>
      <c r="H4" s="360"/>
      <c r="I4" s="360"/>
      <c r="J4" s="360"/>
      <c r="K4" s="360"/>
      <c r="L4" s="360"/>
      <c r="M4" s="360"/>
      <c r="N4" s="360"/>
    </row>
    <row r="5" spans="1:30" ht="15.75" customHeight="1" x14ac:dyDescent="0.35">
      <c r="A5" s="343" t="s">
        <v>87</v>
      </c>
      <c r="B5" s="386" t="s">
        <v>0</v>
      </c>
      <c r="C5" s="369" t="s">
        <v>3</v>
      </c>
      <c r="D5" s="369" t="s">
        <v>6</v>
      </c>
      <c r="E5" s="389" t="s">
        <v>7</v>
      </c>
      <c r="F5" s="384" t="s">
        <v>241</v>
      </c>
      <c r="G5" s="382" t="s">
        <v>228</v>
      </c>
      <c r="H5" s="382" t="s">
        <v>7</v>
      </c>
      <c r="I5" s="352" t="s">
        <v>176</v>
      </c>
      <c r="J5" s="384" t="s">
        <v>242</v>
      </c>
      <c r="K5" s="382" t="s">
        <v>229</v>
      </c>
      <c r="L5" s="382" t="s">
        <v>174</v>
      </c>
      <c r="M5" s="352" t="s">
        <v>176</v>
      </c>
      <c r="N5" s="356" t="s">
        <v>2</v>
      </c>
    </row>
    <row r="6" spans="1:30" ht="64.5" customHeight="1" x14ac:dyDescent="0.35">
      <c r="A6" s="344"/>
      <c r="B6" s="387"/>
      <c r="C6" s="370"/>
      <c r="D6" s="370"/>
      <c r="E6" s="390"/>
      <c r="F6" s="385"/>
      <c r="G6" s="383"/>
      <c r="H6" s="383"/>
      <c r="I6" s="353"/>
      <c r="J6" s="385"/>
      <c r="K6" s="383"/>
      <c r="L6" s="383"/>
      <c r="M6" s="353"/>
      <c r="N6" s="357"/>
    </row>
    <row r="7" spans="1:30" ht="24" customHeight="1" thickBot="1" x14ac:dyDescent="0.4">
      <c r="A7" s="345"/>
      <c r="B7" s="388"/>
      <c r="C7" s="371"/>
      <c r="D7" s="371"/>
      <c r="E7" s="391"/>
      <c r="F7" s="375" t="s">
        <v>175</v>
      </c>
      <c r="G7" s="376"/>
      <c r="H7" s="376"/>
      <c r="I7" s="377"/>
      <c r="J7" s="415" t="s">
        <v>230</v>
      </c>
      <c r="K7" s="416"/>
      <c r="L7" s="416"/>
      <c r="M7" s="417"/>
      <c r="N7" s="358"/>
    </row>
    <row r="8" spans="1:30" ht="58.5" customHeight="1" thickBot="1" x14ac:dyDescent="0.4">
      <c r="A8" s="37">
        <v>1</v>
      </c>
      <c r="B8" s="381" t="s">
        <v>93</v>
      </c>
      <c r="C8" s="381"/>
      <c r="D8" s="381"/>
      <c r="E8" s="381"/>
      <c r="F8" s="257">
        <f>SUM(F9+F10+F13)</f>
        <v>9</v>
      </c>
      <c r="G8" s="203">
        <f>SUM(G9+G10)</f>
        <v>7</v>
      </c>
      <c r="H8" s="171">
        <f>SUM(H9:H13)</f>
        <v>11335.782816999999</v>
      </c>
      <c r="I8" s="207">
        <f>SUM(I9:I13)</f>
        <v>136029.39380399999</v>
      </c>
      <c r="J8" s="257">
        <f>SUM(J9+J10+J13)</f>
        <v>27</v>
      </c>
      <c r="K8" s="203">
        <f>SUM(K9+K10)</f>
        <v>21</v>
      </c>
      <c r="L8" s="171">
        <f t="shared" ref="L8:M8" si="0">SUM(L9:L13)</f>
        <v>34007.348450999998</v>
      </c>
      <c r="M8" s="213">
        <f t="shared" si="0"/>
        <v>408088.18141200003</v>
      </c>
      <c r="N8" s="210" t="s">
        <v>157</v>
      </c>
    </row>
    <row r="9" spans="1:30" s="101" customFormat="1" ht="59.25" customHeight="1" x14ac:dyDescent="0.3">
      <c r="A9" s="44" t="s">
        <v>88</v>
      </c>
      <c r="B9" s="33" t="s">
        <v>4</v>
      </c>
      <c r="C9" s="30">
        <v>1088.17</v>
      </c>
      <c r="D9" s="30">
        <f>C9*0.2409</f>
        <v>262.140153</v>
      </c>
      <c r="E9" s="204">
        <f>C9+D9</f>
        <v>1350.3101530000001</v>
      </c>
      <c r="F9" s="258">
        <v>4</v>
      </c>
      <c r="G9" s="2">
        <v>3.5</v>
      </c>
      <c r="H9" s="31">
        <f>E9*G9</f>
        <v>4726.0855355000003</v>
      </c>
      <c r="I9" s="208">
        <f>H9*12</f>
        <v>56713.026426000004</v>
      </c>
      <c r="J9" s="258">
        <f>F9*3</f>
        <v>12</v>
      </c>
      <c r="K9" s="2">
        <f>G9*3</f>
        <v>10.5</v>
      </c>
      <c r="L9" s="167">
        <f>H9*3</f>
        <v>14178.256606500001</v>
      </c>
      <c r="M9" s="214">
        <f>I9*3</f>
        <v>170139.07927800002</v>
      </c>
      <c r="N9" s="430" t="s">
        <v>254</v>
      </c>
      <c r="O9" s="102"/>
      <c r="P9" s="102"/>
    </row>
    <row r="10" spans="1:30" s="101" customFormat="1" ht="73.5" customHeight="1" x14ac:dyDescent="0.3">
      <c r="A10" s="45" t="s">
        <v>89</v>
      </c>
      <c r="B10" s="34" t="s">
        <v>5</v>
      </c>
      <c r="C10" s="30">
        <v>1088.17</v>
      </c>
      <c r="D10" s="23">
        <f>C10*0.2409</f>
        <v>262.140153</v>
      </c>
      <c r="E10" s="205">
        <f>C10+D10</f>
        <v>1350.3101530000001</v>
      </c>
      <c r="F10" s="259">
        <v>4</v>
      </c>
      <c r="G10" s="1">
        <v>3.5</v>
      </c>
      <c r="H10" s="31">
        <f>E10*G10</f>
        <v>4726.0855355000003</v>
      </c>
      <c r="I10" s="208">
        <f>H10*12</f>
        <v>56713.026426000004</v>
      </c>
      <c r="J10" s="259">
        <f t="shared" ref="J10:J13" si="1">F10*3</f>
        <v>12</v>
      </c>
      <c r="K10" s="1">
        <f t="shared" ref="K10" si="2">G10*3</f>
        <v>10.5</v>
      </c>
      <c r="L10" s="167">
        <f t="shared" ref="L10:M13" si="3">H10*3</f>
        <v>14178.256606500001</v>
      </c>
      <c r="M10" s="214">
        <f t="shared" si="3"/>
        <v>170139.07927800002</v>
      </c>
      <c r="N10" s="431"/>
      <c r="O10" s="102"/>
      <c r="P10" s="102"/>
    </row>
    <row r="11" spans="1:30" s="101" customFormat="1" ht="179.25" customHeight="1" x14ac:dyDescent="0.3">
      <c r="A11" s="45" t="s">
        <v>90</v>
      </c>
      <c r="B11" s="33" t="s">
        <v>68</v>
      </c>
      <c r="C11" s="30">
        <f>ROUND(C10/168,2)</f>
        <v>6.48</v>
      </c>
      <c r="D11" s="30">
        <f>C11*0.2409</f>
        <v>1.5610320000000002</v>
      </c>
      <c r="E11" s="204">
        <f>(C11+D11)*18*2</f>
        <v>289.47715200000005</v>
      </c>
      <c r="F11" s="258" t="s">
        <v>53</v>
      </c>
      <c r="G11" s="2" t="s">
        <v>53</v>
      </c>
      <c r="H11" s="31">
        <f>E11</f>
        <v>289.47715200000005</v>
      </c>
      <c r="I11" s="208">
        <f>H11*12</f>
        <v>3473.7258240000006</v>
      </c>
      <c r="J11" s="258" t="s">
        <v>53</v>
      </c>
      <c r="K11" s="2" t="s">
        <v>53</v>
      </c>
      <c r="L11" s="167">
        <f t="shared" si="3"/>
        <v>868.43145600000014</v>
      </c>
      <c r="M11" s="214">
        <f t="shared" si="3"/>
        <v>10421.177472000001</v>
      </c>
      <c r="N11" s="211" t="s">
        <v>255</v>
      </c>
      <c r="O11" s="102"/>
      <c r="P11" s="102"/>
    </row>
    <row r="12" spans="1:30" s="101" customFormat="1" ht="82.5" customHeight="1" x14ac:dyDescent="0.3">
      <c r="A12" s="45" t="s">
        <v>91</v>
      </c>
      <c r="B12" s="33" t="s">
        <v>156</v>
      </c>
      <c r="C12" s="30">
        <f>ROUND(C11*0.5,2)</f>
        <v>3.24</v>
      </c>
      <c r="D12" s="30">
        <f>C12*0.2409</f>
        <v>0.7805160000000001</v>
      </c>
      <c r="E12" s="204">
        <f>(C12+D12)*244</f>
        <v>981.0059040000001</v>
      </c>
      <c r="F12" s="258" t="s">
        <v>53</v>
      </c>
      <c r="G12" s="2" t="s">
        <v>53</v>
      </c>
      <c r="H12" s="31">
        <f>E12</f>
        <v>981.0059040000001</v>
      </c>
      <c r="I12" s="208">
        <f>H12*12</f>
        <v>11772.070848000001</v>
      </c>
      <c r="J12" s="258" t="s">
        <v>53</v>
      </c>
      <c r="K12" s="2" t="s">
        <v>53</v>
      </c>
      <c r="L12" s="167">
        <f t="shared" si="3"/>
        <v>2943.0177120000003</v>
      </c>
      <c r="M12" s="214">
        <f t="shared" si="3"/>
        <v>35316.212544000002</v>
      </c>
      <c r="N12" s="211" t="s">
        <v>256</v>
      </c>
      <c r="O12" s="102"/>
      <c r="P12" s="102"/>
    </row>
    <row r="13" spans="1:30" s="101" customFormat="1" ht="161.25" customHeight="1" thickBot="1" x14ac:dyDescent="0.35">
      <c r="A13" s="46" t="s">
        <v>92</v>
      </c>
      <c r="B13" s="40" t="s">
        <v>67</v>
      </c>
      <c r="C13" s="22">
        <v>494.09999999999997</v>
      </c>
      <c r="D13" s="22">
        <f>C13*0.2409</f>
        <v>119.02869</v>
      </c>
      <c r="E13" s="206">
        <f>C13+D13</f>
        <v>613.12869000000001</v>
      </c>
      <c r="F13" s="260">
        <v>1</v>
      </c>
      <c r="G13" s="41" t="s">
        <v>53</v>
      </c>
      <c r="H13" s="42">
        <f>E13*1</f>
        <v>613.12869000000001</v>
      </c>
      <c r="I13" s="209">
        <f>H13*12</f>
        <v>7357.5442800000001</v>
      </c>
      <c r="J13" s="260">
        <f t="shared" si="1"/>
        <v>3</v>
      </c>
      <c r="K13" s="41" t="s">
        <v>53</v>
      </c>
      <c r="L13" s="215">
        <f t="shared" si="3"/>
        <v>1839.38607</v>
      </c>
      <c r="M13" s="216">
        <f t="shared" si="3"/>
        <v>22072.632839999998</v>
      </c>
      <c r="N13" s="212" t="s">
        <v>257</v>
      </c>
      <c r="O13" s="102"/>
      <c r="P13" s="102"/>
    </row>
    <row r="14" spans="1:30" s="101" customFormat="1" ht="19.5" customHeight="1" x14ac:dyDescent="0.3">
      <c r="A14" s="36"/>
      <c r="B14" s="419" t="s">
        <v>243</v>
      </c>
      <c r="C14" s="419"/>
      <c r="D14" s="419"/>
      <c r="E14" s="419"/>
      <c r="F14" s="419"/>
      <c r="G14" s="419"/>
      <c r="H14" s="419"/>
      <c r="I14" s="419"/>
      <c r="J14" s="419"/>
      <c r="K14" s="419"/>
      <c r="L14" s="419"/>
      <c r="M14" s="419"/>
      <c r="N14" s="419"/>
      <c r="O14" s="102"/>
      <c r="P14" s="102"/>
    </row>
    <row r="15" spans="1:30" s="101" customFormat="1" ht="33.75" customHeight="1" thickBot="1" x14ac:dyDescent="0.4">
      <c r="A15" s="36"/>
      <c r="B15" s="360" t="s">
        <v>94</v>
      </c>
      <c r="C15" s="360"/>
      <c r="D15" s="360"/>
      <c r="E15" s="360"/>
      <c r="F15" s="360"/>
      <c r="G15" s="360"/>
      <c r="H15" s="360"/>
      <c r="I15" s="360"/>
      <c r="J15" s="360"/>
      <c r="K15" s="360"/>
      <c r="L15" s="360"/>
      <c r="M15" s="360"/>
      <c r="N15" s="360"/>
      <c r="O15" s="102"/>
      <c r="P15" s="102"/>
    </row>
    <row r="16" spans="1:30" ht="15.75" customHeight="1" x14ac:dyDescent="0.35">
      <c r="A16" s="343" t="s">
        <v>87</v>
      </c>
      <c r="B16" s="346" t="s">
        <v>0</v>
      </c>
      <c r="C16" s="369" t="s">
        <v>13</v>
      </c>
      <c r="D16" s="372" t="s">
        <v>1</v>
      </c>
      <c r="E16" s="384" t="s">
        <v>231</v>
      </c>
      <c r="F16" s="420" t="s">
        <v>232</v>
      </c>
      <c r="G16" s="421"/>
      <c r="H16" s="382" t="s">
        <v>231</v>
      </c>
      <c r="I16" s="352" t="s">
        <v>233</v>
      </c>
      <c r="J16" s="384" t="s">
        <v>231</v>
      </c>
      <c r="K16" s="382" t="s">
        <v>238</v>
      </c>
      <c r="L16" s="382" t="s">
        <v>231</v>
      </c>
      <c r="M16" s="352" t="s">
        <v>233</v>
      </c>
      <c r="N16" s="356" t="s">
        <v>2</v>
      </c>
    </row>
    <row r="17" spans="1:26" ht="39" customHeight="1" x14ac:dyDescent="0.35">
      <c r="A17" s="344"/>
      <c r="B17" s="348"/>
      <c r="C17" s="370"/>
      <c r="D17" s="373"/>
      <c r="E17" s="418"/>
      <c r="F17" s="422"/>
      <c r="G17" s="423"/>
      <c r="H17" s="424"/>
      <c r="I17" s="378"/>
      <c r="J17" s="418"/>
      <c r="K17" s="424"/>
      <c r="L17" s="424"/>
      <c r="M17" s="378"/>
      <c r="N17" s="357"/>
    </row>
    <row r="18" spans="1:26" ht="21.75" customHeight="1" x14ac:dyDescent="0.35">
      <c r="A18" s="344"/>
      <c r="B18" s="348"/>
      <c r="C18" s="370"/>
      <c r="D18" s="373"/>
      <c r="E18" s="425" t="s">
        <v>236</v>
      </c>
      <c r="F18" s="426"/>
      <c r="G18" s="426"/>
      <c r="H18" s="354" t="s">
        <v>237</v>
      </c>
      <c r="I18" s="355"/>
      <c r="J18" s="425" t="s">
        <v>234</v>
      </c>
      <c r="K18" s="426"/>
      <c r="L18" s="354" t="s">
        <v>235</v>
      </c>
      <c r="M18" s="355"/>
      <c r="N18" s="357"/>
    </row>
    <row r="19" spans="1:26" ht="20.25" customHeight="1" thickBot="1" x14ac:dyDescent="0.4">
      <c r="A19" s="345"/>
      <c r="B19" s="350"/>
      <c r="C19" s="371"/>
      <c r="D19" s="374"/>
      <c r="E19" s="375" t="s">
        <v>175</v>
      </c>
      <c r="F19" s="376"/>
      <c r="G19" s="376"/>
      <c r="H19" s="376"/>
      <c r="I19" s="377"/>
      <c r="J19" s="375" t="s">
        <v>230</v>
      </c>
      <c r="K19" s="376"/>
      <c r="L19" s="376"/>
      <c r="M19" s="377"/>
      <c r="N19" s="358"/>
    </row>
    <row r="20" spans="1:26" ht="42" customHeight="1" thickBot="1" x14ac:dyDescent="0.4">
      <c r="A20" s="37" t="s">
        <v>251</v>
      </c>
      <c r="B20" s="427" t="s">
        <v>250</v>
      </c>
      <c r="C20" s="381"/>
      <c r="D20" s="381"/>
      <c r="E20" s="248" t="s">
        <v>53</v>
      </c>
      <c r="F20" s="409">
        <f>F21+F25+F29+F32</f>
        <v>1872.9742866348645</v>
      </c>
      <c r="G20" s="410"/>
      <c r="H20" s="170" t="s">
        <v>53</v>
      </c>
      <c r="I20" s="219">
        <f>I21+I25+I29+I32</f>
        <v>22475.691439618371</v>
      </c>
      <c r="J20" s="250" t="s">
        <v>53</v>
      </c>
      <c r="K20" s="171">
        <f>K21+K25+K29+K32</f>
        <v>5618.9228599045928</v>
      </c>
      <c r="L20" s="170" t="s">
        <v>53</v>
      </c>
      <c r="M20" s="234">
        <f t="shared" ref="M20" si="4">M21+M25+M29+M32</f>
        <v>67427.074318855113</v>
      </c>
      <c r="N20" s="228"/>
      <c r="O20" s="142"/>
      <c r="P20" s="394" t="s">
        <v>81</v>
      </c>
      <c r="Q20" s="394"/>
      <c r="R20" s="394"/>
      <c r="S20" s="394"/>
      <c r="T20" s="394"/>
      <c r="U20" s="394"/>
      <c r="V20" s="394"/>
      <c r="W20" s="394"/>
      <c r="X20" s="394"/>
      <c r="Y20" s="394"/>
    </row>
    <row r="21" spans="1:26" ht="42.75" customHeight="1" x14ac:dyDescent="0.35">
      <c r="A21" s="168" t="s">
        <v>95</v>
      </c>
      <c r="B21" s="428" t="s">
        <v>49</v>
      </c>
      <c r="C21" s="429"/>
      <c r="D21" s="429"/>
      <c r="E21" s="249" t="s">
        <v>53</v>
      </c>
      <c r="F21" s="411">
        <f>F22+F23+F24</f>
        <v>700.98095330153103</v>
      </c>
      <c r="G21" s="412"/>
      <c r="H21" s="169" t="s">
        <v>53</v>
      </c>
      <c r="I21" s="220">
        <f>I22+I23+I24</f>
        <v>8411.771439618371</v>
      </c>
      <c r="J21" s="251" t="s">
        <v>53</v>
      </c>
      <c r="K21" s="243">
        <f>K22+K23+K24</f>
        <v>2102.9428599045928</v>
      </c>
      <c r="L21" s="169" t="s">
        <v>53</v>
      </c>
      <c r="M21" s="235">
        <f t="shared" ref="M21" si="5">M22+M23+M24</f>
        <v>25235.314318855115</v>
      </c>
      <c r="N21" s="229"/>
      <c r="O21" s="142"/>
      <c r="P21" s="395" t="s">
        <v>79</v>
      </c>
      <c r="Q21" s="395"/>
      <c r="R21" s="392" t="s">
        <v>76</v>
      </c>
      <c r="S21" s="392"/>
      <c r="T21" s="392" t="s">
        <v>78</v>
      </c>
      <c r="U21" s="392"/>
      <c r="V21" s="392" t="s">
        <v>80</v>
      </c>
      <c r="W21" s="392"/>
      <c r="X21" s="392" t="s">
        <v>77</v>
      </c>
      <c r="Y21" s="392"/>
      <c r="Z21" s="144"/>
    </row>
    <row r="22" spans="1:26" x14ac:dyDescent="0.35">
      <c r="A22" s="43" t="s">
        <v>96</v>
      </c>
      <c r="B22" s="38" t="s">
        <v>9</v>
      </c>
      <c r="C22" s="3" t="s">
        <v>14</v>
      </c>
      <c r="D22" s="238">
        <f>Pielik_2.1._transporta_noma!C26</f>
        <v>353.81818181818187</v>
      </c>
      <c r="E22" s="221">
        <v>1</v>
      </c>
      <c r="F22" s="413">
        <f>D22*E22</f>
        <v>353.81818181818187</v>
      </c>
      <c r="G22" s="414"/>
      <c r="H22" s="61">
        <f>E22*12</f>
        <v>12</v>
      </c>
      <c r="I22" s="222">
        <f>D22*H22</f>
        <v>4245.818181818182</v>
      </c>
      <c r="J22" s="239">
        <f>E22*3</f>
        <v>3</v>
      </c>
      <c r="K22" s="246">
        <f>F22*3</f>
        <v>1061.4545454545455</v>
      </c>
      <c r="L22" s="247">
        <v>12</v>
      </c>
      <c r="M22" s="222">
        <f>K22*12</f>
        <v>12737.454545454546</v>
      </c>
      <c r="N22" s="230" t="s">
        <v>178</v>
      </c>
      <c r="O22" s="142"/>
      <c r="P22" s="395"/>
      <c r="Q22" s="395"/>
      <c r="R22" s="392"/>
      <c r="S22" s="392"/>
      <c r="T22" s="392"/>
      <c r="U22" s="392"/>
      <c r="V22" s="392"/>
      <c r="W22" s="392"/>
      <c r="X22" s="392"/>
      <c r="Y22" s="392"/>
      <c r="Z22" s="144"/>
    </row>
    <row r="23" spans="1:26" ht="217.5" customHeight="1" x14ac:dyDescent="0.35">
      <c r="A23" s="43" t="s">
        <v>97</v>
      </c>
      <c r="B23" s="38" t="s">
        <v>10</v>
      </c>
      <c r="C23" s="4" t="s">
        <v>47</v>
      </c>
      <c r="D23" s="217">
        <f>Pielik_2.2._km_degviela!I23</f>
        <v>8.9931875615530302E-2</v>
      </c>
      <c r="E23" s="223">
        <f>Pielik_2.2._km_degviela!C23/12</f>
        <v>2748.3333333333335</v>
      </c>
      <c r="F23" s="405">
        <f>D23*E23</f>
        <v>247.16277148334913</v>
      </c>
      <c r="G23" s="406"/>
      <c r="H23" s="24">
        <f>E23*12</f>
        <v>32980</v>
      </c>
      <c r="I23" s="224">
        <f>D23*H23</f>
        <v>2965.9532578001895</v>
      </c>
      <c r="J23" s="240">
        <f t="shared" ref="J23:J24" si="6">E23*3</f>
        <v>8245</v>
      </c>
      <c r="K23" s="244">
        <f>F23*3</f>
        <v>741.48831445004737</v>
      </c>
      <c r="L23" s="247">
        <f>J23*12</f>
        <v>98940</v>
      </c>
      <c r="M23" s="222">
        <f>K23*12</f>
        <v>8897.8597734005689</v>
      </c>
      <c r="N23" s="230" t="s">
        <v>225</v>
      </c>
      <c r="O23" s="261"/>
      <c r="P23" s="397">
        <f>Pielik_2.1._transporta_noma!D26</f>
        <v>6.8863636363636367</v>
      </c>
      <c r="Q23" s="397"/>
      <c r="R23" s="396" t="e">
        <f>Pielik_2.2._km_degviela!#REF!*62</f>
        <v>#REF!</v>
      </c>
      <c r="S23" s="396"/>
      <c r="T23" s="398">
        <f>P23/100</f>
        <v>6.8863636363636363E-2</v>
      </c>
      <c r="U23" s="398"/>
      <c r="V23" s="399">
        <f>Pielik_2.2._km_degviela!H17</f>
        <v>1.1627333333333334</v>
      </c>
      <c r="W23" s="400"/>
      <c r="X23" s="393">
        <f>V23*T23</f>
        <v>8.0070045454545463E-2</v>
      </c>
      <c r="Y23" s="393"/>
      <c r="Z23" s="128"/>
    </row>
    <row r="24" spans="1:26" ht="61.5" customHeight="1" x14ac:dyDescent="0.35">
      <c r="A24" s="47" t="s">
        <v>98</v>
      </c>
      <c r="B24" s="39" t="s">
        <v>48</v>
      </c>
      <c r="C24" s="263" t="s">
        <v>240</v>
      </c>
      <c r="D24" s="217">
        <v>50</v>
      </c>
      <c r="E24" s="223">
        <v>2</v>
      </c>
      <c r="F24" s="405">
        <f>D24*E24</f>
        <v>100</v>
      </c>
      <c r="G24" s="406"/>
      <c r="H24" s="24">
        <f>E24*12</f>
        <v>24</v>
      </c>
      <c r="I24" s="224">
        <f>D24*H24</f>
        <v>1200</v>
      </c>
      <c r="J24" s="239">
        <f t="shared" si="6"/>
        <v>6</v>
      </c>
      <c r="K24" s="244">
        <f>F24*3</f>
        <v>300</v>
      </c>
      <c r="L24" s="247">
        <f>J24*12</f>
        <v>72</v>
      </c>
      <c r="M24" s="222">
        <f>K24*12</f>
        <v>3600</v>
      </c>
      <c r="N24" s="230" t="s">
        <v>50</v>
      </c>
      <c r="O24" s="142"/>
      <c r="P24" s="142"/>
      <c r="R24" s="145"/>
    </row>
    <row r="25" spans="1:26" ht="119.25" customHeight="1" x14ac:dyDescent="0.35">
      <c r="A25" s="96" t="s">
        <v>99</v>
      </c>
      <c r="B25" s="407" t="s">
        <v>83</v>
      </c>
      <c r="C25" s="408"/>
      <c r="D25" s="408"/>
      <c r="E25" s="252" t="s">
        <v>53</v>
      </c>
      <c r="F25" s="403">
        <f>F26+F27+F28</f>
        <v>565.83333333333337</v>
      </c>
      <c r="G25" s="404"/>
      <c r="H25" s="95" t="s">
        <v>53</v>
      </c>
      <c r="I25" s="225">
        <f>I27+I28+I26</f>
        <v>6790</v>
      </c>
      <c r="J25" s="253" t="s">
        <v>53</v>
      </c>
      <c r="K25" s="245">
        <f>K27+K28+K26</f>
        <v>1697.5</v>
      </c>
      <c r="L25" s="254" t="s">
        <v>53</v>
      </c>
      <c r="M25" s="236">
        <f>M27+M28+M26</f>
        <v>20370</v>
      </c>
      <c r="N25" s="231" t="s">
        <v>173</v>
      </c>
      <c r="O25" s="142"/>
      <c r="P25" s="142"/>
    </row>
    <row r="26" spans="1:26" s="147" customFormat="1" ht="136.5" customHeight="1" x14ac:dyDescent="0.35">
      <c r="A26" s="43" t="s">
        <v>123</v>
      </c>
      <c r="B26" s="38" t="s">
        <v>158</v>
      </c>
      <c r="C26" s="4" t="s">
        <v>52</v>
      </c>
      <c r="D26" s="238">
        <v>850</v>
      </c>
      <c r="E26" s="223" t="s">
        <v>53</v>
      </c>
      <c r="F26" s="405">
        <f>I26/12</f>
        <v>212.5</v>
      </c>
      <c r="G26" s="406"/>
      <c r="H26" s="24">
        <v>3</v>
      </c>
      <c r="I26" s="224">
        <f>D26*H26</f>
        <v>2550</v>
      </c>
      <c r="J26" s="241" t="s">
        <v>53</v>
      </c>
      <c r="K26" s="244">
        <f>F26*3</f>
        <v>637.5</v>
      </c>
      <c r="L26" s="247">
        <f>H26*3</f>
        <v>9</v>
      </c>
      <c r="M26" s="222">
        <f>K26*12</f>
        <v>7650</v>
      </c>
      <c r="N26" s="230" t="s">
        <v>179</v>
      </c>
      <c r="O26" s="146"/>
      <c r="P26" s="146"/>
    </row>
    <row r="27" spans="1:26" ht="223.5" customHeight="1" x14ac:dyDescent="0.35">
      <c r="A27" s="43" t="s">
        <v>124</v>
      </c>
      <c r="B27" s="38" t="s">
        <v>51</v>
      </c>
      <c r="C27" s="4" t="s">
        <v>14</v>
      </c>
      <c r="D27" s="238">
        <f>(9*5)+(15*15)</f>
        <v>270</v>
      </c>
      <c r="E27" s="223">
        <v>1</v>
      </c>
      <c r="F27" s="405">
        <f>D27*E27</f>
        <v>270</v>
      </c>
      <c r="G27" s="406"/>
      <c r="H27" s="24">
        <f>E27*12</f>
        <v>12</v>
      </c>
      <c r="I27" s="224">
        <f>H27*F27</f>
        <v>3240</v>
      </c>
      <c r="J27" s="239">
        <f t="shared" ref="J27:J34" si="7">E27*3</f>
        <v>3</v>
      </c>
      <c r="K27" s="244">
        <f>F27*3</f>
        <v>810</v>
      </c>
      <c r="L27" s="247">
        <v>12</v>
      </c>
      <c r="M27" s="222">
        <f>K27*12</f>
        <v>9720</v>
      </c>
      <c r="N27" s="230" t="s">
        <v>249</v>
      </c>
      <c r="O27" s="142"/>
      <c r="P27" s="142"/>
    </row>
    <row r="28" spans="1:26" ht="117.75" customHeight="1" x14ac:dyDescent="0.35">
      <c r="A28" s="43" t="s">
        <v>125</v>
      </c>
      <c r="B28" s="38" t="s">
        <v>84</v>
      </c>
      <c r="C28" s="4" t="s">
        <v>14</v>
      </c>
      <c r="D28" s="217">
        <f>250/3</f>
        <v>83.333333333333329</v>
      </c>
      <c r="E28" s="223">
        <v>1</v>
      </c>
      <c r="F28" s="405">
        <f>D28*E28</f>
        <v>83.333333333333329</v>
      </c>
      <c r="G28" s="406"/>
      <c r="H28" s="24">
        <f>E28*12</f>
        <v>12</v>
      </c>
      <c r="I28" s="224">
        <f>H28*F28</f>
        <v>1000</v>
      </c>
      <c r="J28" s="239">
        <f t="shared" si="7"/>
        <v>3</v>
      </c>
      <c r="K28" s="244">
        <f>F28*3</f>
        <v>250</v>
      </c>
      <c r="L28" s="247">
        <v>12</v>
      </c>
      <c r="M28" s="222">
        <f>K28*12</f>
        <v>3000</v>
      </c>
      <c r="N28" s="230" t="s">
        <v>162</v>
      </c>
      <c r="O28" s="142"/>
      <c r="P28" s="142"/>
    </row>
    <row r="29" spans="1:26" ht="81" customHeight="1" x14ac:dyDescent="0.35">
      <c r="A29" s="94" t="s">
        <v>100</v>
      </c>
      <c r="B29" s="407" t="s">
        <v>122</v>
      </c>
      <c r="C29" s="408"/>
      <c r="D29" s="408"/>
      <c r="E29" s="252" t="s">
        <v>53</v>
      </c>
      <c r="F29" s="403">
        <f>F30+F31</f>
        <v>186.66666666666669</v>
      </c>
      <c r="G29" s="404"/>
      <c r="H29" s="95" t="s">
        <v>53</v>
      </c>
      <c r="I29" s="225">
        <f>I30+I31</f>
        <v>2240</v>
      </c>
      <c r="J29" s="253" t="s">
        <v>53</v>
      </c>
      <c r="K29" s="245">
        <f>K30+K31</f>
        <v>560</v>
      </c>
      <c r="L29" s="254" t="s">
        <v>53</v>
      </c>
      <c r="M29" s="236">
        <f t="shared" ref="M29" si="8">M30+M31</f>
        <v>6720</v>
      </c>
      <c r="N29" s="232" t="s">
        <v>129</v>
      </c>
      <c r="O29" s="142"/>
      <c r="P29" s="142"/>
      <c r="R29" s="145"/>
    </row>
    <row r="30" spans="1:26" ht="119.25" customHeight="1" x14ac:dyDescent="0.35">
      <c r="A30" s="43" t="s">
        <v>101</v>
      </c>
      <c r="B30" s="38" t="s">
        <v>69</v>
      </c>
      <c r="C30" s="4" t="s">
        <v>66</v>
      </c>
      <c r="D30" s="217">
        <v>7</v>
      </c>
      <c r="E30" s="223">
        <f>20*10/12</f>
        <v>16.666666666666668</v>
      </c>
      <c r="F30" s="405">
        <f>I30/12</f>
        <v>116.66666666666667</v>
      </c>
      <c r="G30" s="406"/>
      <c r="H30" s="24">
        <f>E30*12</f>
        <v>200</v>
      </c>
      <c r="I30" s="224">
        <f>D30*H30</f>
        <v>1400</v>
      </c>
      <c r="J30" s="239">
        <f>E30*3</f>
        <v>50</v>
      </c>
      <c r="K30" s="244">
        <f>F30*3</f>
        <v>350</v>
      </c>
      <c r="L30" s="24">
        <f>J30*12</f>
        <v>600</v>
      </c>
      <c r="M30" s="222">
        <f>K30*12</f>
        <v>4200</v>
      </c>
      <c r="N30" s="230" t="s">
        <v>239</v>
      </c>
      <c r="O30" s="142"/>
      <c r="P30" s="142"/>
    </row>
    <row r="31" spans="1:26" ht="123" customHeight="1" x14ac:dyDescent="0.35">
      <c r="A31" s="43" t="s">
        <v>102</v>
      </c>
      <c r="B31" s="38" t="s">
        <v>85</v>
      </c>
      <c r="C31" s="4" t="s">
        <v>66</v>
      </c>
      <c r="D31" s="217">
        <v>7</v>
      </c>
      <c r="E31" s="223">
        <f>360/3/12</f>
        <v>10</v>
      </c>
      <c r="F31" s="405">
        <f>I31/12</f>
        <v>70</v>
      </c>
      <c r="G31" s="406"/>
      <c r="H31" s="24">
        <f>E31*12</f>
        <v>120</v>
      </c>
      <c r="I31" s="224">
        <f>D31*H31</f>
        <v>840</v>
      </c>
      <c r="J31" s="239">
        <f t="shared" si="7"/>
        <v>30</v>
      </c>
      <c r="K31" s="244">
        <f>F31*3</f>
        <v>210</v>
      </c>
      <c r="L31" s="24">
        <f>J31*12</f>
        <v>360</v>
      </c>
      <c r="M31" s="222">
        <f>K31*12</f>
        <v>2520</v>
      </c>
      <c r="N31" s="230" t="s">
        <v>226</v>
      </c>
      <c r="O31" s="142"/>
      <c r="P31" s="142"/>
    </row>
    <row r="32" spans="1:26" ht="60" customHeight="1" x14ac:dyDescent="0.35">
      <c r="A32" s="94" t="s">
        <v>103</v>
      </c>
      <c r="B32" s="407" t="s">
        <v>128</v>
      </c>
      <c r="C32" s="408"/>
      <c r="D32" s="408"/>
      <c r="E32" s="252" t="s">
        <v>53</v>
      </c>
      <c r="F32" s="403">
        <f>F33+F34</f>
        <v>419.49333333333328</v>
      </c>
      <c r="G32" s="404"/>
      <c r="H32" s="95" t="s">
        <v>53</v>
      </c>
      <c r="I32" s="225">
        <f>I33+I34</f>
        <v>5033.92</v>
      </c>
      <c r="J32" s="253" t="s">
        <v>53</v>
      </c>
      <c r="K32" s="245">
        <f>K33+K34</f>
        <v>1258.48</v>
      </c>
      <c r="L32" s="254" t="s">
        <v>53</v>
      </c>
      <c r="M32" s="236">
        <f t="shared" ref="M32" si="9">M33+M34</f>
        <v>15101.76</v>
      </c>
      <c r="N32" s="232" t="s">
        <v>130</v>
      </c>
      <c r="O32" s="142"/>
      <c r="P32" s="142"/>
      <c r="R32" s="145"/>
    </row>
    <row r="33" spans="1:16" ht="177.75" customHeight="1" x14ac:dyDescent="0.35">
      <c r="A33" s="43" t="s">
        <v>126</v>
      </c>
      <c r="B33" s="38" t="s">
        <v>65</v>
      </c>
      <c r="C33" s="4" t="s">
        <v>66</v>
      </c>
      <c r="D33" s="217">
        <v>2</v>
      </c>
      <c r="E33" s="223">
        <f>(10*2*10)/12</f>
        <v>16.666666666666668</v>
      </c>
      <c r="F33" s="405">
        <f>I33/12</f>
        <v>33.333333333333336</v>
      </c>
      <c r="G33" s="406"/>
      <c r="H33" s="24">
        <f>E33*12</f>
        <v>200</v>
      </c>
      <c r="I33" s="224">
        <f>D33*H33</f>
        <v>400</v>
      </c>
      <c r="J33" s="239">
        <f t="shared" si="7"/>
        <v>50</v>
      </c>
      <c r="K33" s="244">
        <f>F33*3</f>
        <v>100</v>
      </c>
      <c r="L33" s="247">
        <f>H33*3</f>
        <v>600</v>
      </c>
      <c r="M33" s="222">
        <f>K33*12</f>
        <v>1200</v>
      </c>
      <c r="N33" s="230" t="s">
        <v>227</v>
      </c>
      <c r="O33" s="142"/>
      <c r="P33" s="142"/>
    </row>
    <row r="34" spans="1:16" ht="145.5" customHeight="1" thickBot="1" x14ac:dyDescent="0.4">
      <c r="A34" s="97" t="s">
        <v>127</v>
      </c>
      <c r="B34" s="98" t="s">
        <v>44</v>
      </c>
      <c r="C34" s="262" t="s">
        <v>45</v>
      </c>
      <c r="D34" s="218">
        <f>Pielik_2.4._supervizijas!H8/Pielik_2._Grozs_gadā_PA!E34</f>
        <v>42.906666666666666</v>
      </c>
      <c r="E34" s="226">
        <f>Pielik_2.4._supervizijas!B5+Pielik_2.4._supervizijas!B6+Pielik_2.4._supervizijas!B7</f>
        <v>9</v>
      </c>
      <c r="F34" s="401">
        <f>D34*E34</f>
        <v>386.15999999999997</v>
      </c>
      <c r="G34" s="402"/>
      <c r="H34" s="99">
        <v>12</v>
      </c>
      <c r="I34" s="227">
        <f>F34*H34</f>
        <v>4633.92</v>
      </c>
      <c r="J34" s="242">
        <f t="shared" si="7"/>
        <v>27</v>
      </c>
      <c r="K34" s="255">
        <f>F34*3</f>
        <v>1158.48</v>
      </c>
      <c r="L34" s="256">
        <v>12</v>
      </c>
      <c r="M34" s="237">
        <f>K34*12</f>
        <v>13901.76</v>
      </c>
      <c r="N34" s="233" t="s">
        <v>180</v>
      </c>
      <c r="O34" s="142"/>
      <c r="P34" s="142"/>
    </row>
    <row r="35" spans="1:16" ht="26.25" customHeight="1" x14ac:dyDescent="0.35">
      <c r="A35" s="341" t="s">
        <v>252</v>
      </c>
      <c r="B35" s="341"/>
      <c r="C35" s="341"/>
      <c r="D35" s="341"/>
      <c r="E35" s="341"/>
      <c r="F35" s="341"/>
      <c r="G35" s="341"/>
      <c r="H35" s="341"/>
      <c r="I35" s="341"/>
      <c r="J35" s="341"/>
      <c r="K35" s="341"/>
      <c r="L35" s="341"/>
      <c r="M35" s="341"/>
      <c r="N35" s="341"/>
      <c r="O35" s="142"/>
      <c r="P35" s="142"/>
    </row>
    <row r="36" spans="1:16" ht="19.5" customHeight="1" thickBot="1" x14ac:dyDescent="0.4">
      <c r="B36" s="360" t="s">
        <v>105</v>
      </c>
      <c r="C36" s="360"/>
      <c r="D36" s="360"/>
      <c r="E36" s="360"/>
      <c r="F36" s="360"/>
      <c r="G36" s="360"/>
      <c r="H36" s="360"/>
      <c r="I36" s="360"/>
      <c r="J36" s="360"/>
      <c r="K36" s="360"/>
      <c r="L36" s="360"/>
      <c r="M36" s="360"/>
      <c r="N36" s="360"/>
      <c r="O36" s="142"/>
      <c r="P36" s="142"/>
    </row>
    <row r="37" spans="1:16" ht="15.75" customHeight="1" x14ac:dyDescent="0.35">
      <c r="A37" s="343" t="s">
        <v>87</v>
      </c>
      <c r="B37" s="346"/>
      <c r="C37" s="347"/>
      <c r="D37" s="347"/>
      <c r="E37" s="347"/>
      <c r="F37" s="440" t="s">
        <v>12</v>
      </c>
      <c r="G37" s="441"/>
      <c r="H37" s="442"/>
      <c r="I37" s="352" t="s">
        <v>244</v>
      </c>
      <c r="J37" s="440" t="s">
        <v>174</v>
      </c>
      <c r="K37" s="441"/>
      <c r="L37" s="442"/>
      <c r="M37" s="352" t="s">
        <v>244</v>
      </c>
      <c r="N37" s="434" t="s">
        <v>2</v>
      </c>
    </row>
    <row r="38" spans="1:16" ht="21" customHeight="1" x14ac:dyDescent="0.35">
      <c r="A38" s="344"/>
      <c r="B38" s="348"/>
      <c r="C38" s="349"/>
      <c r="D38" s="349"/>
      <c r="E38" s="349"/>
      <c r="F38" s="443"/>
      <c r="G38" s="444"/>
      <c r="H38" s="445"/>
      <c r="I38" s="362"/>
      <c r="J38" s="443"/>
      <c r="K38" s="444"/>
      <c r="L38" s="445"/>
      <c r="M38" s="353"/>
      <c r="N38" s="435"/>
    </row>
    <row r="39" spans="1:16" ht="22.5" customHeight="1" thickBot="1" x14ac:dyDescent="0.45">
      <c r="A39" s="345"/>
      <c r="B39" s="350"/>
      <c r="C39" s="351"/>
      <c r="D39" s="351"/>
      <c r="E39" s="351"/>
      <c r="F39" s="363" t="s">
        <v>175</v>
      </c>
      <c r="G39" s="364"/>
      <c r="H39" s="364"/>
      <c r="I39" s="365"/>
      <c r="J39" s="446" t="s">
        <v>245</v>
      </c>
      <c r="K39" s="447"/>
      <c r="L39" s="447"/>
      <c r="M39" s="448"/>
      <c r="N39" s="436"/>
    </row>
    <row r="40" spans="1:16" ht="47.25" customHeight="1" thickBot="1" x14ac:dyDescent="0.4">
      <c r="A40" s="37">
        <v>3</v>
      </c>
      <c r="B40" s="361" t="s">
        <v>46</v>
      </c>
      <c r="C40" s="361"/>
      <c r="D40" s="361"/>
      <c r="E40" s="361"/>
      <c r="F40" s="366">
        <f>H8+F20</f>
        <v>13208.757103634864</v>
      </c>
      <c r="G40" s="367"/>
      <c r="H40" s="368"/>
      <c r="I40" s="264">
        <f>I8+I20</f>
        <v>158505.08524361835</v>
      </c>
      <c r="J40" s="366">
        <f>L8+K20</f>
        <v>39626.271310904587</v>
      </c>
      <c r="K40" s="367"/>
      <c r="L40" s="368"/>
      <c r="M40" s="266">
        <f t="shared" ref="M40" si="10">M8+M20</f>
        <v>475515.25573085516</v>
      </c>
      <c r="N40" s="265" t="s">
        <v>104</v>
      </c>
      <c r="O40" s="142"/>
      <c r="P40" s="142"/>
    </row>
    <row r="41" spans="1:16" x14ac:dyDescent="0.35">
      <c r="B41" s="359"/>
      <c r="C41" s="359"/>
      <c r="D41" s="359"/>
      <c r="E41" s="359"/>
      <c r="F41" s="359"/>
      <c r="G41" s="359"/>
      <c r="H41" s="359"/>
      <c r="I41" s="359"/>
      <c r="J41" s="359"/>
      <c r="K41" s="359"/>
      <c r="L41" s="359"/>
      <c r="M41" s="359"/>
      <c r="N41" s="359"/>
      <c r="O41" s="142"/>
      <c r="P41" s="142"/>
    </row>
    <row r="42" spans="1:16" ht="21" customHeight="1" thickBot="1" x14ac:dyDescent="0.4">
      <c r="B42" s="360" t="s">
        <v>106</v>
      </c>
      <c r="C42" s="360"/>
      <c r="D42" s="360"/>
      <c r="E42" s="360"/>
      <c r="F42" s="360"/>
      <c r="G42" s="360"/>
      <c r="H42" s="360"/>
      <c r="I42" s="360"/>
      <c r="J42" s="360"/>
      <c r="K42" s="360"/>
      <c r="L42" s="360"/>
      <c r="M42" s="360"/>
      <c r="N42" s="360"/>
      <c r="O42" s="142"/>
      <c r="P42" s="142"/>
    </row>
    <row r="43" spans="1:16" ht="15.75" customHeight="1" x14ac:dyDescent="0.35">
      <c r="A43" s="343" t="s">
        <v>87</v>
      </c>
      <c r="B43" s="346"/>
      <c r="C43" s="347"/>
      <c r="D43" s="347"/>
      <c r="E43" s="347"/>
      <c r="F43" s="440" t="s">
        <v>12</v>
      </c>
      <c r="G43" s="441"/>
      <c r="H43" s="442"/>
      <c r="I43" s="352" t="s">
        <v>244</v>
      </c>
      <c r="J43" s="440" t="s">
        <v>174</v>
      </c>
      <c r="K43" s="441"/>
      <c r="L43" s="442"/>
      <c r="M43" s="352" t="s">
        <v>244</v>
      </c>
      <c r="N43" s="437" t="s">
        <v>2</v>
      </c>
    </row>
    <row r="44" spans="1:16" ht="32.25" customHeight="1" x14ac:dyDescent="0.35">
      <c r="A44" s="344"/>
      <c r="B44" s="348"/>
      <c r="C44" s="349"/>
      <c r="D44" s="349"/>
      <c r="E44" s="349"/>
      <c r="F44" s="443"/>
      <c r="G44" s="444"/>
      <c r="H44" s="445"/>
      <c r="I44" s="362"/>
      <c r="J44" s="443"/>
      <c r="K44" s="444"/>
      <c r="L44" s="445"/>
      <c r="M44" s="353"/>
      <c r="N44" s="438"/>
    </row>
    <row r="45" spans="1:16" ht="25.5" customHeight="1" thickBot="1" x14ac:dyDescent="0.45">
      <c r="A45" s="345"/>
      <c r="B45" s="350"/>
      <c r="C45" s="351"/>
      <c r="D45" s="351"/>
      <c r="E45" s="351"/>
      <c r="F45" s="363" t="s">
        <v>175</v>
      </c>
      <c r="G45" s="364"/>
      <c r="H45" s="364"/>
      <c r="I45" s="365"/>
      <c r="J45" s="446" t="s">
        <v>246</v>
      </c>
      <c r="K45" s="447"/>
      <c r="L45" s="447"/>
      <c r="M45" s="448"/>
      <c r="N45" s="439"/>
    </row>
    <row r="46" spans="1:16" ht="235.5" customHeight="1" thickBot="1" x14ac:dyDescent="0.4">
      <c r="A46" s="37">
        <v>4</v>
      </c>
      <c r="B46" s="361" t="s">
        <v>15</v>
      </c>
      <c r="C46" s="361"/>
      <c r="D46" s="361"/>
      <c r="E46" s="361"/>
      <c r="F46" s="366">
        <f>F40*0.1</f>
        <v>1320.8757103634864</v>
      </c>
      <c r="G46" s="367"/>
      <c r="H46" s="368"/>
      <c r="I46" s="264">
        <f>I40*0.1</f>
        <v>15850.508524361836</v>
      </c>
      <c r="J46" s="366">
        <f>J40*0.1</f>
        <v>3962.627131090459</v>
      </c>
      <c r="K46" s="367"/>
      <c r="L46" s="368"/>
      <c r="M46" s="266">
        <f t="shared" ref="M46" si="11">M40*0.1</f>
        <v>47551.525573085521</v>
      </c>
      <c r="N46" s="267" t="s">
        <v>286</v>
      </c>
      <c r="O46" s="142"/>
      <c r="P46" s="142"/>
    </row>
    <row r="47" spans="1:16" ht="20.25" customHeight="1" x14ac:dyDescent="0.35">
      <c r="B47" s="359"/>
      <c r="C47" s="359"/>
      <c r="D47" s="359"/>
      <c r="E47" s="359"/>
      <c r="F47" s="359"/>
      <c r="G47" s="359"/>
      <c r="H47" s="359"/>
      <c r="I47" s="359"/>
      <c r="J47" s="359"/>
      <c r="K47" s="359"/>
      <c r="L47" s="359"/>
      <c r="M47" s="359"/>
      <c r="N47" s="359"/>
      <c r="O47" s="142"/>
      <c r="P47" s="142"/>
    </row>
    <row r="48" spans="1:16" ht="53.25" customHeight="1" thickBot="1" x14ac:dyDescent="0.4">
      <c r="B48" s="360" t="s">
        <v>131</v>
      </c>
      <c r="C48" s="360"/>
      <c r="D48" s="360"/>
      <c r="E48" s="360"/>
      <c r="F48" s="360"/>
      <c r="G48" s="360"/>
      <c r="H48" s="360"/>
      <c r="I48" s="360"/>
      <c r="J48" s="360"/>
      <c r="K48" s="360"/>
      <c r="L48" s="360"/>
      <c r="M48" s="360"/>
      <c r="N48" s="360"/>
      <c r="O48" s="142"/>
      <c r="P48" s="142"/>
    </row>
    <row r="49" spans="1:16" ht="15.75" customHeight="1" x14ac:dyDescent="0.35">
      <c r="A49" s="343" t="s">
        <v>87</v>
      </c>
      <c r="B49" s="346"/>
      <c r="C49" s="347"/>
      <c r="D49" s="347"/>
      <c r="E49" s="347"/>
      <c r="F49" s="450" t="s">
        <v>248</v>
      </c>
      <c r="G49" s="451"/>
      <c r="H49" s="474" t="s">
        <v>177</v>
      </c>
      <c r="I49" s="475"/>
      <c r="J49" s="462" t="s">
        <v>174</v>
      </c>
      <c r="K49" s="463"/>
      <c r="L49" s="468" t="s">
        <v>177</v>
      </c>
      <c r="M49" s="469"/>
      <c r="N49" s="434" t="s">
        <v>2</v>
      </c>
    </row>
    <row r="50" spans="1:16" ht="26.25" customHeight="1" x14ac:dyDescent="0.35">
      <c r="A50" s="344"/>
      <c r="B50" s="348"/>
      <c r="C50" s="349"/>
      <c r="D50" s="349"/>
      <c r="E50" s="349"/>
      <c r="F50" s="452"/>
      <c r="G50" s="453"/>
      <c r="H50" s="476"/>
      <c r="I50" s="477"/>
      <c r="J50" s="464"/>
      <c r="K50" s="465"/>
      <c r="L50" s="470"/>
      <c r="M50" s="471"/>
      <c r="N50" s="435"/>
    </row>
    <row r="51" spans="1:16" ht="33.75" customHeight="1" thickBot="1" x14ac:dyDescent="0.4">
      <c r="A51" s="345"/>
      <c r="B51" s="350"/>
      <c r="C51" s="351"/>
      <c r="D51" s="351"/>
      <c r="E51" s="351"/>
      <c r="F51" s="454" t="s">
        <v>175</v>
      </c>
      <c r="G51" s="455"/>
      <c r="H51" s="455"/>
      <c r="I51" s="456"/>
      <c r="J51" s="459" t="s">
        <v>245</v>
      </c>
      <c r="K51" s="460"/>
      <c r="L51" s="460"/>
      <c r="M51" s="461"/>
      <c r="N51" s="436"/>
    </row>
    <row r="52" spans="1:16" ht="54.75" customHeight="1" thickBot="1" x14ac:dyDescent="0.4">
      <c r="A52" s="48">
        <v>5</v>
      </c>
      <c r="B52" s="449" t="s">
        <v>247</v>
      </c>
      <c r="C52" s="449"/>
      <c r="D52" s="449"/>
      <c r="E52" s="449"/>
      <c r="F52" s="457">
        <f>F40+F46</f>
        <v>14529.632813998351</v>
      </c>
      <c r="G52" s="458"/>
      <c r="H52" s="432">
        <f>I40+I46</f>
        <v>174355.59376798017</v>
      </c>
      <c r="I52" s="433"/>
      <c r="J52" s="466">
        <f>J40+J46</f>
        <v>43588.898441995043</v>
      </c>
      <c r="K52" s="467"/>
      <c r="L52" s="472">
        <f>M40+M46</f>
        <v>523066.78130394069</v>
      </c>
      <c r="M52" s="473"/>
      <c r="N52" s="268" t="s">
        <v>107</v>
      </c>
      <c r="O52" s="142"/>
      <c r="P52" s="142"/>
    </row>
    <row r="53" spans="1:16" x14ac:dyDescent="0.35">
      <c r="A53" s="340"/>
      <c r="B53" s="340"/>
      <c r="C53" s="340"/>
      <c r="D53" s="340"/>
      <c r="E53" s="340"/>
      <c r="F53" s="340"/>
      <c r="G53" s="340"/>
      <c r="H53" s="340"/>
      <c r="I53" s="340"/>
      <c r="J53" s="340"/>
      <c r="K53" s="340"/>
      <c r="L53" s="340"/>
      <c r="M53" s="340"/>
      <c r="N53" s="340"/>
    </row>
  </sheetData>
  <mergeCells count="119">
    <mergeCell ref="H52:I52"/>
    <mergeCell ref="N49:N51"/>
    <mergeCell ref="N37:N39"/>
    <mergeCell ref="N43:N45"/>
    <mergeCell ref="F43:H44"/>
    <mergeCell ref="J43:L44"/>
    <mergeCell ref="J45:M45"/>
    <mergeCell ref="F37:H38"/>
    <mergeCell ref="F40:H40"/>
    <mergeCell ref="J37:L38"/>
    <mergeCell ref="J39:M39"/>
    <mergeCell ref="J40:L40"/>
    <mergeCell ref="F39:I39"/>
    <mergeCell ref="B42:N42"/>
    <mergeCell ref="B52:E52"/>
    <mergeCell ref="F49:G50"/>
    <mergeCell ref="F51:I51"/>
    <mergeCell ref="F52:G52"/>
    <mergeCell ref="J51:M51"/>
    <mergeCell ref="J49:K50"/>
    <mergeCell ref="J52:K52"/>
    <mergeCell ref="L49:M50"/>
    <mergeCell ref="L52:M52"/>
    <mergeCell ref="H49:I50"/>
    <mergeCell ref="F20:G20"/>
    <mergeCell ref="F21:G21"/>
    <mergeCell ref="F22:G22"/>
    <mergeCell ref="F23:G23"/>
    <mergeCell ref="F24:G24"/>
    <mergeCell ref="J7:M7"/>
    <mergeCell ref="J5:J6"/>
    <mergeCell ref="K5:K6"/>
    <mergeCell ref="J19:M19"/>
    <mergeCell ref="J16:J17"/>
    <mergeCell ref="B14:N14"/>
    <mergeCell ref="E16:E17"/>
    <mergeCell ref="F16:G17"/>
    <mergeCell ref="K16:K17"/>
    <mergeCell ref="E18:G18"/>
    <mergeCell ref="H18:I18"/>
    <mergeCell ref="J18:K18"/>
    <mergeCell ref="B20:D20"/>
    <mergeCell ref="B21:D21"/>
    <mergeCell ref="L16:L17"/>
    <mergeCell ref="M16:M17"/>
    <mergeCell ref="B15:N15"/>
    <mergeCell ref="N9:N10"/>
    <mergeCell ref="H16:H17"/>
    <mergeCell ref="B36:N36"/>
    <mergeCell ref="I37:I38"/>
    <mergeCell ref="B40:E40"/>
    <mergeCell ref="B41:N41"/>
    <mergeCell ref="M37:M38"/>
    <mergeCell ref="B37:E39"/>
    <mergeCell ref="V21:W22"/>
    <mergeCell ref="V23:W23"/>
    <mergeCell ref="F34:G34"/>
    <mergeCell ref="F25:G25"/>
    <mergeCell ref="F26:G26"/>
    <mergeCell ref="F27:G27"/>
    <mergeCell ref="F28:G28"/>
    <mergeCell ref="F29:G29"/>
    <mergeCell ref="F30:G30"/>
    <mergeCell ref="F31:G31"/>
    <mergeCell ref="F32:G32"/>
    <mergeCell ref="F33:G33"/>
    <mergeCell ref="B25:D25"/>
    <mergeCell ref="B29:D29"/>
    <mergeCell ref="B32:D32"/>
    <mergeCell ref="X21:Y22"/>
    <mergeCell ref="X23:Y23"/>
    <mergeCell ref="P20:Y20"/>
    <mergeCell ref="P21:Q22"/>
    <mergeCell ref="R21:S22"/>
    <mergeCell ref="R23:S23"/>
    <mergeCell ref="P23:Q23"/>
    <mergeCell ref="T21:U22"/>
    <mergeCell ref="T23:U23"/>
    <mergeCell ref="I16:I17"/>
    <mergeCell ref="A3:N3"/>
    <mergeCell ref="A2:N2"/>
    <mergeCell ref="B8:E8"/>
    <mergeCell ref="I5:I6"/>
    <mergeCell ref="G5:G6"/>
    <mergeCell ref="H5:H6"/>
    <mergeCell ref="A5:A7"/>
    <mergeCell ref="B4:N4"/>
    <mergeCell ref="F7:I7"/>
    <mergeCell ref="F5:F6"/>
    <mergeCell ref="M5:M6"/>
    <mergeCell ref="L5:L6"/>
    <mergeCell ref="B5:B7"/>
    <mergeCell ref="C5:C7"/>
    <mergeCell ref="D5:D7"/>
    <mergeCell ref="E5:E7"/>
    <mergeCell ref="A53:N53"/>
    <mergeCell ref="A35:N35"/>
    <mergeCell ref="A1:N1"/>
    <mergeCell ref="A49:A51"/>
    <mergeCell ref="B49:E51"/>
    <mergeCell ref="A43:A45"/>
    <mergeCell ref="B43:E45"/>
    <mergeCell ref="M43:M44"/>
    <mergeCell ref="L18:M18"/>
    <mergeCell ref="N16:N19"/>
    <mergeCell ref="A37:A39"/>
    <mergeCell ref="B47:N47"/>
    <mergeCell ref="B48:N48"/>
    <mergeCell ref="B46:E46"/>
    <mergeCell ref="I43:I44"/>
    <mergeCell ref="F45:I45"/>
    <mergeCell ref="F46:H46"/>
    <mergeCell ref="J46:L46"/>
    <mergeCell ref="N5:N7"/>
    <mergeCell ref="A16:A19"/>
    <mergeCell ref="B16:B19"/>
    <mergeCell ref="C16:C19"/>
    <mergeCell ref="D16:D19"/>
    <mergeCell ref="E19:I19"/>
  </mergeCells>
  <pageMargins left="0.31496062992125984" right="0.31496062992125984" top="0.94488188976377963" bottom="0.35433070866141736" header="0.31496062992125984" footer="0.31496062992125984"/>
  <pageSetup paperSize="9" scale="53"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26"/>
  <sheetViews>
    <sheetView workbookViewId="0">
      <selection activeCell="U20" sqref="U20"/>
    </sheetView>
  </sheetViews>
  <sheetFormatPr defaultColWidth="9.109375" defaultRowHeight="13.8" x14ac:dyDescent="0.25"/>
  <cols>
    <col min="1" max="1" width="5.109375" style="49" customWidth="1"/>
    <col min="2" max="2" width="27.109375" style="49" customWidth="1"/>
    <col min="3" max="16384" width="9.109375" style="49"/>
  </cols>
  <sheetData>
    <row r="1" spans="1:7" ht="68.25" customHeight="1" x14ac:dyDescent="0.25">
      <c r="A1" s="479" t="s">
        <v>183</v>
      </c>
      <c r="B1" s="479"/>
      <c r="C1" s="479"/>
      <c r="D1" s="479"/>
      <c r="E1" s="479"/>
      <c r="F1" s="479"/>
      <c r="G1" s="479"/>
    </row>
    <row r="2" spans="1:7" ht="45" customHeight="1" x14ac:dyDescent="0.3">
      <c r="A2" s="478" t="s">
        <v>112</v>
      </c>
      <c r="B2" s="478"/>
      <c r="C2" s="478"/>
      <c r="D2" s="478"/>
      <c r="E2" s="478"/>
      <c r="F2" s="478"/>
      <c r="G2" s="478"/>
    </row>
    <row r="4" spans="1:7" x14ac:dyDescent="0.25">
      <c r="A4" s="62">
        <v>1</v>
      </c>
      <c r="B4" s="59" t="s">
        <v>70</v>
      </c>
    </row>
    <row r="5" spans="1:7" ht="31.8" x14ac:dyDescent="0.3">
      <c r="A5" s="63"/>
      <c r="B5" s="32" t="s">
        <v>74</v>
      </c>
      <c r="C5" s="50" t="s">
        <v>73</v>
      </c>
      <c r="D5" s="50" t="s">
        <v>159</v>
      </c>
      <c r="E5" s="50" t="s">
        <v>160</v>
      </c>
    </row>
    <row r="6" spans="1:7" x14ac:dyDescent="0.25">
      <c r="A6" s="63"/>
      <c r="B6" s="51" t="s">
        <v>71</v>
      </c>
      <c r="C6" s="51">
        <v>326.66000000000003</v>
      </c>
      <c r="D6" s="57">
        <v>8</v>
      </c>
      <c r="E6" s="57">
        <v>10</v>
      </c>
    </row>
    <row r="7" spans="1:7" x14ac:dyDescent="0.25">
      <c r="A7" s="63"/>
      <c r="B7" s="51" t="s">
        <v>71</v>
      </c>
      <c r="C7" s="51">
        <v>377.44</v>
      </c>
      <c r="D7" s="57">
        <v>8</v>
      </c>
      <c r="E7" s="57">
        <v>10</v>
      </c>
    </row>
    <row r="8" spans="1:7" x14ac:dyDescent="0.25">
      <c r="A8" s="63"/>
      <c r="B8" s="51" t="s">
        <v>71</v>
      </c>
      <c r="C8" s="51">
        <v>310.70999999999998</v>
      </c>
      <c r="D8" s="57">
        <v>8</v>
      </c>
      <c r="E8" s="57">
        <v>10</v>
      </c>
    </row>
    <row r="9" spans="1:7" x14ac:dyDescent="0.25">
      <c r="A9" s="63"/>
      <c r="B9" s="51" t="s">
        <v>72</v>
      </c>
      <c r="C9" s="51">
        <v>301.24</v>
      </c>
      <c r="D9" s="57">
        <v>7.5</v>
      </c>
      <c r="E9" s="57">
        <v>8.5</v>
      </c>
    </row>
    <row r="10" spans="1:7" x14ac:dyDescent="0.25">
      <c r="A10" s="63"/>
    </row>
    <row r="11" spans="1:7" x14ac:dyDescent="0.25">
      <c r="A11" s="62">
        <v>2</v>
      </c>
      <c r="B11" s="60" t="s">
        <v>110</v>
      </c>
    </row>
    <row r="12" spans="1:7" ht="31.8" x14ac:dyDescent="0.3">
      <c r="B12" s="32" t="s">
        <v>74</v>
      </c>
      <c r="C12" s="50" t="s">
        <v>73</v>
      </c>
      <c r="D12" s="50" t="s">
        <v>159</v>
      </c>
      <c r="E12" s="50" t="s">
        <v>160</v>
      </c>
    </row>
    <row r="13" spans="1:7" x14ac:dyDescent="0.25">
      <c r="B13" s="51" t="s">
        <v>111</v>
      </c>
      <c r="C13" s="51">
        <v>316.17</v>
      </c>
      <c r="D13" s="57">
        <v>6.8</v>
      </c>
      <c r="E13" s="57">
        <v>7.8</v>
      </c>
    </row>
    <row r="15" spans="1:7" x14ac:dyDescent="0.25">
      <c r="A15" s="62">
        <v>3</v>
      </c>
      <c r="B15" s="60" t="s">
        <v>115</v>
      </c>
    </row>
    <row r="16" spans="1:7" ht="31.8" x14ac:dyDescent="0.3">
      <c r="B16" s="32" t="s">
        <v>74</v>
      </c>
      <c r="C16" s="50" t="s">
        <v>73</v>
      </c>
      <c r="D16" s="50" t="s">
        <v>159</v>
      </c>
      <c r="E16" s="50" t="s">
        <v>160</v>
      </c>
    </row>
    <row r="17" spans="1:7" x14ac:dyDescent="0.25">
      <c r="B17" s="49" t="s">
        <v>116</v>
      </c>
      <c r="C17" s="93">
        <v>343.76</v>
      </c>
      <c r="D17" s="57">
        <v>6</v>
      </c>
      <c r="E17" s="57">
        <v>7.2</v>
      </c>
    </row>
    <row r="18" spans="1:7" x14ac:dyDescent="0.25">
      <c r="B18" s="49" t="s">
        <v>117</v>
      </c>
      <c r="C18" s="93">
        <v>359.84</v>
      </c>
      <c r="D18" s="58">
        <v>5.4</v>
      </c>
      <c r="E18" s="58">
        <v>7.2</v>
      </c>
    </row>
    <row r="19" spans="1:7" x14ac:dyDescent="0.25">
      <c r="B19" s="49" t="s">
        <v>118</v>
      </c>
      <c r="C19" s="49">
        <v>349.86</v>
      </c>
      <c r="D19" s="57">
        <v>5</v>
      </c>
      <c r="E19" s="57">
        <v>7.2</v>
      </c>
    </row>
    <row r="20" spans="1:7" x14ac:dyDescent="0.25">
      <c r="B20" s="49" t="s">
        <v>119</v>
      </c>
      <c r="C20" s="49">
        <v>366.32</v>
      </c>
      <c r="D20" s="58">
        <v>5.4</v>
      </c>
      <c r="E20" s="58">
        <v>7.2</v>
      </c>
    </row>
    <row r="21" spans="1:7" x14ac:dyDescent="0.25">
      <c r="B21" s="49" t="s">
        <v>120</v>
      </c>
      <c r="C21" s="93">
        <v>390</v>
      </c>
      <c r="D21" s="57">
        <v>8.15</v>
      </c>
      <c r="E21" s="57">
        <v>9.5</v>
      </c>
    </row>
    <row r="22" spans="1:7" x14ac:dyDescent="0.25">
      <c r="B22" s="49" t="s">
        <v>121</v>
      </c>
      <c r="C22" s="93">
        <v>450</v>
      </c>
      <c r="D22" s="57">
        <v>7.5</v>
      </c>
      <c r="E22" s="57">
        <v>9.5</v>
      </c>
    </row>
    <row r="24" spans="1:7" x14ac:dyDescent="0.25">
      <c r="A24" s="52"/>
      <c r="B24" s="52"/>
      <c r="C24" s="52"/>
      <c r="D24" s="52"/>
      <c r="E24" s="52"/>
      <c r="F24" s="52"/>
      <c r="G24" s="52"/>
    </row>
    <row r="25" spans="1:7" ht="31.2" x14ac:dyDescent="0.25">
      <c r="A25" s="55"/>
      <c r="B25" s="55"/>
      <c r="C25" s="50" t="s">
        <v>73</v>
      </c>
      <c r="D25" s="50" t="s">
        <v>82</v>
      </c>
      <c r="E25" s="50" t="s">
        <v>82</v>
      </c>
      <c r="F25" s="50" t="s">
        <v>161</v>
      </c>
      <c r="G25" s="55"/>
    </row>
    <row r="26" spans="1:7" ht="17.399999999999999" x14ac:dyDescent="0.3">
      <c r="B26" s="54" t="s">
        <v>113</v>
      </c>
      <c r="C26" s="166">
        <f>AVERAGE(C6:C9,C13, C17:C22)</f>
        <v>353.81818181818187</v>
      </c>
      <c r="D26" s="56">
        <f>AVERAGE(D6:D9,D13, D17:D22)</f>
        <v>6.8863636363636367</v>
      </c>
      <c r="E26" s="56">
        <f>AVERAGE(E6:E9,E13, E17:E22)</f>
        <v>8.5545454545454547</v>
      </c>
      <c r="F26" s="143">
        <f>(D26+E26)/2</f>
        <v>7.7204545454545457</v>
      </c>
    </row>
  </sheetData>
  <mergeCells count="2">
    <mergeCell ref="A2:G2"/>
    <mergeCell ref="A1:G1"/>
  </mergeCells>
  <pageMargins left="1.299212598425197" right="0.31496062992125984" top="0.55118110236220474" bottom="0.55118110236220474"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Q24"/>
  <sheetViews>
    <sheetView zoomScale="60" zoomScaleNormal="60" workbookViewId="0">
      <selection activeCell="D4" sqref="D4"/>
    </sheetView>
  </sheetViews>
  <sheetFormatPr defaultColWidth="9.109375" defaultRowHeight="13.8" x14ac:dyDescent="0.25"/>
  <cols>
    <col min="1" max="1" width="16.33203125" style="157" customWidth="1"/>
    <col min="2" max="3" width="11.44140625" style="64" customWidth="1"/>
    <col min="4" max="5" width="11.44140625" style="82" customWidth="1"/>
    <col min="6" max="9" width="11.44140625" style="64" customWidth="1"/>
    <col min="10" max="11" width="9.109375" style="64"/>
    <col min="12" max="12" width="15.88671875" style="64" customWidth="1"/>
    <col min="13" max="16384" width="9.109375" style="64"/>
  </cols>
  <sheetData>
    <row r="1" spans="1:17" ht="81.75" customHeight="1" x14ac:dyDescent="0.35">
      <c r="A1" s="480" t="s">
        <v>184</v>
      </c>
      <c r="B1" s="480"/>
      <c r="C1" s="480"/>
      <c r="D1" s="480"/>
      <c r="E1" s="480"/>
      <c r="F1" s="480"/>
      <c r="G1" s="480"/>
      <c r="H1" s="480"/>
      <c r="I1" s="480"/>
      <c r="J1" s="480"/>
      <c r="K1" s="165"/>
      <c r="L1" s="165"/>
      <c r="M1" s="165"/>
      <c r="N1" s="165"/>
      <c r="O1" s="165"/>
      <c r="P1" s="165"/>
      <c r="Q1" s="165"/>
    </row>
    <row r="2" spans="1:17" ht="62.25" customHeight="1" x14ac:dyDescent="0.25">
      <c r="A2" s="482" t="s">
        <v>109</v>
      </c>
      <c r="B2" s="482"/>
      <c r="C2" s="482"/>
      <c r="D2" s="482"/>
      <c r="E2" s="482"/>
      <c r="F2" s="482"/>
      <c r="G2" s="482"/>
      <c r="H2" s="482"/>
      <c r="I2" s="482"/>
      <c r="J2" s="482"/>
    </row>
    <row r="3" spans="1:17" ht="180" customHeight="1" x14ac:dyDescent="0.25">
      <c r="A3" s="161"/>
      <c r="B3" s="161" t="s">
        <v>167</v>
      </c>
      <c r="C3" s="161" t="s">
        <v>166</v>
      </c>
      <c r="D3" s="161" t="s">
        <v>108</v>
      </c>
    </row>
    <row r="4" spans="1:17" s="160" customFormat="1" ht="52.5" customHeight="1" x14ac:dyDescent="0.3">
      <c r="A4" s="162" t="s">
        <v>224</v>
      </c>
      <c r="B4" s="163">
        <f>85*3</f>
        <v>255</v>
      </c>
      <c r="C4" s="481">
        <v>388</v>
      </c>
      <c r="D4" s="164">
        <f>B4*C4</f>
        <v>98940</v>
      </c>
      <c r="E4" s="159"/>
    </row>
    <row r="5" spans="1:17" s="160" customFormat="1" ht="52.5" customHeight="1" x14ac:dyDescent="0.3">
      <c r="A5" s="162" t="s">
        <v>165</v>
      </c>
      <c r="B5" s="163">
        <f>B4/3</f>
        <v>85</v>
      </c>
      <c r="C5" s="481"/>
      <c r="D5" s="164">
        <f>B5*C4</f>
        <v>32980</v>
      </c>
      <c r="E5" s="197"/>
      <c r="F5" s="198"/>
    </row>
    <row r="6" spans="1:17" ht="30" customHeight="1" x14ac:dyDescent="0.25">
      <c r="A6" s="483" t="s">
        <v>168</v>
      </c>
      <c r="B6" s="483"/>
      <c r="C6" s="483"/>
      <c r="D6" s="483"/>
    </row>
    <row r="10" spans="1:17" ht="36" customHeight="1" x14ac:dyDescent="0.25">
      <c r="A10" s="482" t="s">
        <v>21</v>
      </c>
      <c r="B10" s="482"/>
      <c r="C10" s="482"/>
      <c r="D10" s="482"/>
      <c r="E10" s="482"/>
      <c r="F10" s="482"/>
      <c r="G10" s="482"/>
      <c r="H10" s="482"/>
      <c r="I10" s="482"/>
      <c r="J10" s="482"/>
      <c r="K10" s="49"/>
    </row>
    <row r="11" spans="1:17" ht="14.4" thickBot="1" x14ac:dyDescent="0.3">
      <c r="A11" s="158"/>
      <c r="B11" s="49"/>
      <c r="C11" s="49"/>
      <c r="D11" s="49"/>
      <c r="E11" s="49"/>
      <c r="F11" s="49"/>
      <c r="G11" s="49"/>
      <c r="H11" s="49"/>
      <c r="J11" s="49"/>
      <c r="K11" s="49"/>
    </row>
    <row r="12" spans="1:17" x14ac:dyDescent="0.25">
      <c r="A12" s="158"/>
      <c r="B12" s="65" t="s">
        <v>20</v>
      </c>
      <c r="C12" s="66"/>
      <c r="D12" s="65" t="s">
        <v>75</v>
      </c>
      <c r="E12" s="66"/>
      <c r="F12" s="65" t="s">
        <v>132</v>
      </c>
      <c r="G12" s="66"/>
      <c r="H12" s="148" t="s">
        <v>163</v>
      </c>
      <c r="I12" s="149"/>
      <c r="J12" s="49"/>
      <c r="K12" s="49"/>
    </row>
    <row r="13" spans="1:17" x14ac:dyDescent="0.25">
      <c r="A13" s="158"/>
      <c r="B13" s="67" t="s">
        <v>18</v>
      </c>
      <c r="C13" s="68" t="s">
        <v>19</v>
      </c>
      <c r="D13" s="69" t="s">
        <v>18</v>
      </c>
      <c r="E13" s="70" t="s">
        <v>19</v>
      </c>
      <c r="F13" s="69" t="s">
        <v>18</v>
      </c>
      <c r="G13" s="70" t="s">
        <v>19</v>
      </c>
      <c r="H13" s="150" t="s">
        <v>18</v>
      </c>
      <c r="I13" s="151" t="s">
        <v>19</v>
      </c>
      <c r="J13" s="49"/>
      <c r="K13" s="49"/>
    </row>
    <row r="14" spans="1:17" x14ac:dyDescent="0.25">
      <c r="A14" s="71">
        <v>95</v>
      </c>
      <c r="B14" s="172">
        <v>1.17405</v>
      </c>
      <c r="C14" s="73">
        <v>1.1870000000000001</v>
      </c>
      <c r="D14" s="74">
        <v>1.194</v>
      </c>
      <c r="E14" s="201">
        <v>1.1991000000000001</v>
      </c>
      <c r="F14" s="74">
        <v>1.194</v>
      </c>
      <c r="G14" s="75">
        <v>1.1870000000000001</v>
      </c>
      <c r="H14" s="202">
        <v>1.1952</v>
      </c>
      <c r="I14" s="153">
        <v>1.198</v>
      </c>
      <c r="J14" s="49"/>
      <c r="K14" s="49"/>
    </row>
    <row r="15" spans="1:17" x14ac:dyDescent="0.25">
      <c r="A15" s="71" t="s">
        <v>16</v>
      </c>
      <c r="B15" s="72">
        <v>1.0940000000000001</v>
      </c>
      <c r="C15" s="73">
        <v>1.097</v>
      </c>
      <c r="D15" s="74">
        <v>1.0940000000000001</v>
      </c>
      <c r="E15" s="75">
        <v>1.127</v>
      </c>
      <c r="F15" s="74">
        <v>1.1839999999999999</v>
      </c>
      <c r="G15" s="75">
        <v>1.097</v>
      </c>
      <c r="H15" s="152">
        <v>1.0940000000000001</v>
      </c>
      <c r="I15" s="153">
        <v>1.097</v>
      </c>
      <c r="J15" s="49"/>
      <c r="K15" s="49"/>
    </row>
    <row r="16" spans="1:17" ht="14.4" thickBot="1" x14ac:dyDescent="0.3">
      <c r="A16" s="71" t="s">
        <v>17</v>
      </c>
      <c r="B16" s="76">
        <v>1.173</v>
      </c>
      <c r="C16" s="77">
        <v>1.1970000000000001</v>
      </c>
      <c r="D16" s="78">
        <v>1.1950000000000001</v>
      </c>
      <c r="E16" s="79">
        <v>1.1970000000000001</v>
      </c>
      <c r="F16" s="78">
        <v>1.1890000000000001</v>
      </c>
      <c r="G16" s="200">
        <v>1.1971000000000001</v>
      </c>
      <c r="H16" s="154">
        <v>1.1990000000000001</v>
      </c>
      <c r="I16" s="155">
        <v>1.1970000000000001</v>
      </c>
      <c r="J16" s="49"/>
      <c r="K16" s="49"/>
    </row>
    <row r="17" spans="1:12" ht="14.4" thickBot="1" x14ac:dyDescent="0.3">
      <c r="A17" s="158"/>
      <c r="B17" s="53">
        <f t="shared" ref="B17:I17" si="0">AVERAGE(B14:B16)</f>
        <v>1.1470166666666668</v>
      </c>
      <c r="C17" s="53">
        <f t="shared" si="0"/>
        <v>1.1603333333333332</v>
      </c>
      <c r="D17" s="80">
        <f t="shared" si="0"/>
        <v>1.1610000000000003</v>
      </c>
      <c r="E17" s="80">
        <f t="shared" si="0"/>
        <v>1.1743666666666668</v>
      </c>
      <c r="F17" s="80">
        <f t="shared" si="0"/>
        <v>1.1890000000000001</v>
      </c>
      <c r="G17" s="80">
        <f t="shared" si="0"/>
        <v>1.1603666666666665</v>
      </c>
      <c r="H17" s="156">
        <f t="shared" si="0"/>
        <v>1.1627333333333334</v>
      </c>
      <c r="I17" s="156">
        <f t="shared" si="0"/>
        <v>1.1639999999999999</v>
      </c>
      <c r="J17" s="81">
        <f>(B17+C17+D17+E17+F17+G17+H17+I17)/8</f>
        <v>1.1648520833333333</v>
      </c>
      <c r="K17" s="49"/>
      <c r="L17" s="199"/>
    </row>
    <row r="18" spans="1:12" x14ac:dyDescent="0.25">
      <c r="B18" s="49"/>
      <c r="C18" s="49"/>
      <c r="D18" s="49"/>
      <c r="E18" s="49"/>
      <c r="G18" s="49"/>
      <c r="H18" s="119"/>
      <c r="I18" s="49"/>
      <c r="J18" s="49"/>
      <c r="K18" s="49"/>
    </row>
    <row r="20" spans="1:12" ht="45" customHeight="1" x14ac:dyDescent="0.25">
      <c r="A20" s="482" t="s">
        <v>164</v>
      </c>
      <c r="B20" s="482"/>
      <c r="C20" s="482"/>
      <c r="D20" s="482"/>
      <c r="E20" s="482"/>
      <c r="F20" s="482"/>
      <c r="G20" s="482"/>
      <c r="H20" s="482"/>
      <c r="I20" s="482"/>
      <c r="J20" s="482"/>
    </row>
    <row r="21" spans="1:12" x14ac:dyDescent="0.25">
      <c r="A21" s="490" t="s">
        <v>79</v>
      </c>
      <c r="B21" s="490"/>
      <c r="C21" s="491" t="s">
        <v>191</v>
      </c>
      <c r="D21" s="491"/>
      <c r="E21" s="491" t="s">
        <v>78</v>
      </c>
      <c r="F21" s="491"/>
      <c r="G21" s="491" t="s">
        <v>80</v>
      </c>
      <c r="H21" s="491"/>
      <c r="I21" s="492" t="s">
        <v>77</v>
      </c>
      <c r="J21" s="492"/>
    </row>
    <row r="22" spans="1:12" ht="56.25" customHeight="1" x14ac:dyDescent="0.25">
      <c r="A22" s="490"/>
      <c r="B22" s="490"/>
      <c r="C22" s="491"/>
      <c r="D22" s="491"/>
      <c r="E22" s="491"/>
      <c r="F22" s="491"/>
      <c r="G22" s="491"/>
      <c r="H22" s="491"/>
      <c r="I22" s="492"/>
      <c r="J22" s="492"/>
    </row>
    <row r="23" spans="1:12" ht="18" x14ac:dyDescent="0.25">
      <c r="A23" s="484">
        <f>Pielik_2.1._transporta_noma!F26</f>
        <v>7.7204545454545457</v>
      </c>
      <c r="B23" s="484"/>
      <c r="C23" s="485">
        <f>D5</f>
        <v>32980</v>
      </c>
      <c r="D23" s="485"/>
      <c r="E23" s="486">
        <f>A23/100</f>
        <v>7.7204545454545456E-2</v>
      </c>
      <c r="F23" s="486"/>
      <c r="G23" s="487">
        <f>J17</f>
        <v>1.1648520833333333</v>
      </c>
      <c r="H23" s="488"/>
      <c r="I23" s="489">
        <f>G23*E23</f>
        <v>8.9931875615530302E-2</v>
      </c>
      <c r="J23" s="489"/>
    </row>
    <row r="24" spans="1:12" x14ac:dyDescent="0.25">
      <c r="B24" s="92"/>
    </row>
  </sheetData>
  <mergeCells count="16">
    <mergeCell ref="A20:J20"/>
    <mergeCell ref="A21:B22"/>
    <mergeCell ref="C21:D22"/>
    <mergeCell ref="E21:F22"/>
    <mergeCell ref="G21:H22"/>
    <mergeCell ref="I21:J22"/>
    <mergeCell ref="A23:B23"/>
    <mergeCell ref="C23:D23"/>
    <mergeCell ref="E23:F23"/>
    <mergeCell ref="G23:H23"/>
    <mergeCell ref="I23:J23"/>
    <mergeCell ref="A1:J1"/>
    <mergeCell ref="C4:C5"/>
    <mergeCell ref="A2:J2"/>
    <mergeCell ref="A10:J10"/>
    <mergeCell ref="A6:D6"/>
  </mergeCells>
  <pageMargins left="0.9055118110236221" right="0.51181102362204722" top="0.74803149606299213" bottom="0.74803149606299213" header="0.31496062992125984" footer="0.31496062992125984"/>
  <pageSetup paperSize="9" scale="70"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N14"/>
  <sheetViews>
    <sheetView workbookViewId="0">
      <selection activeCell="R26" sqref="R26"/>
    </sheetView>
  </sheetViews>
  <sheetFormatPr defaultRowHeight="14.4" x14ac:dyDescent="0.3"/>
  <cols>
    <col min="1" max="1" width="3.5546875" customWidth="1"/>
    <col min="2" max="2" width="3.33203125" style="25" customWidth="1"/>
    <col min="13" max="13" width="9.109375" style="25"/>
  </cols>
  <sheetData>
    <row r="1" spans="1:14" ht="48.75" customHeight="1" x14ac:dyDescent="0.3">
      <c r="A1" s="497" t="s">
        <v>185</v>
      </c>
      <c r="B1" s="497"/>
      <c r="C1" s="497"/>
      <c r="D1" s="497"/>
      <c r="E1" s="497"/>
      <c r="F1" s="497"/>
      <c r="G1" s="497"/>
      <c r="H1" s="497"/>
      <c r="I1" s="497"/>
      <c r="J1" s="497"/>
      <c r="K1" s="497"/>
      <c r="L1" s="497"/>
      <c r="M1" s="497"/>
      <c r="N1" s="497"/>
    </row>
    <row r="2" spans="1:14" ht="37.5" customHeight="1" x14ac:dyDescent="0.35">
      <c r="A2" s="493" t="s">
        <v>169</v>
      </c>
      <c r="B2" s="493"/>
      <c r="C2" s="493"/>
      <c r="D2" s="493"/>
      <c r="E2" s="493"/>
      <c r="F2" s="493"/>
      <c r="G2" s="493"/>
      <c r="H2" s="493"/>
      <c r="I2" s="493"/>
      <c r="J2" s="493"/>
      <c r="K2" s="493"/>
      <c r="L2" s="493"/>
      <c r="M2" s="493"/>
      <c r="N2" s="493"/>
    </row>
    <row r="3" spans="1:14" s="5" customFormat="1" x14ac:dyDescent="0.3">
      <c r="A3" s="495"/>
      <c r="B3" s="496"/>
      <c r="C3" s="26">
        <v>1</v>
      </c>
      <c r="D3" s="26">
        <v>2</v>
      </c>
      <c r="E3" s="26">
        <v>3</v>
      </c>
      <c r="F3" s="26">
        <v>4</v>
      </c>
      <c r="G3" s="26">
        <v>5</v>
      </c>
      <c r="H3" s="26">
        <v>6</v>
      </c>
      <c r="I3" s="26">
        <v>7</v>
      </c>
      <c r="J3" s="26">
        <v>8</v>
      </c>
      <c r="K3" s="26">
        <v>9</v>
      </c>
      <c r="L3" s="26">
        <v>10</v>
      </c>
      <c r="M3" s="26" t="s">
        <v>114</v>
      </c>
      <c r="N3" s="83"/>
    </row>
    <row r="4" spans="1:14" x14ac:dyDescent="0.3">
      <c r="A4" s="494" t="s">
        <v>55</v>
      </c>
      <c r="B4" s="26">
        <v>1</v>
      </c>
      <c r="C4" s="27">
        <v>3</v>
      </c>
      <c r="D4" s="28"/>
      <c r="E4" s="28"/>
      <c r="F4" s="28"/>
      <c r="G4" s="28"/>
      <c r="H4" s="28"/>
      <c r="I4" s="28"/>
      <c r="J4" s="28"/>
      <c r="K4" s="28"/>
      <c r="L4" s="28"/>
      <c r="M4" s="84">
        <f>SUM(C4:L4)</f>
        <v>3</v>
      </c>
      <c r="N4" s="29" t="s">
        <v>54</v>
      </c>
    </row>
    <row r="5" spans="1:14" x14ac:dyDescent="0.3">
      <c r="A5" s="494"/>
      <c r="B5" s="26">
        <v>2</v>
      </c>
      <c r="C5" s="28">
        <v>3</v>
      </c>
      <c r="D5" s="27">
        <v>3</v>
      </c>
      <c r="E5" s="29"/>
      <c r="F5" s="29"/>
      <c r="G5" s="29"/>
      <c r="H5" s="29"/>
      <c r="I5" s="29"/>
      <c r="J5" s="29"/>
      <c r="K5" s="29"/>
      <c r="L5" s="29"/>
      <c r="M5" s="84">
        <f t="shared" ref="M5:M13" si="0">SUM(C5:L5)</f>
        <v>6</v>
      </c>
      <c r="N5" s="29" t="s">
        <v>56</v>
      </c>
    </row>
    <row r="6" spans="1:14" x14ac:dyDescent="0.3">
      <c r="A6" s="494"/>
      <c r="B6" s="26">
        <v>3</v>
      </c>
      <c r="C6" s="28">
        <v>3</v>
      </c>
      <c r="D6" s="28">
        <v>3</v>
      </c>
      <c r="E6" s="27">
        <v>3</v>
      </c>
      <c r="F6" s="29"/>
      <c r="G6" s="29"/>
      <c r="H6" s="29"/>
      <c r="I6" s="29"/>
      <c r="J6" s="29"/>
      <c r="K6" s="29"/>
      <c r="L6" s="29"/>
      <c r="M6" s="84">
        <f t="shared" si="0"/>
        <v>9</v>
      </c>
      <c r="N6" s="29" t="s">
        <v>57</v>
      </c>
    </row>
    <row r="7" spans="1:14" ht="15" thickBot="1" x14ac:dyDescent="0.35">
      <c r="A7" s="494"/>
      <c r="B7" s="138">
        <v>4</v>
      </c>
      <c r="C7" s="139">
        <v>3</v>
      </c>
      <c r="D7" s="139">
        <v>3</v>
      </c>
      <c r="E7" s="139">
        <v>3</v>
      </c>
      <c r="F7" s="140">
        <v>3</v>
      </c>
      <c r="G7" s="141"/>
      <c r="H7" s="141"/>
      <c r="I7" s="141"/>
      <c r="J7" s="141"/>
      <c r="K7" s="141"/>
      <c r="L7" s="141"/>
      <c r="M7" s="139">
        <f t="shared" si="0"/>
        <v>12</v>
      </c>
      <c r="N7" s="141" t="s">
        <v>58</v>
      </c>
    </row>
    <row r="8" spans="1:14" x14ac:dyDescent="0.3">
      <c r="A8" s="494"/>
      <c r="B8" s="131">
        <v>5</v>
      </c>
      <c r="C8" s="132">
        <v>3</v>
      </c>
      <c r="D8" s="132">
        <v>3</v>
      </c>
      <c r="E8" s="132">
        <v>3</v>
      </c>
      <c r="F8" s="132">
        <v>3</v>
      </c>
      <c r="G8" s="133">
        <v>3</v>
      </c>
      <c r="H8" s="134"/>
      <c r="I8" s="134"/>
      <c r="J8" s="134"/>
      <c r="K8" s="134"/>
      <c r="L8" s="135"/>
      <c r="M8" s="136">
        <f t="shared" si="0"/>
        <v>15</v>
      </c>
      <c r="N8" s="137" t="s">
        <v>59</v>
      </c>
    </row>
    <row r="9" spans="1:14" x14ac:dyDescent="0.3">
      <c r="A9" s="494"/>
      <c r="B9" s="26">
        <v>6</v>
      </c>
      <c r="C9" s="28"/>
      <c r="D9" s="28">
        <v>3</v>
      </c>
      <c r="E9" s="28">
        <v>3</v>
      </c>
      <c r="F9" s="28">
        <v>3</v>
      </c>
      <c r="G9" s="28">
        <v>3</v>
      </c>
      <c r="H9" s="27">
        <v>3</v>
      </c>
      <c r="I9" s="29"/>
      <c r="J9" s="29"/>
      <c r="K9" s="29"/>
      <c r="L9" s="85"/>
      <c r="M9" s="88">
        <f t="shared" si="0"/>
        <v>15</v>
      </c>
      <c r="N9" s="89" t="s">
        <v>60</v>
      </c>
    </row>
    <row r="10" spans="1:14" x14ac:dyDescent="0.3">
      <c r="A10" s="494"/>
      <c r="B10" s="26">
        <v>7</v>
      </c>
      <c r="C10" s="28"/>
      <c r="D10" s="29"/>
      <c r="E10" s="28">
        <v>3</v>
      </c>
      <c r="F10" s="28">
        <v>3</v>
      </c>
      <c r="G10" s="28">
        <v>3</v>
      </c>
      <c r="H10" s="28">
        <v>3</v>
      </c>
      <c r="I10" s="27">
        <v>3</v>
      </c>
      <c r="J10" s="28"/>
      <c r="K10" s="28"/>
      <c r="L10" s="86"/>
      <c r="M10" s="88">
        <f t="shared" si="0"/>
        <v>15</v>
      </c>
      <c r="N10" s="89" t="s">
        <v>61</v>
      </c>
    </row>
    <row r="11" spans="1:14" x14ac:dyDescent="0.3">
      <c r="A11" s="494"/>
      <c r="B11" s="26">
        <v>8</v>
      </c>
      <c r="C11" s="28"/>
      <c r="D11" s="29"/>
      <c r="E11" s="29"/>
      <c r="F11" s="28">
        <v>3</v>
      </c>
      <c r="G11" s="28">
        <v>3</v>
      </c>
      <c r="H11" s="28">
        <v>3</v>
      </c>
      <c r="I11" s="28">
        <v>3</v>
      </c>
      <c r="J11" s="27">
        <v>3</v>
      </c>
      <c r="K11" s="28"/>
      <c r="L11" s="86"/>
      <c r="M11" s="88">
        <f t="shared" si="0"/>
        <v>15</v>
      </c>
      <c r="N11" s="89" t="s">
        <v>62</v>
      </c>
    </row>
    <row r="12" spans="1:14" x14ac:dyDescent="0.3">
      <c r="A12" s="494"/>
      <c r="B12" s="26">
        <v>9</v>
      </c>
      <c r="C12" s="28"/>
      <c r="D12" s="29"/>
      <c r="E12" s="29"/>
      <c r="F12" s="29"/>
      <c r="G12" s="28">
        <v>3</v>
      </c>
      <c r="H12" s="28">
        <v>3</v>
      </c>
      <c r="I12" s="28">
        <v>3</v>
      </c>
      <c r="J12" s="28">
        <v>3</v>
      </c>
      <c r="K12" s="27">
        <v>3</v>
      </c>
      <c r="L12" s="86"/>
      <c r="M12" s="88">
        <f t="shared" si="0"/>
        <v>15</v>
      </c>
      <c r="N12" s="89" t="s">
        <v>63</v>
      </c>
    </row>
    <row r="13" spans="1:14" ht="15" thickBot="1" x14ac:dyDescent="0.35">
      <c r="A13" s="494"/>
      <c r="B13" s="26">
        <v>10</v>
      </c>
      <c r="C13" s="28"/>
      <c r="D13" s="29"/>
      <c r="E13" s="29"/>
      <c r="F13" s="29"/>
      <c r="G13" s="29"/>
      <c r="H13" s="28">
        <v>3</v>
      </c>
      <c r="I13" s="28">
        <v>3</v>
      </c>
      <c r="J13" s="28">
        <v>3</v>
      </c>
      <c r="K13" s="28">
        <v>3</v>
      </c>
      <c r="L13" s="87">
        <v>3</v>
      </c>
      <c r="M13" s="90">
        <f t="shared" si="0"/>
        <v>15</v>
      </c>
      <c r="N13" s="91" t="s">
        <v>64</v>
      </c>
    </row>
    <row r="14" spans="1:14" x14ac:dyDescent="0.3">
      <c r="M14" s="25" t="s">
        <v>196</v>
      </c>
    </row>
  </sheetData>
  <mergeCells count="4">
    <mergeCell ref="A2:N2"/>
    <mergeCell ref="A4:A13"/>
    <mergeCell ref="A3:B3"/>
    <mergeCell ref="A1:N1"/>
  </mergeCells>
  <pageMargins left="0.70866141732283472" right="0.70866141732283472" top="1.3385826771653544" bottom="0.74803149606299213" header="0.31496062992125984" footer="0.31496062992125984"/>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K25"/>
  <sheetViews>
    <sheetView topLeftCell="A16" zoomScale="80" zoomScaleNormal="80" workbookViewId="0">
      <selection activeCell="O32" sqref="O31:O32"/>
    </sheetView>
  </sheetViews>
  <sheetFormatPr defaultRowHeight="14.4" x14ac:dyDescent="0.3"/>
  <cols>
    <col min="1" max="1" width="39.33203125" style="6" customWidth="1"/>
    <col min="2" max="9" width="10.88671875" style="6" customWidth="1"/>
    <col min="10" max="248" width="9.109375" style="6"/>
    <col min="249" max="249" width="24.88671875" style="6" customWidth="1"/>
    <col min="250" max="254" width="14.44140625" style="6" customWidth="1"/>
    <col min="255" max="255" width="12.6640625" style="6" customWidth="1"/>
    <col min="256" max="256" width="13.5546875" style="6" customWidth="1"/>
    <col min="257" max="257" width="11.33203125" style="6" customWidth="1"/>
    <col min="258" max="258" width="12.33203125" style="6" customWidth="1"/>
    <col min="259" max="259" width="12.44140625" style="6" customWidth="1"/>
    <col min="260" max="260" width="12.6640625" style="6" customWidth="1"/>
    <col min="261" max="262" width="10.88671875" style="6" customWidth="1"/>
    <col min="263" max="504" width="9.109375" style="6"/>
    <col min="505" max="505" width="24.88671875" style="6" customWidth="1"/>
    <col min="506" max="510" width="14.44140625" style="6" customWidth="1"/>
    <col min="511" max="511" width="12.6640625" style="6" customWidth="1"/>
    <col min="512" max="512" width="13.5546875" style="6" customWidth="1"/>
    <col min="513" max="513" width="11.33203125" style="6" customWidth="1"/>
    <col min="514" max="514" width="12.33203125" style="6" customWidth="1"/>
    <col min="515" max="515" width="12.44140625" style="6" customWidth="1"/>
    <col min="516" max="516" width="12.6640625" style="6" customWidth="1"/>
    <col min="517" max="518" width="10.88671875" style="6" customWidth="1"/>
    <col min="519" max="760" width="9.109375" style="6"/>
    <col min="761" max="761" width="24.88671875" style="6" customWidth="1"/>
    <col min="762" max="766" width="14.44140625" style="6" customWidth="1"/>
    <col min="767" max="767" width="12.6640625" style="6" customWidth="1"/>
    <col min="768" max="768" width="13.5546875" style="6" customWidth="1"/>
    <col min="769" max="769" width="11.33203125" style="6" customWidth="1"/>
    <col min="770" max="770" width="12.33203125" style="6" customWidth="1"/>
    <col min="771" max="771" width="12.44140625" style="6" customWidth="1"/>
    <col min="772" max="772" width="12.6640625" style="6" customWidth="1"/>
    <col min="773" max="774" width="10.88671875" style="6" customWidth="1"/>
    <col min="775" max="1016" width="9.109375" style="6"/>
    <col min="1017" max="1017" width="24.88671875" style="6" customWidth="1"/>
    <col min="1018" max="1022" width="14.44140625" style="6" customWidth="1"/>
    <col min="1023" max="1023" width="12.6640625" style="6" customWidth="1"/>
    <col min="1024" max="1024" width="13.5546875" style="6" customWidth="1"/>
    <col min="1025" max="1025" width="11.33203125" style="6" customWidth="1"/>
    <col min="1026" max="1026" width="12.33203125" style="6" customWidth="1"/>
    <col min="1027" max="1027" width="12.44140625" style="6" customWidth="1"/>
    <col min="1028" max="1028" width="12.6640625" style="6" customWidth="1"/>
    <col min="1029" max="1030" width="10.88671875" style="6" customWidth="1"/>
    <col min="1031" max="1272" width="9.109375" style="6"/>
    <col min="1273" max="1273" width="24.88671875" style="6" customWidth="1"/>
    <col min="1274" max="1278" width="14.44140625" style="6" customWidth="1"/>
    <col min="1279" max="1279" width="12.6640625" style="6" customWidth="1"/>
    <col min="1280" max="1280" width="13.5546875" style="6" customWidth="1"/>
    <col min="1281" max="1281" width="11.33203125" style="6" customWidth="1"/>
    <col min="1282" max="1282" width="12.33203125" style="6" customWidth="1"/>
    <col min="1283" max="1283" width="12.44140625" style="6" customWidth="1"/>
    <col min="1284" max="1284" width="12.6640625" style="6" customWidth="1"/>
    <col min="1285" max="1286" width="10.88671875" style="6" customWidth="1"/>
    <col min="1287" max="1528" width="9.109375" style="6"/>
    <col min="1529" max="1529" width="24.88671875" style="6" customWidth="1"/>
    <col min="1530" max="1534" width="14.44140625" style="6" customWidth="1"/>
    <col min="1535" max="1535" width="12.6640625" style="6" customWidth="1"/>
    <col min="1536" max="1536" width="13.5546875" style="6" customWidth="1"/>
    <col min="1537" max="1537" width="11.33203125" style="6" customWidth="1"/>
    <col min="1538" max="1538" width="12.33203125" style="6" customWidth="1"/>
    <col min="1539" max="1539" width="12.44140625" style="6" customWidth="1"/>
    <col min="1540" max="1540" width="12.6640625" style="6" customWidth="1"/>
    <col min="1541" max="1542" width="10.88671875" style="6" customWidth="1"/>
    <col min="1543" max="1784" width="9.109375" style="6"/>
    <col min="1785" max="1785" width="24.88671875" style="6" customWidth="1"/>
    <col min="1786" max="1790" width="14.44140625" style="6" customWidth="1"/>
    <col min="1791" max="1791" width="12.6640625" style="6" customWidth="1"/>
    <col min="1792" max="1792" width="13.5546875" style="6" customWidth="1"/>
    <col min="1793" max="1793" width="11.33203125" style="6" customWidth="1"/>
    <col min="1794" max="1794" width="12.33203125" style="6" customWidth="1"/>
    <col min="1795" max="1795" width="12.44140625" style="6" customWidth="1"/>
    <col min="1796" max="1796" width="12.6640625" style="6" customWidth="1"/>
    <col min="1797" max="1798" width="10.88671875" style="6" customWidth="1"/>
    <col min="1799" max="2040" width="9.109375" style="6"/>
    <col min="2041" max="2041" width="24.88671875" style="6" customWidth="1"/>
    <col min="2042" max="2046" width="14.44140625" style="6" customWidth="1"/>
    <col min="2047" max="2047" width="12.6640625" style="6" customWidth="1"/>
    <col min="2048" max="2048" width="13.5546875" style="6" customWidth="1"/>
    <col min="2049" max="2049" width="11.33203125" style="6" customWidth="1"/>
    <col min="2050" max="2050" width="12.33203125" style="6" customWidth="1"/>
    <col min="2051" max="2051" width="12.44140625" style="6" customWidth="1"/>
    <col min="2052" max="2052" width="12.6640625" style="6" customWidth="1"/>
    <col min="2053" max="2054" width="10.88671875" style="6" customWidth="1"/>
    <col min="2055" max="2296" width="9.109375" style="6"/>
    <col min="2297" max="2297" width="24.88671875" style="6" customWidth="1"/>
    <col min="2298" max="2302" width="14.44140625" style="6" customWidth="1"/>
    <col min="2303" max="2303" width="12.6640625" style="6" customWidth="1"/>
    <col min="2304" max="2304" width="13.5546875" style="6" customWidth="1"/>
    <col min="2305" max="2305" width="11.33203125" style="6" customWidth="1"/>
    <col min="2306" max="2306" width="12.33203125" style="6" customWidth="1"/>
    <col min="2307" max="2307" width="12.44140625" style="6" customWidth="1"/>
    <col min="2308" max="2308" width="12.6640625" style="6" customWidth="1"/>
    <col min="2309" max="2310" width="10.88671875" style="6" customWidth="1"/>
    <col min="2311" max="2552" width="9.109375" style="6"/>
    <col min="2553" max="2553" width="24.88671875" style="6" customWidth="1"/>
    <col min="2554" max="2558" width="14.44140625" style="6" customWidth="1"/>
    <col min="2559" max="2559" width="12.6640625" style="6" customWidth="1"/>
    <col min="2560" max="2560" width="13.5546875" style="6" customWidth="1"/>
    <col min="2561" max="2561" width="11.33203125" style="6" customWidth="1"/>
    <col min="2562" max="2562" width="12.33203125" style="6" customWidth="1"/>
    <col min="2563" max="2563" width="12.44140625" style="6" customWidth="1"/>
    <col min="2564" max="2564" width="12.6640625" style="6" customWidth="1"/>
    <col min="2565" max="2566" width="10.88671875" style="6" customWidth="1"/>
    <col min="2567" max="2808" width="9.109375" style="6"/>
    <col min="2809" max="2809" width="24.88671875" style="6" customWidth="1"/>
    <col min="2810" max="2814" width="14.44140625" style="6" customWidth="1"/>
    <col min="2815" max="2815" width="12.6640625" style="6" customWidth="1"/>
    <col min="2816" max="2816" width="13.5546875" style="6" customWidth="1"/>
    <col min="2817" max="2817" width="11.33203125" style="6" customWidth="1"/>
    <col min="2818" max="2818" width="12.33203125" style="6" customWidth="1"/>
    <col min="2819" max="2819" width="12.44140625" style="6" customWidth="1"/>
    <col min="2820" max="2820" width="12.6640625" style="6" customWidth="1"/>
    <col min="2821" max="2822" width="10.88671875" style="6" customWidth="1"/>
    <col min="2823" max="3064" width="9.109375" style="6"/>
    <col min="3065" max="3065" width="24.88671875" style="6" customWidth="1"/>
    <col min="3066" max="3070" width="14.44140625" style="6" customWidth="1"/>
    <col min="3071" max="3071" width="12.6640625" style="6" customWidth="1"/>
    <col min="3072" max="3072" width="13.5546875" style="6" customWidth="1"/>
    <col min="3073" max="3073" width="11.33203125" style="6" customWidth="1"/>
    <col min="3074" max="3074" width="12.33203125" style="6" customWidth="1"/>
    <col min="3075" max="3075" width="12.44140625" style="6" customWidth="1"/>
    <col min="3076" max="3076" width="12.6640625" style="6" customWidth="1"/>
    <col min="3077" max="3078" width="10.88671875" style="6" customWidth="1"/>
    <col min="3079" max="3320" width="9.109375" style="6"/>
    <col min="3321" max="3321" width="24.88671875" style="6" customWidth="1"/>
    <col min="3322" max="3326" width="14.44140625" style="6" customWidth="1"/>
    <col min="3327" max="3327" width="12.6640625" style="6" customWidth="1"/>
    <col min="3328" max="3328" width="13.5546875" style="6" customWidth="1"/>
    <col min="3329" max="3329" width="11.33203125" style="6" customWidth="1"/>
    <col min="3330" max="3330" width="12.33203125" style="6" customWidth="1"/>
    <col min="3331" max="3331" width="12.44140625" style="6" customWidth="1"/>
    <col min="3332" max="3332" width="12.6640625" style="6" customWidth="1"/>
    <col min="3333" max="3334" width="10.88671875" style="6" customWidth="1"/>
    <col min="3335" max="3576" width="9.109375" style="6"/>
    <col min="3577" max="3577" width="24.88671875" style="6" customWidth="1"/>
    <col min="3578" max="3582" width="14.44140625" style="6" customWidth="1"/>
    <col min="3583" max="3583" width="12.6640625" style="6" customWidth="1"/>
    <col min="3584" max="3584" width="13.5546875" style="6" customWidth="1"/>
    <col min="3585" max="3585" width="11.33203125" style="6" customWidth="1"/>
    <col min="3586" max="3586" width="12.33203125" style="6" customWidth="1"/>
    <col min="3587" max="3587" width="12.44140625" style="6" customWidth="1"/>
    <col min="3588" max="3588" width="12.6640625" style="6" customWidth="1"/>
    <col min="3589" max="3590" width="10.88671875" style="6" customWidth="1"/>
    <col min="3591" max="3832" width="9.109375" style="6"/>
    <col min="3833" max="3833" width="24.88671875" style="6" customWidth="1"/>
    <col min="3834" max="3838" width="14.44140625" style="6" customWidth="1"/>
    <col min="3839" max="3839" width="12.6640625" style="6" customWidth="1"/>
    <col min="3840" max="3840" width="13.5546875" style="6" customWidth="1"/>
    <col min="3841" max="3841" width="11.33203125" style="6" customWidth="1"/>
    <col min="3842" max="3842" width="12.33203125" style="6" customWidth="1"/>
    <col min="3843" max="3843" width="12.44140625" style="6" customWidth="1"/>
    <col min="3844" max="3844" width="12.6640625" style="6" customWidth="1"/>
    <col min="3845" max="3846" width="10.88671875" style="6" customWidth="1"/>
    <col min="3847" max="4088" width="9.109375" style="6"/>
    <col min="4089" max="4089" width="24.88671875" style="6" customWidth="1"/>
    <col min="4090" max="4094" width="14.44140625" style="6" customWidth="1"/>
    <col min="4095" max="4095" width="12.6640625" style="6" customWidth="1"/>
    <col min="4096" max="4096" width="13.5546875" style="6" customWidth="1"/>
    <col min="4097" max="4097" width="11.33203125" style="6" customWidth="1"/>
    <col min="4098" max="4098" width="12.33203125" style="6" customWidth="1"/>
    <col min="4099" max="4099" width="12.44140625" style="6" customWidth="1"/>
    <col min="4100" max="4100" width="12.6640625" style="6" customWidth="1"/>
    <col min="4101" max="4102" width="10.88671875" style="6" customWidth="1"/>
    <col min="4103" max="4344" width="9.109375" style="6"/>
    <col min="4345" max="4345" width="24.88671875" style="6" customWidth="1"/>
    <col min="4346" max="4350" width="14.44140625" style="6" customWidth="1"/>
    <col min="4351" max="4351" width="12.6640625" style="6" customWidth="1"/>
    <col min="4352" max="4352" width="13.5546875" style="6" customWidth="1"/>
    <col min="4353" max="4353" width="11.33203125" style="6" customWidth="1"/>
    <col min="4354" max="4354" width="12.33203125" style="6" customWidth="1"/>
    <col min="4355" max="4355" width="12.44140625" style="6" customWidth="1"/>
    <col min="4356" max="4356" width="12.6640625" style="6" customWidth="1"/>
    <col min="4357" max="4358" width="10.88671875" style="6" customWidth="1"/>
    <col min="4359" max="4600" width="9.109375" style="6"/>
    <col min="4601" max="4601" width="24.88671875" style="6" customWidth="1"/>
    <col min="4602" max="4606" width="14.44140625" style="6" customWidth="1"/>
    <col min="4607" max="4607" width="12.6640625" style="6" customWidth="1"/>
    <col min="4608" max="4608" width="13.5546875" style="6" customWidth="1"/>
    <col min="4609" max="4609" width="11.33203125" style="6" customWidth="1"/>
    <col min="4610" max="4610" width="12.33203125" style="6" customWidth="1"/>
    <col min="4611" max="4611" width="12.44140625" style="6" customWidth="1"/>
    <col min="4612" max="4612" width="12.6640625" style="6" customWidth="1"/>
    <col min="4613" max="4614" width="10.88671875" style="6" customWidth="1"/>
    <col min="4615" max="4856" width="9.109375" style="6"/>
    <col min="4857" max="4857" width="24.88671875" style="6" customWidth="1"/>
    <col min="4858" max="4862" width="14.44140625" style="6" customWidth="1"/>
    <col min="4863" max="4863" width="12.6640625" style="6" customWidth="1"/>
    <col min="4864" max="4864" width="13.5546875" style="6" customWidth="1"/>
    <col min="4865" max="4865" width="11.33203125" style="6" customWidth="1"/>
    <col min="4866" max="4866" width="12.33203125" style="6" customWidth="1"/>
    <col min="4867" max="4867" width="12.44140625" style="6" customWidth="1"/>
    <col min="4868" max="4868" width="12.6640625" style="6" customWidth="1"/>
    <col min="4869" max="4870" width="10.88671875" style="6" customWidth="1"/>
    <col min="4871" max="5112" width="9.109375" style="6"/>
    <col min="5113" max="5113" width="24.88671875" style="6" customWidth="1"/>
    <col min="5114" max="5118" width="14.44140625" style="6" customWidth="1"/>
    <col min="5119" max="5119" width="12.6640625" style="6" customWidth="1"/>
    <col min="5120" max="5120" width="13.5546875" style="6" customWidth="1"/>
    <col min="5121" max="5121" width="11.33203125" style="6" customWidth="1"/>
    <col min="5122" max="5122" width="12.33203125" style="6" customWidth="1"/>
    <col min="5123" max="5123" width="12.44140625" style="6" customWidth="1"/>
    <col min="5124" max="5124" width="12.6640625" style="6" customWidth="1"/>
    <col min="5125" max="5126" width="10.88671875" style="6" customWidth="1"/>
    <col min="5127" max="5368" width="9.109375" style="6"/>
    <col min="5369" max="5369" width="24.88671875" style="6" customWidth="1"/>
    <col min="5370" max="5374" width="14.44140625" style="6" customWidth="1"/>
    <col min="5375" max="5375" width="12.6640625" style="6" customWidth="1"/>
    <col min="5376" max="5376" width="13.5546875" style="6" customWidth="1"/>
    <col min="5377" max="5377" width="11.33203125" style="6" customWidth="1"/>
    <col min="5378" max="5378" width="12.33203125" style="6" customWidth="1"/>
    <col min="5379" max="5379" width="12.44140625" style="6" customWidth="1"/>
    <col min="5380" max="5380" width="12.6640625" style="6" customWidth="1"/>
    <col min="5381" max="5382" width="10.88671875" style="6" customWidth="1"/>
    <col min="5383" max="5624" width="9.109375" style="6"/>
    <col min="5625" max="5625" width="24.88671875" style="6" customWidth="1"/>
    <col min="5626" max="5630" width="14.44140625" style="6" customWidth="1"/>
    <col min="5631" max="5631" width="12.6640625" style="6" customWidth="1"/>
    <col min="5632" max="5632" width="13.5546875" style="6" customWidth="1"/>
    <col min="5633" max="5633" width="11.33203125" style="6" customWidth="1"/>
    <col min="5634" max="5634" width="12.33203125" style="6" customWidth="1"/>
    <col min="5635" max="5635" width="12.44140625" style="6" customWidth="1"/>
    <col min="5636" max="5636" width="12.6640625" style="6" customWidth="1"/>
    <col min="5637" max="5638" width="10.88671875" style="6" customWidth="1"/>
    <col min="5639" max="5880" width="9.109375" style="6"/>
    <col min="5881" max="5881" width="24.88671875" style="6" customWidth="1"/>
    <col min="5882" max="5886" width="14.44140625" style="6" customWidth="1"/>
    <col min="5887" max="5887" width="12.6640625" style="6" customWidth="1"/>
    <col min="5888" max="5888" width="13.5546875" style="6" customWidth="1"/>
    <col min="5889" max="5889" width="11.33203125" style="6" customWidth="1"/>
    <col min="5890" max="5890" width="12.33203125" style="6" customWidth="1"/>
    <col min="5891" max="5891" width="12.44140625" style="6" customWidth="1"/>
    <col min="5892" max="5892" width="12.6640625" style="6" customWidth="1"/>
    <col min="5893" max="5894" width="10.88671875" style="6" customWidth="1"/>
    <col min="5895" max="6136" width="9.109375" style="6"/>
    <col min="6137" max="6137" width="24.88671875" style="6" customWidth="1"/>
    <col min="6138" max="6142" width="14.44140625" style="6" customWidth="1"/>
    <col min="6143" max="6143" width="12.6640625" style="6" customWidth="1"/>
    <col min="6144" max="6144" width="13.5546875" style="6" customWidth="1"/>
    <col min="6145" max="6145" width="11.33203125" style="6" customWidth="1"/>
    <col min="6146" max="6146" width="12.33203125" style="6" customWidth="1"/>
    <col min="6147" max="6147" width="12.44140625" style="6" customWidth="1"/>
    <col min="6148" max="6148" width="12.6640625" style="6" customWidth="1"/>
    <col min="6149" max="6150" width="10.88671875" style="6" customWidth="1"/>
    <col min="6151" max="6392" width="9.109375" style="6"/>
    <col min="6393" max="6393" width="24.88671875" style="6" customWidth="1"/>
    <col min="6394" max="6398" width="14.44140625" style="6" customWidth="1"/>
    <col min="6399" max="6399" width="12.6640625" style="6" customWidth="1"/>
    <col min="6400" max="6400" width="13.5546875" style="6" customWidth="1"/>
    <col min="6401" max="6401" width="11.33203125" style="6" customWidth="1"/>
    <col min="6402" max="6402" width="12.33203125" style="6" customWidth="1"/>
    <col min="6403" max="6403" width="12.44140625" style="6" customWidth="1"/>
    <col min="6404" max="6404" width="12.6640625" style="6" customWidth="1"/>
    <col min="6405" max="6406" width="10.88671875" style="6" customWidth="1"/>
    <col min="6407" max="6648" width="9.109375" style="6"/>
    <col min="6649" max="6649" width="24.88671875" style="6" customWidth="1"/>
    <col min="6650" max="6654" width="14.44140625" style="6" customWidth="1"/>
    <col min="6655" max="6655" width="12.6640625" style="6" customWidth="1"/>
    <col min="6656" max="6656" width="13.5546875" style="6" customWidth="1"/>
    <col min="6657" max="6657" width="11.33203125" style="6" customWidth="1"/>
    <col min="6658" max="6658" width="12.33203125" style="6" customWidth="1"/>
    <col min="6659" max="6659" width="12.44140625" style="6" customWidth="1"/>
    <col min="6660" max="6660" width="12.6640625" style="6" customWidth="1"/>
    <col min="6661" max="6662" width="10.88671875" style="6" customWidth="1"/>
    <col min="6663" max="6904" width="9.109375" style="6"/>
    <col min="6905" max="6905" width="24.88671875" style="6" customWidth="1"/>
    <col min="6906" max="6910" width="14.44140625" style="6" customWidth="1"/>
    <col min="6911" max="6911" width="12.6640625" style="6" customWidth="1"/>
    <col min="6912" max="6912" width="13.5546875" style="6" customWidth="1"/>
    <col min="6913" max="6913" width="11.33203125" style="6" customWidth="1"/>
    <col min="6914" max="6914" width="12.33203125" style="6" customWidth="1"/>
    <col min="6915" max="6915" width="12.44140625" style="6" customWidth="1"/>
    <col min="6916" max="6916" width="12.6640625" style="6" customWidth="1"/>
    <col min="6917" max="6918" width="10.88671875" style="6" customWidth="1"/>
    <col min="6919" max="7160" width="9.109375" style="6"/>
    <col min="7161" max="7161" width="24.88671875" style="6" customWidth="1"/>
    <col min="7162" max="7166" width="14.44140625" style="6" customWidth="1"/>
    <col min="7167" max="7167" width="12.6640625" style="6" customWidth="1"/>
    <col min="7168" max="7168" width="13.5546875" style="6" customWidth="1"/>
    <col min="7169" max="7169" width="11.33203125" style="6" customWidth="1"/>
    <col min="7170" max="7170" width="12.33203125" style="6" customWidth="1"/>
    <col min="7171" max="7171" width="12.44140625" style="6" customWidth="1"/>
    <col min="7172" max="7172" width="12.6640625" style="6" customWidth="1"/>
    <col min="7173" max="7174" width="10.88671875" style="6" customWidth="1"/>
    <col min="7175" max="7416" width="9.109375" style="6"/>
    <col min="7417" max="7417" width="24.88671875" style="6" customWidth="1"/>
    <col min="7418" max="7422" width="14.44140625" style="6" customWidth="1"/>
    <col min="7423" max="7423" width="12.6640625" style="6" customWidth="1"/>
    <col min="7424" max="7424" width="13.5546875" style="6" customWidth="1"/>
    <col min="7425" max="7425" width="11.33203125" style="6" customWidth="1"/>
    <col min="7426" max="7426" width="12.33203125" style="6" customWidth="1"/>
    <col min="7427" max="7427" width="12.44140625" style="6" customWidth="1"/>
    <col min="7428" max="7428" width="12.6640625" style="6" customWidth="1"/>
    <col min="7429" max="7430" width="10.88671875" style="6" customWidth="1"/>
    <col min="7431" max="7672" width="9.109375" style="6"/>
    <col min="7673" max="7673" width="24.88671875" style="6" customWidth="1"/>
    <col min="7674" max="7678" width="14.44140625" style="6" customWidth="1"/>
    <col min="7679" max="7679" width="12.6640625" style="6" customWidth="1"/>
    <col min="7680" max="7680" width="13.5546875" style="6" customWidth="1"/>
    <col min="7681" max="7681" width="11.33203125" style="6" customWidth="1"/>
    <col min="7682" max="7682" width="12.33203125" style="6" customWidth="1"/>
    <col min="7683" max="7683" width="12.44140625" style="6" customWidth="1"/>
    <col min="7684" max="7684" width="12.6640625" style="6" customWidth="1"/>
    <col min="7685" max="7686" width="10.88671875" style="6" customWidth="1"/>
    <col min="7687" max="7928" width="9.109375" style="6"/>
    <col min="7929" max="7929" width="24.88671875" style="6" customWidth="1"/>
    <col min="7930" max="7934" width="14.44140625" style="6" customWidth="1"/>
    <col min="7935" max="7935" width="12.6640625" style="6" customWidth="1"/>
    <col min="7936" max="7936" width="13.5546875" style="6" customWidth="1"/>
    <col min="7937" max="7937" width="11.33203125" style="6" customWidth="1"/>
    <col min="7938" max="7938" width="12.33203125" style="6" customWidth="1"/>
    <col min="7939" max="7939" width="12.44140625" style="6" customWidth="1"/>
    <col min="7940" max="7940" width="12.6640625" style="6" customWidth="1"/>
    <col min="7941" max="7942" width="10.88671875" style="6" customWidth="1"/>
    <col min="7943" max="8184" width="9.109375" style="6"/>
    <col min="8185" max="8185" width="24.88671875" style="6" customWidth="1"/>
    <col min="8186" max="8190" width="14.44140625" style="6" customWidth="1"/>
    <col min="8191" max="8191" width="12.6640625" style="6" customWidth="1"/>
    <col min="8192" max="8192" width="13.5546875" style="6" customWidth="1"/>
    <col min="8193" max="8193" width="11.33203125" style="6" customWidth="1"/>
    <col min="8194" max="8194" width="12.33203125" style="6" customWidth="1"/>
    <col min="8195" max="8195" width="12.44140625" style="6" customWidth="1"/>
    <col min="8196" max="8196" width="12.6640625" style="6" customWidth="1"/>
    <col min="8197" max="8198" width="10.88671875" style="6" customWidth="1"/>
    <col min="8199" max="8440" width="9.109375" style="6"/>
    <col min="8441" max="8441" width="24.88671875" style="6" customWidth="1"/>
    <col min="8442" max="8446" width="14.44140625" style="6" customWidth="1"/>
    <col min="8447" max="8447" width="12.6640625" style="6" customWidth="1"/>
    <col min="8448" max="8448" width="13.5546875" style="6" customWidth="1"/>
    <col min="8449" max="8449" width="11.33203125" style="6" customWidth="1"/>
    <col min="8450" max="8450" width="12.33203125" style="6" customWidth="1"/>
    <col min="8451" max="8451" width="12.44140625" style="6" customWidth="1"/>
    <col min="8452" max="8452" width="12.6640625" style="6" customWidth="1"/>
    <col min="8453" max="8454" width="10.88671875" style="6" customWidth="1"/>
    <col min="8455" max="8696" width="9.109375" style="6"/>
    <col min="8697" max="8697" width="24.88671875" style="6" customWidth="1"/>
    <col min="8698" max="8702" width="14.44140625" style="6" customWidth="1"/>
    <col min="8703" max="8703" width="12.6640625" style="6" customWidth="1"/>
    <col min="8704" max="8704" width="13.5546875" style="6" customWidth="1"/>
    <col min="8705" max="8705" width="11.33203125" style="6" customWidth="1"/>
    <col min="8706" max="8706" width="12.33203125" style="6" customWidth="1"/>
    <col min="8707" max="8707" width="12.44140625" style="6" customWidth="1"/>
    <col min="8708" max="8708" width="12.6640625" style="6" customWidth="1"/>
    <col min="8709" max="8710" width="10.88671875" style="6" customWidth="1"/>
    <col min="8711" max="8952" width="9.109375" style="6"/>
    <col min="8953" max="8953" width="24.88671875" style="6" customWidth="1"/>
    <col min="8954" max="8958" width="14.44140625" style="6" customWidth="1"/>
    <col min="8959" max="8959" width="12.6640625" style="6" customWidth="1"/>
    <col min="8960" max="8960" width="13.5546875" style="6" customWidth="1"/>
    <col min="8961" max="8961" width="11.33203125" style="6" customWidth="1"/>
    <col min="8962" max="8962" width="12.33203125" style="6" customWidth="1"/>
    <col min="8963" max="8963" width="12.44140625" style="6" customWidth="1"/>
    <col min="8964" max="8964" width="12.6640625" style="6" customWidth="1"/>
    <col min="8965" max="8966" width="10.88671875" style="6" customWidth="1"/>
    <col min="8967" max="9208" width="9.109375" style="6"/>
    <col min="9209" max="9209" width="24.88671875" style="6" customWidth="1"/>
    <col min="9210" max="9214" width="14.44140625" style="6" customWidth="1"/>
    <col min="9215" max="9215" width="12.6640625" style="6" customWidth="1"/>
    <col min="9216" max="9216" width="13.5546875" style="6" customWidth="1"/>
    <col min="9217" max="9217" width="11.33203125" style="6" customWidth="1"/>
    <col min="9218" max="9218" width="12.33203125" style="6" customWidth="1"/>
    <col min="9219" max="9219" width="12.44140625" style="6" customWidth="1"/>
    <col min="9220" max="9220" width="12.6640625" style="6" customWidth="1"/>
    <col min="9221" max="9222" width="10.88671875" style="6" customWidth="1"/>
    <col min="9223" max="9464" width="9.109375" style="6"/>
    <col min="9465" max="9465" width="24.88671875" style="6" customWidth="1"/>
    <col min="9466" max="9470" width="14.44140625" style="6" customWidth="1"/>
    <col min="9471" max="9471" width="12.6640625" style="6" customWidth="1"/>
    <col min="9472" max="9472" width="13.5546875" style="6" customWidth="1"/>
    <col min="9473" max="9473" width="11.33203125" style="6" customWidth="1"/>
    <col min="9474" max="9474" width="12.33203125" style="6" customWidth="1"/>
    <col min="9475" max="9475" width="12.44140625" style="6" customWidth="1"/>
    <col min="9476" max="9476" width="12.6640625" style="6" customWidth="1"/>
    <col min="9477" max="9478" width="10.88671875" style="6" customWidth="1"/>
    <col min="9479" max="9720" width="9.109375" style="6"/>
    <col min="9721" max="9721" width="24.88671875" style="6" customWidth="1"/>
    <col min="9722" max="9726" width="14.44140625" style="6" customWidth="1"/>
    <col min="9727" max="9727" width="12.6640625" style="6" customWidth="1"/>
    <col min="9728" max="9728" width="13.5546875" style="6" customWidth="1"/>
    <col min="9729" max="9729" width="11.33203125" style="6" customWidth="1"/>
    <col min="9730" max="9730" width="12.33203125" style="6" customWidth="1"/>
    <col min="9731" max="9731" width="12.44140625" style="6" customWidth="1"/>
    <col min="9732" max="9732" width="12.6640625" style="6" customWidth="1"/>
    <col min="9733" max="9734" width="10.88671875" style="6" customWidth="1"/>
    <col min="9735" max="9976" width="9.109375" style="6"/>
    <col min="9977" max="9977" width="24.88671875" style="6" customWidth="1"/>
    <col min="9978" max="9982" width="14.44140625" style="6" customWidth="1"/>
    <col min="9983" max="9983" width="12.6640625" style="6" customWidth="1"/>
    <col min="9984" max="9984" width="13.5546875" style="6" customWidth="1"/>
    <col min="9985" max="9985" width="11.33203125" style="6" customWidth="1"/>
    <col min="9986" max="9986" width="12.33203125" style="6" customWidth="1"/>
    <col min="9987" max="9987" width="12.44140625" style="6" customWidth="1"/>
    <col min="9988" max="9988" width="12.6640625" style="6" customWidth="1"/>
    <col min="9989" max="9990" width="10.88671875" style="6" customWidth="1"/>
    <col min="9991" max="10232" width="9.109375" style="6"/>
    <col min="10233" max="10233" width="24.88671875" style="6" customWidth="1"/>
    <col min="10234" max="10238" width="14.44140625" style="6" customWidth="1"/>
    <col min="10239" max="10239" width="12.6640625" style="6" customWidth="1"/>
    <col min="10240" max="10240" width="13.5546875" style="6" customWidth="1"/>
    <col min="10241" max="10241" width="11.33203125" style="6" customWidth="1"/>
    <col min="10242" max="10242" width="12.33203125" style="6" customWidth="1"/>
    <col min="10243" max="10243" width="12.44140625" style="6" customWidth="1"/>
    <col min="10244" max="10244" width="12.6640625" style="6" customWidth="1"/>
    <col min="10245" max="10246" width="10.88671875" style="6" customWidth="1"/>
    <col min="10247" max="10488" width="9.109375" style="6"/>
    <col min="10489" max="10489" width="24.88671875" style="6" customWidth="1"/>
    <col min="10490" max="10494" width="14.44140625" style="6" customWidth="1"/>
    <col min="10495" max="10495" width="12.6640625" style="6" customWidth="1"/>
    <col min="10496" max="10496" width="13.5546875" style="6" customWidth="1"/>
    <col min="10497" max="10497" width="11.33203125" style="6" customWidth="1"/>
    <col min="10498" max="10498" width="12.33203125" style="6" customWidth="1"/>
    <col min="10499" max="10499" width="12.44140625" style="6" customWidth="1"/>
    <col min="10500" max="10500" width="12.6640625" style="6" customWidth="1"/>
    <col min="10501" max="10502" width="10.88671875" style="6" customWidth="1"/>
    <col min="10503" max="10744" width="9.109375" style="6"/>
    <col min="10745" max="10745" width="24.88671875" style="6" customWidth="1"/>
    <col min="10746" max="10750" width="14.44140625" style="6" customWidth="1"/>
    <col min="10751" max="10751" width="12.6640625" style="6" customWidth="1"/>
    <col min="10752" max="10752" width="13.5546875" style="6" customWidth="1"/>
    <col min="10753" max="10753" width="11.33203125" style="6" customWidth="1"/>
    <col min="10754" max="10754" width="12.33203125" style="6" customWidth="1"/>
    <col min="10755" max="10755" width="12.44140625" style="6" customWidth="1"/>
    <col min="10756" max="10756" width="12.6640625" style="6" customWidth="1"/>
    <col min="10757" max="10758" width="10.88671875" style="6" customWidth="1"/>
    <col min="10759" max="11000" width="9.109375" style="6"/>
    <col min="11001" max="11001" width="24.88671875" style="6" customWidth="1"/>
    <col min="11002" max="11006" width="14.44140625" style="6" customWidth="1"/>
    <col min="11007" max="11007" width="12.6640625" style="6" customWidth="1"/>
    <col min="11008" max="11008" width="13.5546875" style="6" customWidth="1"/>
    <col min="11009" max="11009" width="11.33203125" style="6" customWidth="1"/>
    <col min="11010" max="11010" width="12.33203125" style="6" customWidth="1"/>
    <col min="11011" max="11011" width="12.44140625" style="6" customWidth="1"/>
    <col min="11012" max="11012" width="12.6640625" style="6" customWidth="1"/>
    <col min="11013" max="11014" width="10.88671875" style="6" customWidth="1"/>
    <col min="11015" max="11256" width="9.109375" style="6"/>
    <col min="11257" max="11257" width="24.88671875" style="6" customWidth="1"/>
    <col min="11258" max="11262" width="14.44140625" style="6" customWidth="1"/>
    <col min="11263" max="11263" width="12.6640625" style="6" customWidth="1"/>
    <col min="11264" max="11264" width="13.5546875" style="6" customWidth="1"/>
    <col min="11265" max="11265" width="11.33203125" style="6" customWidth="1"/>
    <col min="11266" max="11266" width="12.33203125" style="6" customWidth="1"/>
    <col min="11267" max="11267" width="12.44140625" style="6" customWidth="1"/>
    <col min="11268" max="11268" width="12.6640625" style="6" customWidth="1"/>
    <col min="11269" max="11270" width="10.88671875" style="6" customWidth="1"/>
    <col min="11271" max="11512" width="9.109375" style="6"/>
    <col min="11513" max="11513" width="24.88671875" style="6" customWidth="1"/>
    <col min="11514" max="11518" width="14.44140625" style="6" customWidth="1"/>
    <col min="11519" max="11519" width="12.6640625" style="6" customWidth="1"/>
    <col min="11520" max="11520" width="13.5546875" style="6" customWidth="1"/>
    <col min="11521" max="11521" width="11.33203125" style="6" customWidth="1"/>
    <col min="11522" max="11522" width="12.33203125" style="6" customWidth="1"/>
    <col min="11523" max="11523" width="12.44140625" style="6" customWidth="1"/>
    <col min="11524" max="11524" width="12.6640625" style="6" customWidth="1"/>
    <col min="11525" max="11526" width="10.88671875" style="6" customWidth="1"/>
    <col min="11527" max="11768" width="9.109375" style="6"/>
    <col min="11769" max="11769" width="24.88671875" style="6" customWidth="1"/>
    <col min="11770" max="11774" width="14.44140625" style="6" customWidth="1"/>
    <col min="11775" max="11775" width="12.6640625" style="6" customWidth="1"/>
    <col min="11776" max="11776" width="13.5546875" style="6" customWidth="1"/>
    <col min="11777" max="11777" width="11.33203125" style="6" customWidth="1"/>
    <col min="11778" max="11778" width="12.33203125" style="6" customWidth="1"/>
    <col min="11779" max="11779" width="12.44140625" style="6" customWidth="1"/>
    <col min="11780" max="11780" width="12.6640625" style="6" customWidth="1"/>
    <col min="11781" max="11782" width="10.88671875" style="6" customWidth="1"/>
    <col min="11783" max="12024" width="9.109375" style="6"/>
    <col min="12025" max="12025" width="24.88671875" style="6" customWidth="1"/>
    <col min="12026" max="12030" width="14.44140625" style="6" customWidth="1"/>
    <col min="12031" max="12031" width="12.6640625" style="6" customWidth="1"/>
    <col min="12032" max="12032" width="13.5546875" style="6" customWidth="1"/>
    <col min="12033" max="12033" width="11.33203125" style="6" customWidth="1"/>
    <col min="12034" max="12034" width="12.33203125" style="6" customWidth="1"/>
    <col min="12035" max="12035" width="12.44140625" style="6" customWidth="1"/>
    <col min="12036" max="12036" width="12.6640625" style="6" customWidth="1"/>
    <col min="12037" max="12038" width="10.88671875" style="6" customWidth="1"/>
    <col min="12039" max="12280" width="9.109375" style="6"/>
    <col min="12281" max="12281" width="24.88671875" style="6" customWidth="1"/>
    <col min="12282" max="12286" width="14.44140625" style="6" customWidth="1"/>
    <col min="12287" max="12287" width="12.6640625" style="6" customWidth="1"/>
    <col min="12288" max="12288" width="13.5546875" style="6" customWidth="1"/>
    <col min="12289" max="12289" width="11.33203125" style="6" customWidth="1"/>
    <col min="12290" max="12290" width="12.33203125" style="6" customWidth="1"/>
    <col min="12291" max="12291" width="12.44140625" style="6" customWidth="1"/>
    <col min="12292" max="12292" width="12.6640625" style="6" customWidth="1"/>
    <col min="12293" max="12294" width="10.88671875" style="6" customWidth="1"/>
    <col min="12295" max="12536" width="9.109375" style="6"/>
    <col min="12537" max="12537" width="24.88671875" style="6" customWidth="1"/>
    <col min="12538" max="12542" width="14.44140625" style="6" customWidth="1"/>
    <col min="12543" max="12543" width="12.6640625" style="6" customWidth="1"/>
    <col min="12544" max="12544" width="13.5546875" style="6" customWidth="1"/>
    <col min="12545" max="12545" width="11.33203125" style="6" customWidth="1"/>
    <col min="12546" max="12546" width="12.33203125" style="6" customWidth="1"/>
    <col min="12547" max="12547" width="12.44140625" style="6" customWidth="1"/>
    <col min="12548" max="12548" width="12.6640625" style="6" customWidth="1"/>
    <col min="12549" max="12550" width="10.88671875" style="6" customWidth="1"/>
    <col min="12551" max="12792" width="9.109375" style="6"/>
    <col min="12793" max="12793" width="24.88671875" style="6" customWidth="1"/>
    <col min="12794" max="12798" width="14.44140625" style="6" customWidth="1"/>
    <col min="12799" max="12799" width="12.6640625" style="6" customWidth="1"/>
    <col min="12800" max="12800" width="13.5546875" style="6" customWidth="1"/>
    <col min="12801" max="12801" width="11.33203125" style="6" customWidth="1"/>
    <col min="12802" max="12802" width="12.33203125" style="6" customWidth="1"/>
    <col min="12803" max="12803" width="12.44140625" style="6" customWidth="1"/>
    <col min="12804" max="12804" width="12.6640625" style="6" customWidth="1"/>
    <col min="12805" max="12806" width="10.88671875" style="6" customWidth="1"/>
    <col min="12807" max="13048" width="9.109375" style="6"/>
    <col min="13049" max="13049" width="24.88671875" style="6" customWidth="1"/>
    <col min="13050" max="13054" width="14.44140625" style="6" customWidth="1"/>
    <col min="13055" max="13055" width="12.6640625" style="6" customWidth="1"/>
    <col min="13056" max="13056" width="13.5546875" style="6" customWidth="1"/>
    <col min="13057" max="13057" width="11.33203125" style="6" customWidth="1"/>
    <col min="13058" max="13058" width="12.33203125" style="6" customWidth="1"/>
    <col min="13059" max="13059" width="12.44140625" style="6" customWidth="1"/>
    <col min="13060" max="13060" width="12.6640625" style="6" customWidth="1"/>
    <col min="13061" max="13062" width="10.88671875" style="6" customWidth="1"/>
    <col min="13063" max="13304" width="9.109375" style="6"/>
    <col min="13305" max="13305" width="24.88671875" style="6" customWidth="1"/>
    <col min="13306" max="13310" width="14.44140625" style="6" customWidth="1"/>
    <col min="13311" max="13311" width="12.6640625" style="6" customWidth="1"/>
    <col min="13312" max="13312" width="13.5546875" style="6" customWidth="1"/>
    <col min="13313" max="13313" width="11.33203125" style="6" customWidth="1"/>
    <col min="13314" max="13314" width="12.33203125" style="6" customWidth="1"/>
    <col min="13315" max="13315" width="12.44140625" style="6" customWidth="1"/>
    <col min="13316" max="13316" width="12.6640625" style="6" customWidth="1"/>
    <col min="13317" max="13318" width="10.88671875" style="6" customWidth="1"/>
    <col min="13319" max="13560" width="9.109375" style="6"/>
    <col min="13561" max="13561" width="24.88671875" style="6" customWidth="1"/>
    <col min="13562" max="13566" width="14.44140625" style="6" customWidth="1"/>
    <col min="13567" max="13567" width="12.6640625" style="6" customWidth="1"/>
    <col min="13568" max="13568" width="13.5546875" style="6" customWidth="1"/>
    <col min="13569" max="13569" width="11.33203125" style="6" customWidth="1"/>
    <col min="13570" max="13570" width="12.33203125" style="6" customWidth="1"/>
    <col min="13571" max="13571" width="12.44140625" style="6" customWidth="1"/>
    <col min="13572" max="13572" width="12.6640625" style="6" customWidth="1"/>
    <col min="13573" max="13574" width="10.88671875" style="6" customWidth="1"/>
    <col min="13575" max="13816" width="9.109375" style="6"/>
    <col min="13817" max="13817" width="24.88671875" style="6" customWidth="1"/>
    <col min="13818" max="13822" width="14.44140625" style="6" customWidth="1"/>
    <col min="13823" max="13823" width="12.6640625" style="6" customWidth="1"/>
    <col min="13824" max="13824" width="13.5546875" style="6" customWidth="1"/>
    <col min="13825" max="13825" width="11.33203125" style="6" customWidth="1"/>
    <col min="13826" max="13826" width="12.33203125" style="6" customWidth="1"/>
    <col min="13827" max="13827" width="12.44140625" style="6" customWidth="1"/>
    <col min="13828" max="13828" width="12.6640625" style="6" customWidth="1"/>
    <col min="13829" max="13830" width="10.88671875" style="6" customWidth="1"/>
    <col min="13831" max="14072" width="9.109375" style="6"/>
    <col min="14073" max="14073" width="24.88671875" style="6" customWidth="1"/>
    <col min="14074" max="14078" width="14.44140625" style="6" customWidth="1"/>
    <col min="14079" max="14079" width="12.6640625" style="6" customWidth="1"/>
    <col min="14080" max="14080" width="13.5546875" style="6" customWidth="1"/>
    <col min="14081" max="14081" width="11.33203125" style="6" customWidth="1"/>
    <col min="14082" max="14082" width="12.33203125" style="6" customWidth="1"/>
    <col min="14083" max="14083" width="12.44140625" style="6" customWidth="1"/>
    <col min="14084" max="14084" width="12.6640625" style="6" customWidth="1"/>
    <col min="14085" max="14086" width="10.88671875" style="6" customWidth="1"/>
    <col min="14087" max="14328" width="9.109375" style="6"/>
    <col min="14329" max="14329" width="24.88671875" style="6" customWidth="1"/>
    <col min="14330" max="14334" width="14.44140625" style="6" customWidth="1"/>
    <col min="14335" max="14335" width="12.6640625" style="6" customWidth="1"/>
    <col min="14336" max="14336" width="13.5546875" style="6" customWidth="1"/>
    <col min="14337" max="14337" width="11.33203125" style="6" customWidth="1"/>
    <col min="14338" max="14338" width="12.33203125" style="6" customWidth="1"/>
    <col min="14339" max="14339" width="12.44140625" style="6" customWidth="1"/>
    <col min="14340" max="14340" width="12.6640625" style="6" customWidth="1"/>
    <col min="14341" max="14342" width="10.88671875" style="6" customWidth="1"/>
    <col min="14343" max="14584" width="9.109375" style="6"/>
    <col min="14585" max="14585" width="24.88671875" style="6" customWidth="1"/>
    <col min="14586" max="14590" width="14.44140625" style="6" customWidth="1"/>
    <col min="14591" max="14591" width="12.6640625" style="6" customWidth="1"/>
    <col min="14592" max="14592" width="13.5546875" style="6" customWidth="1"/>
    <col min="14593" max="14593" width="11.33203125" style="6" customWidth="1"/>
    <col min="14594" max="14594" width="12.33203125" style="6" customWidth="1"/>
    <col min="14595" max="14595" width="12.44140625" style="6" customWidth="1"/>
    <col min="14596" max="14596" width="12.6640625" style="6" customWidth="1"/>
    <col min="14597" max="14598" width="10.88671875" style="6" customWidth="1"/>
    <col min="14599" max="14840" width="9.109375" style="6"/>
    <col min="14841" max="14841" width="24.88671875" style="6" customWidth="1"/>
    <col min="14842" max="14846" width="14.44140625" style="6" customWidth="1"/>
    <col min="14847" max="14847" width="12.6640625" style="6" customWidth="1"/>
    <col min="14848" max="14848" width="13.5546875" style="6" customWidth="1"/>
    <col min="14849" max="14849" width="11.33203125" style="6" customWidth="1"/>
    <col min="14850" max="14850" width="12.33203125" style="6" customWidth="1"/>
    <col min="14851" max="14851" width="12.44140625" style="6" customWidth="1"/>
    <col min="14852" max="14852" width="12.6640625" style="6" customWidth="1"/>
    <col min="14853" max="14854" width="10.88671875" style="6" customWidth="1"/>
    <col min="14855" max="15096" width="9.109375" style="6"/>
    <col min="15097" max="15097" width="24.88671875" style="6" customWidth="1"/>
    <col min="15098" max="15102" width="14.44140625" style="6" customWidth="1"/>
    <col min="15103" max="15103" width="12.6640625" style="6" customWidth="1"/>
    <col min="15104" max="15104" width="13.5546875" style="6" customWidth="1"/>
    <col min="15105" max="15105" width="11.33203125" style="6" customWidth="1"/>
    <col min="15106" max="15106" width="12.33203125" style="6" customWidth="1"/>
    <col min="15107" max="15107" width="12.44140625" style="6" customWidth="1"/>
    <col min="15108" max="15108" width="12.6640625" style="6" customWidth="1"/>
    <col min="15109" max="15110" width="10.88671875" style="6" customWidth="1"/>
    <col min="15111" max="15352" width="9.109375" style="6"/>
    <col min="15353" max="15353" width="24.88671875" style="6" customWidth="1"/>
    <col min="15354" max="15358" width="14.44140625" style="6" customWidth="1"/>
    <col min="15359" max="15359" width="12.6640625" style="6" customWidth="1"/>
    <col min="15360" max="15360" width="13.5546875" style="6" customWidth="1"/>
    <col min="15361" max="15361" width="11.33203125" style="6" customWidth="1"/>
    <col min="15362" max="15362" width="12.33203125" style="6" customWidth="1"/>
    <col min="15363" max="15363" width="12.44140625" style="6" customWidth="1"/>
    <col min="15364" max="15364" width="12.6640625" style="6" customWidth="1"/>
    <col min="15365" max="15366" width="10.88671875" style="6" customWidth="1"/>
    <col min="15367" max="15608" width="9.109375" style="6"/>
    <col min="15609" max="15609" width="24.88671875" style="6" customWidth="1"/>
    <col min="15610" max="15614" width="14.44140625" style="6" customWidth="1"/>
    <col min="15615" max="15615" width="12.6640625" style="6" customWidth="1"/>
    <col min="15616" max="15616" width="13.5546875" style="6" customWidth="1"/>
    <col min="15617" max="15617" width="11.33203125" style="6" customWidth="1"/>
    <col min="15618" max="15618" width="12.33203125" style="6" customWidth="1"/>
    <col min="15619" max="15619" width="12.44140625" style="6" customWidth="1"/>
    <col min="15620" max="15620" width="12.6640625" style="6" customWidth="1"/>
    <col min="15621" max="15622" width="10.88671875" style="6" customWidth="1"/>
    <col min="15623" max="15864" width="9.109375" style="6"/>
    <col min="15865" max="15865" width="24.88671875" style="6" customWidth="1"/>
    <col min="15866" max="15870" width="14.44140625" style="6" customWidth="1"/>
    <col min="15871" max="15871" width="12.6640625" style="6" customWidth="1"/>
    <col min="15872" max="15872" width="13.5546875" style="6" customWidth="1"/>
    <col min="15873" max="15873" width="11.33203125" style="6" customWidth="1"/>
    <col min="15874" max="15874" width="12.33203125" style="6" customWidth="1"/>
    <col min="15875" max="15875" width="12.44140625" style="6" customWidth="1"/>
    <col min="15876" max="15876" width="12.6640625" style="6" customWidth="1"/>
    <col min="15877" max="15878" width="10.88671875" style="6" customWidth="1"/>
    <col min="15879" max="16120" width="9.109375" style="6"/>
    <col min="16121" max="16121" width="24.88671875" style="6" customWidth="1"/>
    <col min="16122" max="16126" width="14.44140625" style="6" customWidth="1"/>
    <col min="16127" max="16127" width="12.6640625" style="6" customWidth="1"/>
    <col min="16128" max="16128" width="13.5546875" style="6" customWidth="1"/>
    <col min="16129" max="16129" width="11.33203125" style="6" customWidth="1"/>
    <col min="16130" max="16130" width="12.33203125" style="6" customWidth="1"/>
    <col min="16131" max="16131" width="12.44140625" style="6" customWidth="1"/>
    <col min="16132" max="16132" width="12.6640625" style="6" customWidth="1"/>
    <col min="16133" max="16134" width="10.88671875" style="6" customWidth="1"/>
    <col min="16135" max="16384" width="9.109375" style="6"/>
  </cols>
  <sheetData>
    <row r="1" spans="1:10" ht="46.5" customHeight="1" x14ac:dyDescent="0.3">
      <c r="A1" s="497" t="s">
        <v>186</v>
      </c>
      <c r="B1" s="497"/>
      <c r="C1" s="497"/>
      <c r="D1" s="497"/>
      <c r="E1" s="497"/>
      <c r="F1" s="497"/>
      <c r="G1" s="497"/>
      <c r="H1" s="497"/>
      <c r="I1" s="497"/>
    </row>
    <row r="2" spans="1:10" ht="77.25" customHeight="1" x14ac:dyDescent="0.3">
      <c r="A2" s="514" t="s">
        <v>25</v>
      </c>
      <c r="B2" s="514"/>
      <c r="C2" s="514"/>
      <c r="D2" s="514"/>
      <c r="E2" s="514"/>
      <c r="F2" s="514"/>
      <c r="G2" s="514"/>
      <c r="H2" s="514"/>
      <c r="I2" s="514"/>
    </row>
    <row r="3" spans="1:10" ht="189" customHeight="1" x14ac:dyDescent="0.3">
      <c r="A3" s="10" t="s">
        <v>22</v>
      </c>
      <c r="B3" s="7" t="s">
        <v>32</v>
      </c>
      <c r="C3" s="7" t="s">
        <v>35</v>
      </c>
      <c r="D3" s="7" t="s">
        <v>30</v>
      </c>
      <c r="E3" s="7" t="s">
        <v>36</v>
      </c>
      <c r="F3" s="7" t="s">
        <v>23</v>
      </c>
      <c r="G3" s="7" t="s">
        <v>31</v>
      </c>
      <c r="H3" s="14" t="s">
        <v>170</v>
      </c>
      <c r="I3" s="14" t="s">
        <v>29</v>
      </c>
    </row>
    <row r="4" spans="1:10" s="20" customFormat="1" ht="27" x14ac:dyDescent="0.3">
      <c r="A4" s="18">
        <v>1</v>
      </c>
      <c r="B4" s="18">
        <v>2</v>
      </c>
      <c r="C4" s="18">
        <v>3</v>
      </c>
      <c r="D4" s="18" t="s">
        <v>39</v>
      </c>
      <c r="E4" s="19" t="s">
        <v>38</v>
      </c>
      <c r="F4" s="18" t="s">
        <v>40</v>
      </c>
      <c r="G4" s="18" t="s">
        <v>43</v>
      </c>
      <c r="H4" s="19" t="s">
        <v>41</v>
      </c>
      <c r="I4" s="19" t="s">
        <v>42</v>
      </c>
    </row>
    <row r="5" spans="1:10" ht="18.75" customHeight="1" x14ac:dyDescent="0.3">
      <c r="A5" s="17" t="s">
        <v>26</v>
      </c>
      <c r="B5" s="10">
        <v>4</v>
      </c>
      <c r="C5" s="15">
        <f>3*39</f>
        <v>117</v>
      </c>
      <c r="D5" s="16">
        <f>C5*B5</f>
        <v>468</v>
      </c>
      <c r="E5" s="16">
        <f>B5*213.43</f>
        <v>853.72</v>
      </c>
      <c r="F5" s="16">
        <f>K20</f>
        <v>184.45</v>
      </c>
      <c r="G5" s="16">
        <f>F5*B5</f>
        <v>737.8</v>
      </c>
      <c r="H5" s="21">
        <f>I5/12</f>
        <v>171.62666666666667</v>
      </c>
      <c r="I5" s="21">
        <f>D5+E5+G5</f>
        <v>2059.52</v>
      </c>
    </row>
    <row r="6" spans="1:10" ht="18.75" customHeight="1" x14ac:dyDescent="0.3">
      <c r="A6" s="17" t="s">
        <v>27</v>
      </c>
      <c r="B6" s="10">
        <v>4</v>
      </c>
      <c r="C6" s="15">
        <v>117</v>
      </c>
      <c r="D6" s="16">
        <f>C6*B6</f>
        <v>468</v>
      </c>
      <c r="E6" s="16">
        <f>B6*213.43</f>
        <v>853.72</v>
      </c>
      <c r="F6" s="16">
        <f>K22</f>
        <v>184.45</v>
      </c>
      <c r="G6" s="16">
        <f>F6*B6</f>
        <v>737.8</v>
      </c>
      <c r="H6" s="21">
        <f>I6/12</f>
        <v>171.62666666666667</v>
      </c>
      <c r="I6" s="21">
        <f>D6+E6+G6</f>
        <v>2059.52</v>
      </c>
    </row>
    <row r="7" spans="1:10" ht="18.75" customHeight="1" x14ac:dyDescent="0.3">
      <c r="A7" s="17" t="s">
        <v>28</v>
      </c>
      <c r="B7" s="10">
        <v>1</v>
      </c>
      <c r="C7" s="15">
        <v>117</v>
      </c>
      <c r="D7" s="16">
        <f>C7*B7</f>
        <v>117</v>
      </c>
      <c r="E7" s="16">
        <f>B7*213.43</f>
        <v>213.43</v>
      </c>
      <c r="F7" s="16">
        <f>K21</f>
        <v>184.45</v>
      </c>
      <c r="G7" s="16">
        <f>F7*B7</f>
        <v>184.45</v>
      </c>
      <c r="H7" s="21">
        <f>I7/12</f>
        <v>42.906666666666666</v>
      </c>
      <c r="I7" s="21">
        <f>D7+E7+G7</f>
        <v>514.88</v>
      </c>
    </row>
    <row r="8" spans="1:10" s="8" customFormat="1" ht="15.6" x14ac:dyDescent="0.3">
      <c r="A8" s="11" t="s">
        <v>24</v>
      </c>
      <c r="B8" s="12" t="s">
        <v>11</v>
      </c>
      <c r="C8" s="13" t="s">
        <v>11</v>
      </c>
      <c r="D8" s="9">
        <f t="shared" ref="D8:I8" si="0">SUM(D5:D7)</f>
        <v>1053</v>
      </c>
      <c r="E8" s="9">
        <f t="shared" si="0"/>
        <v>1920.8700000000001</v>
      </c>
      <c r="F8" s="9">
        <f t="shared" si="0"/>
        <v>553.34999999999991</v>
      </c>
      <c r="G8" s="9">
        <f t="shared" si="0"/>
        <v>1660.05</v>
      </c>
      <c r="H8" s="9">
        <f t="shared" si="0"/>
        <v>386.15999999999997</v>
      </c>
      <c r="I8" s="9">
        <f t="shared" si="0"/>
        <v>4633.92</v>
      </c>
    </row>
    <row r="10" spans="1:10" ht="33" customHeight="1" x14ac:dyDescent="0.3">
      <c r="A10" s="513" t="s">
        <v>33</v>
      </c>
      <c r="B10" s="513"/>
      <c r="C10" s="513"/>
      <c r="D10" s="513"/>
      <c r="E10" s="513"/>
      <c r="F10" s="513"/>
      <c r="G10" s="513"/>
      <c r="H10" s="513"/>
      <c r="I10" s="513"/>
    </row>
    <row r="11" spans="1:10" ht="67.5" customHeight="1" x14ac:dyDescent="0.3">
      <c r="A11" s="510" t="s">
        <v>34</v>
      </c>
      <c r="B11" s="511"/>
      <c r="C11" s="511"/>
      <c r="D11" s="511"/>
      <c r="E11" s="511"/>
      <c r="F11" s="511"/>
      <c r="G11" s="511"/>
      <c r="H11" s="511"/>
      <c r="I11" s="512"/>
    </row>
    <row r="12" spans="1:10" ht="131.25" customHeight="1" x14ac:dyDescent="0.3">
      <c r="A12" s="513" t="s">
        <v>37</v>
      </c>
      <c r="B12" s="513"/>
      <c r="C12" s="513"/>
      <c r="D12" s="513"/>
      <c r="E12" s="513"/>
      <c r="F12" s="513"/>
      <c r="G12" s="513"/>
      <c r="H12" s="513"/>
      <c r="I12" s="513"/>
    </row>
    <row r="13" spans="1:10" ht="67.5" customHeight="1" x14ac:dyDescent="0.3">
      <c r="A13" s="513" t="s">
        <v>222</v>
      </c>
      <c r="B13" s="513"/>
      <c r="C13" s="513"/>
      <c r="D13" s="513"/>
      <c r="E13" s="513"/>
      <c r="F13" s="513"/>
      <c r="G13" s="513"/>
      <c r="H13" s="513"/>
      <c r="I13" s="513"/>
    </row>
    <row r="16" spans="1:10" customFormat="1" ht="18" thickBot="1" x14ac:dyDescent="0.35">
      <c r="A16" s="173"/>
      <c r="B16" s="478" t="s">
        <v>197</v>
      </c>
      <c r="C16" s="478"/>
      <c r="D16" s="478"/>
      <c r="E16" s="478"/>
      <c r="F16" s="478"/>
      <c r="G16" s="478"/>
      <c r="H16" s="478"/>
      <c r="I16" s="173"/>
      <c r="J16" s="173"/>
    </row>
    <row r="17" spans="1:11" customFormat="1" ht="45.75" customHeight="1" thickBot="1" x14ac:dyDescent="0.35">
      <c r="A17" s="504" t="s">
        <v>198</v>
      </c>
      <c r="B17" s="506" t="s">
        <v>216</v>
      </c>
      <c r="C17" s="508" t="s">
        <v>199</v>
      </c>
      <c r="D17" s="506" t="s">
        <v>200</v>
      </c>
      <c r="E17" s="506"/>
      <c r="F17" s="506" t="s">
        <v>201</v>
      </c>
      <c r="G17" s="506"/>
      <c r="H17" s="501" t="s">
        <v>202</v>
      </c>
      <c r="I17" s="502"/>
      <c r="J17" s="502"/>
      <c r="K17" s="503"/>
    </row>
    <row r="18" spans="1:11" customFormat="1" ht="52.5" customHeight="1" thickBot="1" x14ac:dyDescent="0.35">
      <c r="A18" s="505"/>
      <c r="B18" s="507"/>
      <c r="C18" s="509"/>
      <c r="D18" s="174" t="s">
        <v>203</v>
      </c>
      <c r="E18" s="174" t="s">
        <v>204</v>
      </c>
      <c r="F18" s="175" t="s">
        <v>205</v>
      </c>
      <c r="G18" s="175" t="s">
        <v>206</v>
      </c>
      <c r="H18" s="175" t="s">
        <v>205</v>
      </c>
      <c r="I18" s="176" t="s">
        <v>206</v>
      </c>
      <c r="J18" s="177" t="s">
        <v>220</v>
      </c>
      <c r="K18" s="177" t="s">
        <v>221</v>
      </c>
    </row>
    <row r="19" spans="1:11" customFormat="1" ht="20.25" customHeight="1" x14ac:dyDescent="0.3">
      <c r="A19" s="178">
        <v>1</v>
      </c>
      <c r="B19" s="179">
        <v>2</v>
      </c>
      <c r="C19" s="179" t="s">
        <v>207</v>
      </c>
      <c r="D19" s="180">
        <v>4</v>
      </c>
      <c r="E19" s="180">
        <v>5</v>
      </c>
      <c r="F19" s="179" t="s">
        <v>208</v>
      </c>
      <c r="G19" s="179" t="s">
        <v>209</v>
      </c>
      <c r="H19" s="179" t="s">
        <v>210</v>
      </c>
      <c r="I19" s="181" t="s">
        <v>211</v>
      </c>
      <c r="J19" s="194" t="s">
        <v>212</v>
      </c>
      <c r="K19" s="182">
        <v>11</v>
      </c>
    </row>
    <row r="20" spans="1:11" customFormat="1" ht="32.25" customHeight="1" x14ac:dyDescent="0.3">
      <c r="A20" s="183" t="s">
        <v>219</v>
      </c>
      <c r="B20" s="184">
        <v>18</v>
      </c>
      <c r="C20" s="184">
        <f>B20/3</f>
        <v>6</v>
      </c>
      <c r="D20" s="186">
        <v>30</v>
      </c>
      <c r="E20" s="187">
        <v>23</v>
      </c>
      <c r="F20" s="187">
        <f t="shared" ref="F20:G22" si="1">B20*D20</f>
        <v>540</v>
      </c>
      <c r="G20" s="187">
        <f t="shared" si="1"/>
        <v>138</v>
      </c>
      <c r="H20" s="187">
        <f>ROUND(F20*5%,2)</f>
        <v>27</v>
      </c>
      <c r="I20" s="190">
        <f>ROUND(G20*95%,2)</f>
        <v>131.1</v>
      </c>
      <c r="J20" s="195">
        <f>ROUND(H20+I20,2)</f>
        <v>158.1</v>
      </c>
      <c r="K20" s="191">
        <f>J20/B20*21</f>
        <v>184.45</v>
      </c>
    </row>
    <row r="21" spans="1:11" customFormat="1" ht="32.25" customHeight="1" x14ac:dyDescent="0.3">
      <c r="A21" s="183" t="s">
        <v>217</v>
      </c>
      <c r="B21" s="184">
        <v>18</v>
      </c>
      <c r="C21" s="184">
        <f>B21/3</f>
        <v>6</v>
      </c>
      <c r="D21" s="186">
        <v>30</v>
      </c>
      <c r="E21" s="187">
        <v>23</v>
      </c>
      <c r="F21" s="187">
        <f t="shared" si="1"/>
        <v>540</v>
      </c>
      <c r="G21" s="187">
        <f t="shared" si="1"/>
        <v>138</v>
      </c>
      <c r="H21" s="187">
        <f>ROUND(F21*5%,2)</f>
        <v>27</v>
      </c>
      <c r="I21" s="190">
        <f>ROUND(G21*95%,2)</f>
        <v>131.1</v>
      </c>
      <c r="J21" s="195">
        <f>ROUND(H21+I21,2)</f>
        <v>158.1</v>
      </c>
      <c r="K21" s="191">
        <f t="shared" ref="K21" si="2">J21/B21*21</f>
        <v>184.45</v>
      </c>
    </row>
    <row r="22" spans="1:11" customFormat="1" ht="32.25" customHeight="1" thickBot="1" x14ac:dyDescent="0.35">
      <c r="A22" s="185" t="s">
        <v>218</v>
      </c>
      <c r="B22" s="175">
        <v>9</v>
      </c>
      <c r="C22" s="175">
        <f>B22/3</f>
        <v>3</v>
      </c>
      <c r="D22" s="188">
        <v>30</v>
      </c>
      <c r="E22" s="189">
        <v>23</v>
      </c>
      <c r="F22" s="189">
        <f t="shared" si="1"/>
        <v>270</v>
      </c>
      <c r="G22" s="189">
        <f t="shared" si="1"/>
        <v>69</v>
      </c>
      <c r="H22" s="189">
        <f>ROUND(F22*5%,2)</f>
        <v>13.5</v>
      </c>
      <c r="I22" s="192">
        <f>ROUND(G22*95%,2)</f>
        <v>65.55</v>
      </c>
      <c r="J22" s="196">
        <f>ROUND(H22+I22,2)</f>
        <v>79.05</v>
      </c>
      <c r="K22" s="193">
        <f>J22/B22*21</f>
        <v>184.45</v>
      </c>
    </row>
    <row r="23" spans="1:11" customFormat="1" ht="15.6" x14ac:dyDescent="0.3">
      <c r="A23" s="498" t="s">
        <v>213</v>
      </c>
      <c r="B23" s="498"/>
      <c r="C23" s="498"/>
      <c r="D23" s="498"/>
      <c r="E23" s="498"/>
      <c r="F23" s="498"/>
      <c r="G23" s="498"/>
      <c r="H23" s="498"/>
      <c r="I23" s="498"/>
      <c r="J23" s="498"/>
    </row>
    <row r="24" spans="1:11" customFormat="1" ht="50.25" customHeight="1" x14ac:dyDescent="0.3">
      <c r="A24" s="499" t="s">
        <v>214</v>
      </c>
      <c r="B24" s="498"/>
      <c r="C24" s="498"/>
      <c r="D24" s="498"/>
      <c r="E24" s="498"/>
      <c r="F24" s="498"/>
      <c r="G24" s="498"/>
      <c r="H24" s="498"/>
      <c r="I24" s="498"/>
      <c r="J24" s="498"/>
    </row>
    <row r="25" spans="1:11" customFormat="1" ht="65.25" customHeight="1" x14ac:dyDescent="0.3">
      <c r="A25" s="500" t="s">
        <v>215</v>
      </c>
      <c r="B25" s="500"/>
      <c r="C25" s="500"/>
      <c r="D25" s="500"/>
      <c r="E25" s="500"/>
      <c r="F25" s="500"/>
      <c r="G25" s="500"/>
      <c r="H25" s="500"/>
      <c r="I25" s="500"/>
      <c r="J25" s="500"/>
    </row>
  </sheetData>
  <mergeCells count="16">
    <mergeCell ref="A1:I1"/>
    <mergeCell ref="A11:I11"/>
    <mergeCell ref="A12:I12"/>
    <mergeCell ref="A10:I10"/>
    <mergeCell ref="A13:I13"/>
    <mergeCell ref="A2:I2"/>
    <mergeCell ref="A23:J23"/>
    <mergeCell ref="A24:J24"/>
    <mergeCell ref="A25:J25"/>
    <mergeCell ref="H17:K17"/>
    <mergeCell ref="B16:H16"/>
    <mergeCell ref="A17:A18"/>
    <mergeCell ref="B17:B18"/>
    <mergeCell ref="C17:C18"/>
    <mergeCell ref="D17:E17"/>
    <mergeCell ref="F17:G17"/>
  </mergeCells>
  <pageMargins left="0.7" right="0.7" top="0.75" bottom="0.75" header="0.3" footer="0.3"/>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L13"/>
  <sheetViews>
    <sheetView zoomScale="80" zoomScaleNormal="80" workbookViewId="0">
      <selection activeCell="D15" sqref="D15"/>
    </sheetView>
  </sheetViews>
  <sheetFormatPr defaultRowHeight="18" x14ac:dyDescent="0.35"/>
  <cols>
    <col min="1" max="1" width="4.5546875" style="100" customWidth="1"/>
    <col min="2" max="2" width="39.109375" style="100" customWidth="1"/>
    <col min="3" max="12" width="12.5546875" style="100" customWidth="1"/>
    <col min="13" max="250" width="9.109375" style="100"/>
    <col min="251" max="251" width="4.5546875" style="100" customWidth="1"/>
    <col min="252" max="252" width="37.5546875" style="100" customWidth="1"/>
    <col min="253" max="253" width="11.109375" style="100" customWidth="1"/>
    <col min="254" max="258" width="16.44140625" style="100" customWidth="1"/>
    <col min="259" max="259" width="34" style="100" customWidth="1"/>
    <col min="260" max="261" width="9.109375" style="100"/>
    <col min="262" max="262" width="21" style="100" customWidth="1"/>
    <col min="263" max="506" width="9.109375" style="100"/>
    <col min="507" max="507" width="4.5546875" style="100" customWidth="1"/>
    <col min="508" max="508" width="37.5546875" style="100" customWidth="1"/>
    <col min="509" max="509" width="11.109375" style="100" customWidth="1"/>
    <col min="510" max="514" width="16.44140625" style="100" customWidth="1"/>
    <col min="515" max="515" width="34" style="100" customWidth="1"/>
    <col min="516" max="517" width="9.109375" style="100"/>
    <col min="518" max="518" width="21" style="100" customWidth="1"/>
    <col min="519" max="762" width="9.109375" style="100"/>
    <col min="763" max="763" width="4.5546875" style="100" customWidth="1"/>
    <col min="764" max="764" width="37.5546875" style="100" customWidth="1"/>
    <col min="765" max="765" width="11.109375" style="100" customWidth="1"/>
    <col min="766" max="770" width="16.44140625" style="100" customWidth="1"/>
    <col min="771" max="771" width="34" style="100" customWidth="1"/>
    <col min="772" max="773" width="9.109375" style="100"/>
    <col min="774" max="774" width="21" style="100" customWidth="1"/>
    <col min="775" max="1018" width="9.109375" style="100"/>
    <col min="1019" max="1019" width="4.5546875" style="100" customWidth="1"/>
    <col min="1020" max="1020" width="37.5546875" style="100" customWidth="1"/>
    <col min="1021" max="1021" width="11.109375" style="100" customWidth="1"/>
    <col min="1022" max="1026" width="16.44140625" style="100" customWidth="1"/>
    <col min="1027" max="1027" width="34" style="100" customWidth="1"/>
    <col min="1028" max="1029" width="9.109375" style="100"/>
    <col min="1030" max="1030" width="21" style="100" customWidth="1"/>
    <col min="1031" max="1274" width="9.109375" style="100"/>
    <col min="1275" max="1275" width="4.5546875" style="100" customWidth="1"/>
    <col min="1276" max="1276" width="37.5546875" style="100" customWidth="1"/>
    <col min="1277" max="1277" width="11.109375" style="100" customWidth="1"/>
    <col min="1278" max="1282" width="16.44140625" style="100" customWidth="1"/>
    <col min="1283" max="1283" width="34" style="100" customWidth="1"/>
    <col min="1284" max="1285" width="9.109375" style="100"/>
    <col min="1286" max="1286" width="21" style="100" customWidth="1"/>
    <col min="1287" max="1530" width="9.109375" style="100"/>
    <col min="1531" max="1531" width="4.5546875" style="100" customWidth="1"/>
    <col min="1532" max="1532" width="37.5546875" style="100" customWidth="1"/>
    <col min="1533" max="1533" width="11.109375" style="100" customWidth="1"/>
    <col min="1534" max="1538" width="16.44140625" style="100" customWidth="1"/>
    <col min="1539" max="1539" width="34" style="100" customWidth="1"/>
    <col min="1540" max="1541" width="9.109375" style="100"/>
    <col min="1542" max="1542" width="21" style="100" customWidth="1"/>
    <col min="1543" max="1786" width="9.109375" style="100"/>
    <col min="1787" max="1787" width="4.5546875" style="100" customWidth="1"/>
    <col min="1788" max="1788" width="37.5546875" style="100" customWidth="1"/>
    <col min="1789" max="1789" width="11.109375" style="100" customWidth="1"/>
    <col min="1790" max="1794" width="16.44140625" style="100" customWidth="1"/>
    <col min="1795" max="1795" width="34" style="100" customWidth="1"/>
    <col min="1796" max="1797" width="9.109375" style="100"/>
    <col min="1798" max="1798" width="21" style="100" customWidth="1"/>
    <col min="1799" max="2042" width="9.109375" style="100"/>
    <col min="2043" max="2043" width="4.5546875" style="100" customWidth="1"/>
    <col min="2044" max="2044" width="37.5546875" style="100" customWidth="1"/>
    <col min="2045" max="2045" width="11.109375" style="100" customWidth="1"/>
    <col min="2046" max="2050" width="16.44140625" style="100" customWidth="1"/>
    <col min="2051" max="2051" width="34" style="100" customWidth="1"/>
    <col min="2052" max="2053" width="9.109375" style="100"/>
    <col min="2054" max="2054" width="21" style="100" customWidth="1"/>
    <col min="2055" max="2298" width="9.109375" style="100"/>
    <col min="2299" max="2299" width="4.5546875" style="100" customWidth="1"/>
    <col min="2300" max="2300" width="37.5546875" style="100" customWidth="1"/>
    <col min="2301" max="2301" width="11.109375" style="100" customWidth="1"/>
    <col min="2302" max="2306" width="16.44140625" style="100" customWidth="1"/>
    <col min="2307" max="2307" width="34" style="100" customWidth="1"/>
    <col min="2308" max="2309" width="9.109375" style="100"/>
    <col min="2310" max="2310" width="21" style="100" customWidth="1"/>
    <col min="2311" max="2554" width="9.109375" style="100"/>
    <col min="2555" max="2555" width="4.5546875" style="100" customWidth="1"/>
    <col min="2556" max="2556" width="37.5546875" style="100" customWidth="1"/>
    <col min="2557" max="2557" width="11.109375" style="100" customWidth="1"/>
    <col min="2558" max="2562" width="16.44140625" style="100" customWidth="1"/>
    <col min="2563" max="2563" width="34" style="100" customWidth="1"/>
    <col min="2564" max="2565" width="9.109375" style="100"/>
    <col min="2566" max="2566" width="21" style="100" customWidth="1"/>
    <col min="2567" max="2810" width="9.109375" style="100"/>
    <col min="2811" max="2811" width="4.5546875" style="100" customWidth="1"/>
    <col min="2812" max="2812" width="37.5546875" style="100" customWidth="1"/>
    <col min="2813" max="2813" width="11.109375" style="100" customWidth="1"/>
    <col min="2814" max="2818" width="16.44140625" style="100" customWidth="1"/>
    <col min="2819" max="2819" width="34" style="100" customWidth="1"/>
    <col min="2820" max="2821" width="9.109375" style="100"/>
    <col min="2822" max="2822" width="21" style="100" customWidth="1"/>
    <col min="2823" max="3066" width="9.109375" style="100"/>
    <col min="3067" max="3067" width="4.5546875" style="100" customWidth="1"/>
    <col min="3068" max="3068" width="37.5546875" style="100" customWidth="1"/>
    <col min="3069" max="3069" width="11.109375" style="100" customWidth="1"/>
    <col min="3070" max="3074" width="16.44140625" style="100" customWidth="1"/>
    <col min="3075" max="3075" width="34" style="100" customWidth="1"/>
    <col min="3076" max="3077" width="9.109375" style="100"/>
    <col min="3078" max="3078" width="21" style="100" customWidth="1"/>
    <col min="3079" max="3322" width="9.109375" style="100"/>
    <col min="3323" max="3323" width="4.5546875" style="100" customWidth="1"/>
    <col min="3324" max="3324" width="37.5546875" style="100" customWidth="1"/>
    <col min="3325" max="3325" width="11.109375" style="100" customWidth="1"/>
    <col min="3326" max="3330" width="16.44140625" style="100" customWidth="1"/>
    <col min="3331" max="3331" width="34" style="100" customWidth="1"/>
    <col min="3332" max="3333" width="9.109375" style="100"/>
    <col min="3334" max="3334" width="21" style="100" customWidth="1"/>
    <col min="3335" max="3578" width="9.109375" style="100"/>
    <col min="3579" max="3579" width="4.5546875" style="100" customWidth="1"/>
    <col min="3580" max="3580" width="37.5546875" style="100" customWidth="1"/>
    <col min="3581" max="3581" width="11.109375" style="100" customWidth="1"/>
    <col min="3582" max="3586" width="16.44140625" style="100" customWidth="1"/>
    <col min="3587" max="3587" width="34" style="100" customWidth="1"/>
    <col min="3588" max="3589" width="9.109375" style="100"/>
    <col min="3590" max="3590" width="21" style="100" customWidth="1"/>
    <col min="3591" max="3834" width="9.109375" style="100"/>
    <col min="3835" max="3835" width="4.5546875" style="100" customWidth="1"/>
    <col min="3836" max="3836" width="37.5546875" style="100" customWidth="1"/>
    <col min="3837" max="3837" width="11.109375" style="100" customWidth="1"/>
    <col min="3838" max="3842" width="16.44140625" style="100" customWidth="1"/>
    <col min="3843" max="3843" width="34" style="100" customWidth="1"/>
    <col min="3844" max="3845" width="9.109375" style="100"/>
    <col min="3846" max="3846" width="21" style="100" customWidth="1"/>
    <col min="3847" max="4090" width="9.109375" style="100"/>
    <col min="4091" max="4091" width="4.5546875" style="100" customWidth="1"/>
    <col min="4092" max="4092" width="37.5546875" style="100" customWidth="1"/>
    <col min="4093" max="4093" width="11.109375" style="100" customWidth="1"/>
    <col min="4094" max="4098" width="16.44140625" style="100" customWidth="1"/>
    <col min="4099" max="4099" width="34" style="100" customWidth="1"/>
    <col min="4100" max="4101" width="9.109375" style="100"/>
    <col min="4102" max="4102" width="21" style="100" customWidth="1"/>
    <col min="4103" max="4346" width="9.109375" style="100"/>
    <col min="4347" max="4347" width="4.5546875" style="100" customWidth="1"/>
    <col min="4348" max="4348" width="37.5546875" style="100" customWidth="1"/>
    <col min="4349" max="4349" width="11.109375" style="100" customWidth="1"/>
    <col min="4350" max="4354" width="16.44140625" style="100" customWidth="1"/>
    <col min="4355" max="4355" width="34" style="100" customWidth="1"/>
    <col min="4356" max="4357" width="9.109375" style="100"/>
    <col min="4358" max="4358" width="21" style="100" customWidth="1"/>
    <col min="4359" max="4602" width="9.109375" style="100"/>
    <col min="4603" max="4603" width="4.5546875" style="100" customWidth="1"/>
    <col min="4604" max="4604" width="37.5546875" style="100" customWidth="1"/>
    <col min="4605" max="4605" width="11.109375" style="100" customWidth="1"/>
    <col min="4606" max="4610" width="16.44140625" style="100" customWidth="1"/>
    <col min="4611" max="4611" width="34" style="100" customWidth="1"/>
    <col min="4612" max="4613" width="9.109375" style="100"/>
    <col min="4614" max="4614" width="21" style="100" customWidth="1"/>
    <col min="4615" max="4858" width="9.109375" style="100"/>
    <col min="4859" max="4859" width="4.5546875" style="100" customWidth="1"/>
    <col min="4860" max="4860" width="37.5546875" style="100" customWidth="1"/>
    <col min="4861" max="4861" width="11.109375" style="100" customWidth="1"/>
    <col min="4862" max="4866" width="16.44140625" style="100" customWidth="1"/>
    <col min="4867" max="4867" width="34" style="100" customWidth="1"/>
    <col min="4868" max="4869" width="9.109375" style="100"/>
    <col min="4870" max="4870" width="21" style="100" customWidth="1"/>
    <col min="4871" max="5114" width="9.109375" style="100"/>
    <col min="5115" max="5115" width="4.5546875" style="100" customWidth="1"/>
    <col min="5116" max="5116" width="37.5546875" style="100" customWidth="1"/>
    <col min="5117" max="5117" width="11.109375" style="100" customWidth="1"/>
    <col min="5118" max="5122" width="16.44140625" style="100" customWidth="1"/>
    <col min="5123" max="5123" width="34" style="100" customWidth="1"/>
    <col min="5124" max="5125" width="9.109375" style="100"/>
    <col min="5126" max="5126" width="21" style="100" customWidth="1"/>
    <col min="5127" max="5370" width="9.109375" style="100"/>
    <col min="5371" max="5371" width="4.5546875" style="100" customWidth="1"/>
    <col min="5372" max="5372" width="37.5546875" style="100" customWidth="1"/>
    <col min="5373" max="5373" width="11.109375" style="100" customWidth="1"/>
    <col min="5374" max="5378" width="16.44140625" style="100" customWidth="1"/>
    <col min="5379" max="5379" width="34" style="100" customWidth="1"/>
    <col min="5380" max="5381" width="9.109375" style="100"/>
    <col min="5382" max="5382" width="21" style="100" customWidth="1"/>
    <col min="5383" max="5626" width="9.109375" style="100"/>
    <col min="5627" max="5627" width="4.5546875" style="100" customWidth="1"/>
    <col min="5628" max="5628" width="37.5546875" style="100" customWidth="1"/>
    <col min="5629" max="5629" width="11.109375" style="100" customWidth="1"/>
    <col min="5630" max="5634" width="16.44140625" style="100" customWidth="1"/>
    <col min="5635" max="5635" width="34" style="100" customWidth="1"/>
    <col min="5636" max="5637" width="9.109375" style="100"/>
    <col min="5638" max="5638" width="21" style="100" customWidth="1"/>
    <col min="5639" max="5882" width="9.109375" style="100"/>
    <col min="5883" max="5883" width="4.5546875" style="100" customWidth="1"/>
    <col min="5884" max="5884" width="37.5546875" style="100" customWidth="1"/>
    <col min="5885" max="5885" width="11.109375" style="100" customWidth="1"/>
    <col min="5886" max="5890" width="16.44140625" style="100" customWidth="1"/>
    <col min="5891" max="5891" width="34" style="100" customWidth="1"/>
    <col min="5892" max="5893" width="9.109375" style="100"/>
    <col min="5894" max="5894" width="21" style="100" customWidth="1"/>
    <col min="5895" max="6138" width="9.109375" style="100"/>
    <col min="6139" max="6139" width="4.5546875" style="100" customWidth="1"/>
    <col min="6140" max="6140" width="37.5546875" style="100" customWidth="1"/>
    <col min="6141" max="6141" width="11.109375" style="100" customWidth="1"/>
    <col min="6142" max="6146" width="16.44140625" style="100" customWidth="1"/>
    <col min="6147" max="6147" width="34" style="100" customWidth="1"/>
    <col min="6148" max="6149" width="9.109375" style="100"/>
    <col min="6150" max="6150" width="21" style="100" customWidth="1"/>
    <col min="6151" max="6394" width="9.109375" style="100"/>
    <col min="6395" max="6395" width="4.5546875" style="100" customWidth="1"/>
    <col min="6396" max="6396" width="37.5546875" style="100" customWidth="1"/>
    <col min="6397" max="6397" width="11.109375" style="100" customWidth="1"/>
    <col min="6398" max="6402" width="16.44140625" style="100" customWidth="1"/>
    <col min="6403" max="6403" width="34" style="100" customWidth="1"/>
    <col min="6404" max="6405" width="9.109375" style="100"/>
    <col min="6406" max="6406" width="21" style="100" customWidth="1"/>
    <col min="6407" max="6650" width="9.109375" style="100"/>
    <col min="6651" max="6651" width="4.5546875" style="100" customWidth="1"/>
    <col min="6652" max="6652" width="37.5546875" style="100" customWidth="1"/>
    <col min="6653" max="6653" width="11.109375" style="100" customWidth="1"/>
    <col min="6654" max="6658" width="16.44140625" style="100" customWidth="1"/>
    <col min="6659" max="6659" width="34" style="100" customWidth="1"/>
    <col min="6660" max="6661" width="9.109375" style="100"/>
    <col min="6662" max="6662" width="21" style="100" customWidth="1"/>
    <col min="6663" max="6906" width="9.109375" style="100"/>
    <col min="6907" max="6907" width="4.5546875" style="100" customWidth="1"/>
    <col min="6908" max="6908" width="37.5546875" style="100" customWidth="1"/>
    <col min="6909" max="6909" width="11.109375" style="100" customWidth="1"/>
    <col min="6910" max="6914" width="16.44140625" style="100" customWidth="1"/>
    <col min="6915" max="6915" width="34" style="100" customWidth="1"/>
    <col min="6916" max="6917" width="9.109375" style="100"/>
    <col min="6918" max="6918" width="21" style="100" customWidth="1"/>
    <col min="6919" max="7162" width="9.109375" style="100"/>
    <col min="7163" max="7163" width="4.5546875" style="100" customWidth="1"/>
    <col min="7164" max="7164" width="37.5546875" style="100" customWidth="1"/>
    <col min="7165" max="7165" width="11.109375" style="100" customWidth="1"/>
    <col min="7166" max="7170" width="16.44140625" style="100" customWidth="1"/>
    <col min="7171" max="7171" width="34" style="100" customWidth="1"/>
    <col min="7172" max="7173" width="9.109375" style="100"/>
    <col min="7174" max="7174" width="21" style="100" customWidth="1"/>
    <col min="7175" max="7418" width="9.109375" style="100"/>
    <col min="7419" max="7419" width="4.5546875" style="100" customWidth="1"/>
    <col min="7420" max="7420" width="37.5546875" style="100" customWidth="1"/>
    <col min="7421" max="7421" width="11.109375" style="100" customWidth="1"/>
    <col min="7422" max="7426" width="16.44140625" style="100" customWidth="1"/>
    <col min="7427" max="7427" width="34" style="100" customWidth="1"/>
    <col min="7428" max="7429" width="9.109375" style="100"/>
    <col min="7430" max="7430" width="21" style="100" customWidth="1"/>
    <col min="7431" max="7674" width="9.109375" style="100"/>
    <col min="7675" max="7675" width="4.5546875" style="100" customWidth="1"/>
    <col min="7676" max="7676" width="37.5546875" style="100" customWidth="1"/>
    <col min="7677" max="7677" width="11.109375" style="100" customWidth="1"/>
    <col min="7678" max="7682" width="16.44140625" style="100" customWidth="1"/>
    <col min="7683" max="7683" width="34" style="100" customWidth="1"/>
    <col min="7684" max="7685" width="9.109375" style="100"/>
    <col min="7686" max="7686" width="21" style="100" customWidth="1"/>
    <col min="7687" max="7930" width="9.109375" style="100"/>
    <col min="7931" max="7931" width="4.5546875" style="100" customWidth="1"/>
    <col min="7932" max="7932" width="37.5546875" style="100" customWidth="1"/>
    <col min="7933" max="7933" width="11.109375" style="100" customWidth="1"/>
    <col min="7934" max="7938" width="16.44140625" style="100" customWidth="1"/>
    <col min="7939" max="7939" width="34" style="100" customWidth="1"/>
    <col min="7940" max="7941" width="9.109375" style="100"/>
    <col min="7942" max="7942" width="21" style="100" customWidth="1"/>
    <col min="7943" max="8186" width="9.109375" style="100"/>
    <col min="8187" max="8187" width="4.5546875" style="100" customWidth="1"/>
    <col min="8188" max="8188" width="37.5546875" style="100" customWidth="1"/>
    <col min="8189" max="8189" width="11.109375" style="100" customWidth="1"/>
    <col min="8190" max="8194" width="16.44140625" style="100" customWidth="1"/>
    <col min="8195" max="8195" width="34" style="100" customWidth="1"/>
    <col min="8196" max="8197" width="9.109375" style="100"/>
    <col min="8198" max="8198" width="21" style="100" customWidth="1"/>
    <col min="8199" max="8442" width="9.109375" style="100"/>
    <col min="8443" max="8443" width="4.5546875" style="100" customWidth="1"/>
    <col min="8444" max="8444" width="37.5546875" style="100" customWidth="1"/>
    <col min="8445" max="8445" width="11.109375" style="100" customWidth="1"/>
    <col min="8446" max="8450" width="16.44140625" style="100" customWidth="1"/>
    <col min="8451" max="8451" width="34" style="100" customWidth="1"/>
    <col min="8452" max="8453" width="9.109375" style="100"/>
    <col min="8454" max="8454" width="21" style="100" customWidth="1"/>
    <col min="8455" max="8698" width="9.109375" style="100"/>
    <col min="8699" max="8699" width="4.5546875" style="100" customWidth="1"/>
    <col min="8700" max="8700" width="37.5546875" style="100" customWidth="1"/>
    <col min="8701" max="8701" width="11.109375" style="100" customWidth="1"/>
    <col min="8702" max="8706" width="16.44140625" style="100" customWidth="1"/>
    <col min="8707" max="8707" width="34" style="100" customWidth="1"/>
    <col min="8708" max="8709" width="9.109375" style="100"/>
    <col min="8710" max="8710" width="21" style="100" customWidth="1"/>
    <col min="8711" max="8954" width="9.109375" style="100"/>
    <col min="8955" max="8955" width="4.5546875" style="100" customWidth="1"/>
    <col min="8956" max="8956" width="37.5546875" style="100" customWidth="1"/>
    <col min="8957" max="8957" width="11.109375" style="100" customWidth="1"/>
    <col min="8958" max="8962" width="16.44140625" style="100" customWidth="1"/>
    <col min="8963" max="8963" width="34" style="100" customWidth="1"/>
    <col min="8964" max="8965" width="9.109375" style="100"/>
    <col min="8966" max="8966" width="21" style="100" customWidth="1"/>
    <col min="8967" max="9210" width="9.109375" style="100"/>
    <col min="9211" max="9211" width="4.5546875" style="100" customWidth="1"/>
    <col min="9212" max="9212" width="37.5546875" style="100" customWidth="1"/>
    <col min="9213" max="9213" width="11.109375" style="100" customWidth="1"/>
    <col min="9214" max="9218" width="16.44140625" style="100" customWidth="1"/>
    <col min="9219" max="9219" width="34" style="100" customWidth="1"/>
    <col min="9220" max="9221" width="9.109375" style="100"/>
    <col min="9222" max="9222" width="21" style="100" customWidth="1"/>
    <col min="9223" max="9466" width="9.109375" style="100"/>
    <col min="9467" max="9467" width="4.5546875" style="100" customWidth="1"/>
    <col min="9468" max="9468" width="37.5546875" style="100" customWidth="1"/>
    <col min="9469" max="9469" width="11.109375" style="100" customWidth="1"/>
    <col min="9470" max="9474" width="16.44140625" style="100" customWidth="1"/>
    <col min="9475" max="9475" width="34" style="100" customWidth="1"/>
    <col min="9476" max="9477" width="9.109375" style="100"/>
    <col min="9478" max="9478" width="21" style="100" customWidth="1"/>
    <col min="9479" max="9722" width="9.109375" style="100"/>
    <col min="9723" max="9723" width="4.5546875" style="100" customWidth="1"/>
    <col min="9724" max="9724" width="37.5546875" style="100" customWidth="1"/>
    <col min="9725" max="9725" width="11.109375" style="100" customWidth="1"/>
    <col min="9726" max="9730" width="16.44140625" style="100" customWidth="1"/>
    <col min="9731" max="9731" width="34" style="100" customWidth="1"/>
    <col min="9732" max="9733" width="9.109375" style="100"/>
    <col min="9734" max="9734" width="21" style="100" customWidth="1"/>
    <col min="9735" max="9978" width="9.109375" style="100"/>
    <col min="9979" max="9979" width="4.5546875" style="100" customWidth="1"/>
    <col min="9980" max="9980" width="37.5546875" style="100" customWidth="1"/>
    <col min="9981" max="9981" width="11.109375" style="100" customWidth="1"/>
    <col min="9982" max="9986" width="16.44140625" style="100" customWidth="1"/>
    <col min="9987" max="9987" width="34" style="100" customWidth="1"/>
    <col min="9988" max="9989" width="9.109375" style="100"/>
    <col min="9990" max="9990" width="21" style="100" customWidth="1"/>
    <col min="9991" max="10234" width="9.109375" style="100"/>
    <col min="10235" max="10235" width="4.5546875" style="100" customWidth="1"/>
    <col min="10236" max="10236" width="37.5546875" style="100" customWidth="1"/>
    <col min="10237" max="10237" width="11.109375" style="100" customWidth="1"/>
    <col min="10238" max="10242" width="16.44140625" style="100" customWidth="1"/>
    <col min="10243" max="10243" width="34" style="100" customWidth="1"/>
    <col min="10244" max="10245" width="9.109375" style="100"/>
    <col min="10246" max="10246" width="21" style="100" customWidth="1"/>
    <col min="10247" max="10490" width="9.109375" style="100"/>
    <col min="10491" max="10491" width="4.5546875" style="100" customWidth="1"/>
    <col min="10492" max="10492" width="37.5546875" style="100" customWidth="1"/>
    <col min="10493" max="10493" width="11.109375" style="100" customWidth="1"/>
    <col min="10494" max="10498" width="16.44140625" style="100" customWidth="1"/>
    <col min="10499" max="10499" width="34" style="100" customWidth="1"/>
    <col min="10500" max="10501" width="9.109375" style="100"/>
    <col min="10502" max="10502" width="21" style="100" customWidth="1"/>
    <col min="10503" max="10746" width="9.109375" style="100"/>
    <col min="10747" max="10747" width="4.5546875" style="100" customWidth="1"/>
    <col min="10748" max="10748" width="37.5546875" style="100" customWidth="1"/>
    <col min="10749" max="10749" width="11.109375" style="100" customWidth="1"/>
    <col min="10750" max="10754" width="16.44140625" style="100" customWidth="1"/>
    <col min="10755" max="10755" width="34" style="100" customWidth="1"/>
    <col min="10756" max="10757" width="9.109375" style="100"/>
    <col min="10758" max="10758" width="21" style="100" customWidth="1"/>
    <col min="10759" max="11002" width="9.109375" style="100"/>
    <col min="11003" max="11003" width="4.5546875" style="100" customWidth="1"/>
    <col min="11004" max="11004" width="37.5546875" style="100" customWidth="1"/>
    <col min="11005" max="11005" width="11.109375" style="100" customWidth="1"/>
    <col min="11006" max="11010" width="16.44140625" style="100" customWidth="1"/>
    <col min="11011" max="11011" width="34" style="100" customWidth="1"/>
    <col min="11012" max="11013" width="9.109375" style="100"/>
    <col min="11014" max="11014" width="21" style="100" customWidth="1"/>
    <col min="11015" max="11258" width="9.109375" style="100"/>
    <col min="11259" max="11259" width="4.5546875" style="100" customWidth="1"/>
    <col min="11260" max="11260" width="37.5546875" style="100" customWidth="1"/>
    <col min="11261" max="11261" width="11.109375" style="100" customWidth="1"/>
    <col min="11262" max="11266" width="16.44140625" style="100" customWidth="1"/>
    <col min="11267" max="11267" width="34" style="100" customWidth="1"/>
    <col min="11268" max="11269" width="9.109375" style="100"/>
    <col min="11270" max="11270" width="21" style="100" customWidth="1"/>
    <col min="11271" max="11514" width="9.109375" style="100"/>
    <col min="11515" max="11515" width="4.5546875" style="100" customWidth="1"/>
    <col min="11516" max="11516" width="37.5546875" style="100" customWidth="1"/>
    <col min="11517" max="11517" width="11.109375" style="100" customWidth="1"/>
    <col min="11518" max="11522" width="16.44140625" style="100" customWidth="1"/>
    <col min="11523" max="11523" width="34" style="100" customWidth="1"/>
    <col min="11524" max="11525" width="9.109375" style="100"/>
    <col min="11526" max="11526" width="21" style="100" customWidth="1"/>
    <col min="11527" max="11770" width="9.109375" style="100"/>
    <col min="11771" max="11771" width="4.5546875" style="100" customWidth="1"/>
    <col min="11772" max="11772" width="37.5546875" style="100" customWidth="1"/>
    <col min="11773" max="11773" width="11.109375" style="100" customWidth="1"/>
    <col min="11774" max="11778" width="16.44140625" style="100" customWidth="1"/>
    <col min="11779" max="11779" width="34" style="100" customWidth="1"/>
    <col min="11780" max="11781" width="9.109375" style="100"/>
    <col min="11782" max="11782" width="21" style="100" customWidth="1"/>
    <col min="11783" max="12026" width="9.109375" style="100"/>
    <col min="12027" max="12027" width="4.5546875" style="100" customWidth="1"/>
    <col min="12028" max="12028" width="37.5546875" style="100" customWidth="1"/>
    <col min="12029" max="12029" width="11.109375" style="100" customWidth="1"/>
    <col min="12030" max="12034" width="16.44140625" style="100" customWidth="1"/>
    <col min="12035" max="12035" width="34" style="100" customWidth="1"/>
    <col min="12036" max="12037" width="9.109375" style="100"/>
    <col min="12038" max="12038" width="21" style="100" customWidth="1"/>
    <col min="12039" max="12282" width="9.109375" style="100"/>
    <col min="12283" max="12283" width="4.5546875" style="100" customWidth="1"/>
    <col min="12284" max="12284" width="37.5546875" style="100" customWidth="1"/>
    <col min="12285" max="12285" width="11.109375" style="100" customWidth="1"/>
    <col min="12286" max="12290" width="16.44140625" style="100" customWidth="1"/>
    <col min="12291" max="12291" width="34" style="100" customWidth="1"/>
    <col min="12292" max="12293" width="9.109375" style="100"/>
    <col min="12294" max="12294" width="21" style="100" customWidth="1"/>
    <col min="12295" max="12538" width="9.109375" style="100"/>
    <col min="12539" max="12539" width="4.5546875" style="100" customWidth="1"/>
    <col min="12540" max="12540" width="37.5546875" style="100" customWidth="1"/>
    <col min="12541" max="12541" width="11.109375" style="100" customWidth="1"/>
    <col min="12542" max="12546" width="16.44140625" style="100" customWidth="1"/>
    <col min="12547" max="12547" width="34" style="100" customWidth="1"/>
    <col min="12548" max="12549" width="9.109375" style="100"/>
    <col min="12550" max="12550" width="21" style="100" customWidth="1"/>
    <col min="12551" max="12794" width="9.109375" style="100"/>
    <col min="12795" max="12795" width="4.5546875" style="100" customWidth="1"/>
    <col min="12796" max="12796" width="37.5546875" style="100" customWidth="1"/>
    <col min="12797" max="12797" width="11.109375" style="100" customWidth="1"/>
    <col min="12798" max="12802" width="16.44140625" style="100" customWidth="1"/>
    <col min="12803" max="12803" width="34" style="100" customWidth="1"/>
    <col min="12804" max="12805" width="9.109375" style="100"/>
    <col min="12806" max="12806" width="21" style="100" customWidth="1"/>
    <col min="12807" max="13050" width="9.109375" style="100"/>
    <col min="13051" max="13051" width="4.5546875" style="100" customWidth="1"/>
    <col min="13052" max="13052" width="37.5546875" style="100" customWidth="1"/>
    <col min="13053" max="13053" width="11.109375" style="100" customWidth="1"/>
    <col min="13054" max="13058" width="16.44140625" style="100" customWidth="1"/>
    <col min="13059" max="13059" width="34" style="100" customWidth="1"/>
    <col min="13060" max="13061" width="9.109375" style="100"/>
    <col min="13062" max="13062" width="21" style="100" customWidth="1"/>
    <col min="13063" max="13306" width="9.109375" style="100"/>
    <col min="13307" max="13307" width="4.5546875" style="100" customWidth="1"/>
    <col min="13308" max="13308" width="37.5546875" style="100" customWidth="1"/>
    <col min="13309" max="13309" width="11.109375" style="100" customWidth="1"/>
    <col min="13310" max="13314" width="16.44140625" style="100" customWidth="1"/>
    <col min="13315" max="13315" width="34" style="100" customWidth="1"/>
    <col min="13316" max="13317" width="9.109375" style="100"/>
    <col min="13318" max="13318" width="21" style="100" customWidth="1"/>
    <col min="13319" max="13562" width="9.109375" style="100"/>
    <col min="13563" max="13563" width="4.5546875" style="100" customWidth="1"/>
    <col min="13564" max="13564" width="37.5546875" style="100" customWidth="1"/>
    <col min="13565" max="13565" width="11.109375" style="100" customWidth="1"/>
    <col min="13566" max="13570" width="16.44140625" style="100" customWidth="1"/>
    <col min="13571" max="13571" width="34" style="100" customWidth="1"/>
    <col min="13572" max="13573" width="9.109375" style="100"/>
    <col min="13574" max="13574" width="21" style="100" customWidth="1"/>
    <col min="13575" max="13818" width="9.109375" style="100"/>
    <col min="13819" max="13819" width="4.5546875" style="100" customWidth="1"/>
    <col min="13820" max="13820" width="37.5546875" style="100" customWidth="1"/>
    <col min="13821" max="13821" width="11.109375" style="100" customWidth="1"/>
    <col min="13822" max="13826" width="16.44140625" style="100" customWidth="1"/>
    <col min="13827" max="13827" width="34" style="100" customWidth="1"/>
    <col min="13828" max="13829" width="9.109375" style="100"/>
    <col min="13830" max="13830" width="21" style="100" customWidth="1"/>
    <col min="13831" max="14074" width="9.109375" style="100"/>
    <col min="14075" max="14075" width="4.5546875" style="100" customWidth="1"/>
    <col min="14076" max="14076" width="37.5546875" style="100" customWidth="1"/>
    <col min="14077" max="14077" width="11.109375" style="100" customWidth="1"/>
    <col min="14078" max="14082" width="16.44140625" style="100" customWidth="1"/>
    <col min="14083" max="14083" width="34" style="100" customWidth="1"/>
    <col min="14084" max="14085" width="9.109375" style="100"/>
    <col min="14086" max="14086" width="21" style="100" customWidth="1"/>
    <col min="14087" max="14330" width="9.109375" style="100"/>
    <col min="14331" max="14331" width="4.5546875" style="100" customWidth="1"/>
    <col min="14332" max="14332" width="37.5546875" style="100" customWidth="1"/>
    <col min="14333" max="14333" width="11.109375" style="100" customWidth="1"/>
    <col min="14334" max="14338" width="16.44140625" style="100" customWidth="1"/>
    <col min="14339" max="14339" width="34" style="100" customWidth="1"/>
    <col min="14340" max="14341" width="9.109375" style="100"/>
    <col min="14342" max="14342" width="21" style="100" customWidth="1"/>
    <col min="14343" max="14586" width="9.109375" style="100"/>
    <col min="14587" max="14587" width="4.5546875" style="100" customWidth="1"/>
    <col min="14588" max="14588" width="37.5546875" style="100" customWidth="1"/>
    <col min="14589" max="14589" width="11.109375" style="100" customWidth="1"/>
    <col min="14590" max="14594" width="16.44140625" style="100" customWidth="1"/>
    <col min="14595" max="14595" width="34" style="100" customWidth="1"/>
    <col min="14596" max="14597" width="9.109375" style="100"/>
    <col min="14598" max="14598" width="21" style="100" customWidth="1"/>
    <col min="14599" max="14842" width="9.109375" style="100"/>
    <col min="14843" max="14843" width="4.5546875" style="100" customWidth="1"/>
    <col min="14844" max="14844" width="37.5546875" style="100" customWidth="1"/>
    <col min="14845" max="14845" width="11.109375" style="100" customWidth="1"/>
    <col min="14846" max="14850" width="16.44140625" style="100" customWidth="1"/>
    <col min="14851" max="14851" width="34" style="100" customWidth="1"/>
    <col min="14852" max="14853" width="9.109375" style="100"/>
    <col min="14854" max="14854" width="21" style="100" customWidth="1"/>
    <col min="14855" max="15098" width="9.109375" style="100"/>
    <col min="15099" max="15099" width="4.5546875" style="100" customWidth="1"/>
    <col min="15100" max="15100" width="37.5546875" style="100" customWidth="1"/>
    <col min="15101" max="15101" width="11.109375" style="100" customWidth="1"/>
    <col min="15102" max="15106" width="16.44140625" style="100" customWidth="1"/>
    <col min="15107" max="15107" width="34" style="100" customWidth="1"/>
    <col min="15108" max="15109" width="9.109375" style="100"/>
    <col min="15110" max="15110" width="21" style="100" customWidth="1"/>
    <col min="15111" max="15354" width="9.109375" style="100"/>
    <col min="15355" max="15355" width="4.5546875" style="100" customWidth="1"/>
    <col min="15356" max="15356" width="37.5546875" style="100" customWidth="1"/>
    <col min="15357" max="15357" width="11.109375" style="100" customWidth="1"/>
    <col min="15358" max="15362" width="16.44140625" style="100" customWidth="1"/>
    <col min="15363" max="15363" width="34" style="100" customWidth="1"/>
    <col min="15364" max="15365" width="9.109375" style="100"/>
    <col min="15366" max="15366" width="21" style="100" customWidth="1"/>
    <col min="15367" max="15610" width="9.109375" style="100"/>
    <col min="15611" max="15611" width="4.5546875" style="100" customWidth="1"/>
    <col min="15612" max="15612" width="37.5546875" style="100" customWidth="1"/>
    <col min="15613" max="15613" width="11.109375" style="100" customWidth="1"/>
    <col min="15614" max="15618" width="16.44140625" style="100" customWidth="1"/>
    <col min="15619" max="15619" width="34" style="100" customWidth="1"/>
    <col min="15620" max="15621" width="9.109375" style="100"/>
    <col min="15622" max="15622" width="21" style="100" customWidth="1"/>
    <col min="15623" max="15866" width="9.109375" style="100"/>
    <col min="15867" max="15867" width="4.5546875" style="100" customWidth="1"/>
    <col min="15868" max="15868" width="37.5546875" style="100" customWidth="1"/>
    <col min="15869" max="15869" width="11.109375" style="100" customWidth="1"/>
    <col min="15870" max="15874" width="16.44140625" style="100" customWidth="1"/>
    <col min="15875" max="15875" width="34" style="100" customWidth="1"/>
    <col min="15876" max="15877" width="9.109375" style="100"/>
    <col min="15878" max="15878" width="21" style="100" customWidth="1"/>
    <col min="15879" max="16122" width="9.109375" style="100"/>
    <col min="16123" max="16123" width="4.5546875" style="100" customWidth="1"/>
    <col min="16124" max="16124" width="37.5546875" style="100" customWidth="1"/>
    <col min="16125" max="16125" width="11.109375" style="100" customWidth="1"/>
    <col min="16126" max="16130" width="16.44140625" style="100" customWidth="1"/>
    <col min="16131" max="16131" width="34" style="100" customWidth="1"/>
    <col min="16132" max="16133" width="9.109375" style="100"/>
    <col min="16134" max="16134" width="21" style="100" customWidth="1"/>
    <col min="16135" max="16384" width="9.109375" style="100"/>
  </cols>
  <sheetData>
    <row r="1" spans="1:12" ht="52.5" customHeight="1" x14ac:dyDescent="0.35">
      <c r="A1" s="515" t="s">
        <v>190</v>
      </c>
      <c r="B1" s="515"/>
      <c r="C1" s="515"/>
      <c r="D1" s="515"/>
      <c r="E1" s="515"/>
      <c r="F1" s="515"/>
      <c r="G1" s="515"/>
      <c r="H1" s="515"/>
      <c r="I1" s="515"/>
      <c r="J1" s="515"/>
      <c r="K1" s="515"/>
      <c r="L1" s="515"/>
    </row>
    <row r="2" spans="1:12" ht="57.75" customHeight="1" thickBot="1" x14ac:dyDescent="0.4">
      <c r="A2" s="516" t="s">
        <v>259</v>
      </c>
      <c r="B2" s="516"/>
      <c r="C2" s="516"/>
      <c r="D2" s="516"/>
      <c r="E2" s="516"/>
      <c r="F2" s="516"/>
      <c r="G2" s="516"/>
      <c r="H2" s="516"/>
      <c r="I2" s="516"/>
      <c r="J2" s="516"/>
      <c r="K2" s="516"/>
      <c r="L2" s="516"/>
    </row>
    <row r="3" spans="1:12" customFormat="1" ht="49.5" customHeight="1" x14ac:dyDescent="0.3">
      <c r="A3" s="527" t="s">
        <v>260</v>
      </c>
      <c r="B3" s="529"/>
      <c r="C3" s="531" t="s">
        <v>261</v>
      </c>
      <c r="D3" s="531"/>
      <c r="E3" s="531"/>
      <c r="F3" s="529" t="s">
        <v>262</v>
      </c>
      <c r="G3" s="532" t="s">
        <v>263</v>
      </c>
      <c r="H3" s="517" t="s">
        <v>264</v>
      </c>
      <c r="I3" s="521" t="s">
        <v>265</v>
      </c>
      <c r="J3" s="521" t="s">
        <v>266</v>
      </c>
      <c r="K3" s="517" t="s">
        <v>267</v>
      </c>
      <c r="L3" s="523" t="s">
        <v>268</v>
      </c>
    </row>
    <row r="4" spans="1:12" customFormat="1" ht="73.5" customHeight="1" thickBot="1" x14ac:dyDescent="0.35">
      <c r="A4" s="528"/>
      <c r="B4" s="530"/>
      <c r="C4" s="270" t="s">
        <v>269</v>
      </c>
      <c r="D4" s="270" t="s">
        <v>270</v>
      </c>
      <c r="E4" s="270" t="s">
        <v>271</v>
      </c>
      <c r="F4" s="530"/>
      <c r="G4" s="533"/>
      <c r="H4" s="518"/>
      <c r="I4" s="522"/>
      <c r="J4" s="522"/>
      <c r="K4" s="518"/>
      <c r="L4" s="524"/>
    </row>
    <row r="5" spans="1:12" customFormat="1" ht="24" customHeight="1" thickBot="1" x14ac:dyDescent="0.35">
      <c r="A5" s="525" t="s">
        <v>272</v>
      </c>
      <c r="B5" s="526"/>
      <c r="C5" s="526"/>
      <c r="D5" s="526"/>
      <c r="E5" s="526"/>
      <c r="F5" s="526"/>
      <c r="G5" s="526"/>
      <c r="H5" s="526"/>
      <c r="I5" s="526"/>
      <c r="J5" s="271"/>
      <c r="K5" s="271"/>
      <c r="L5" s="272"/>
    </row>
    <row r="6" spans="1:12" customFormat="1" ht="49.5" customHeight="1" thickBot="1" x14ac:dyDescent="0.35">
      <c r="A6" s="273" t="s">
        <v>273</v>
      </c>
      <c r="B6" s="274"/>
      <c r="C6" s="275"/>
      <c r="D6" s="275"/>
      <c r="E6" s="275"/>
      <c r="F6" s="276"/>
      <c r="G6" s="277">
        <f>SUM(G7:G9)</f>
        <v>4</v>
      </c>
      <c r="H6" s="278"/>
      <c r="I6" s="279"/>
      <c r="J6" s="279">
        <f>SUM(J7:J9)</f>
        <v>17648</v>
      </c>
      <c r="K6" s="279">
        <f>SUM(K7:K9)</f>
        <v>4252</v>
      </c>
      <c r="L6" s="280">
        <f>SUM(L7:L9)</f>
        <v>21900</v>
      </c>
    </row>
    <row r="7" spans="1:12" customFormat="1" ht="49.5" customHeight="1" x14ac:dyDescent="0.3">
      <c r="A7" s="281">
        <v>2</v>
      </c>
      <c r="B7" s="282" t="s">
        <v>274</v>
      </c>
      <c r="C7" s="283" t="s">
        <v>275</v>
      </c>
      <c r="D7" s="284">
        <v>10</v>
      </c>
      <c r="E7" s="285" t="s">
        <v>276</v>
      </c>
      <c r="F7" s="286">
        <v>1174</v>
      </c>
      <c r="G7" s="287">
        <v>1</v>
      </c>
      <c r="H7" s="288">
        <v>12</v>
      </c>
      <c r="I7" s="286">
        <f>ROUND(F7*G7,0)</f>
        <v>1174</v>
      </c>
      <c r="J7" s="286">
        <f>ROUND(I7*0.3*H7-2,0)</f>
        <v>4224</v>
      </c>
      <c r="K7" s="286">
        <f>ROUND(J7*0.2409,0)</f>
        <v>1018</v>
      </c>
      <c r="L7" s="289">
        <f t="shared" ref="L7:L9" si="0">J7+K7</f>
        <v>5242</v>
      </c>
    </row>
    <row r="8" spans="1:12" customFormat="1" ht="34.5" customHeight="1" x14ac:dyDescent="0.3">
      <c r="A8" s="281">
        <v>3</v>
      </c>
      <c r="B8" s="282" t="s">
        <v>277</v>
      </c>
      <c r="C8" s="283" t="s">
        <v>278</v>
      </c>
      <c r="D8" s="284">
        <v>12</v>
      </c>
      <c r="E8" s="285" t="s">
        <v>276</v>
      </c>
      <c r="F8" s="286">
        <v>1382</v>
      </c>
      <c r="G8" s="287">
        <v>1</v>
      </c>
      <c r="H8" s="288">
        <v>12</v>
      </c>
      <c r="I8" s="286">
        <f>ROUND(F8*G8,0)</f>
        <v>1382</v>
      </c>
      <c r="J8" s="286">
        <f>ROUND(I8*0.3*H8-2,0)</f>
        <v>4973</v>
      </c>
      <c r="K8" s="286">
        <f t="shared" ref="K8:K9" si="1">ROUND(J8*0.2409,0)</f>
        <v>1198</v>
      </c>
      <c r="L8" s="289">
        <f t="shared" si="0"/>
        <v>6171</v>
      </c>
    </row>
    <row r="9" spans="1:12" customFormat="1" ht="35.25" customHeight="1" thickBot="1" x14ac:dyDescent="0.35">
      <c r="A9" s="290">
        <v>5</v>
      </c>
      <c r="B9" s="291" t="s">
        <v>277</v>
      </c>
      <c r="C9" s="292" t="s">
        <v>279</v>
      </c>
      <c r="D9" s="293">
        <v>10</v>
      </c>
      <c r="E9" s="294" t="s">
        <v>276</v>
      </c>
      <c r="F9" s="295">
        <v>1174</v>
      </c>
      <c r="G9" s="296">
        <v>2</v>
      </c>
      <c r="H9" s="297">
        <v>12</v>
      </c>
      <c r="I9" s="295">
        <f>ROUND(F9*G9,0)</f>
        <v>2348</v>
      </c>
      <c r="J9" s="295">
        <f>ROUND(I9*0.3*H9-2,0)</f>
        <v>8451</v>
      </c>
      <c r="K9" s="295">
        <f t="shared" si="1"/>
        <v>2036</v>
      </c>
      <c r="L9" s="298">
        <f t="shared" si="0"/>
        <v>10487</v>
      </c>
    </row>
    <row r="10" spans="1:12" customFormat="1" ht="45" customHeight="1" x14ac:dyDescent="0.3">
      <c r="A10" s="519" t="s">
        <v>280</v>
      </c>
      <c r="B10" s="519"/>
      <c r="C10" s="519"/>
      <c r="D10" s="519"/>
      <c r="E10" s="519"/>
      <c r="F10" s="519"/>
      <c r="G10" s="519"/>
      <c r="H10" s="519"/>
      <c r="I10" s="519"/>
      <c r="J10" s="519"/>
      <c r="K10" s="519"/>
      <c r="L10" s="519"/>
    </row>
    <row r="11" spans="1:12" customFormat="1" ht="14.4" x14ac:dyDescent="0.3"/>
    <row r="12" spans="1:12" customFormat="1" ht="14.4" x14ac:dyDescent="0.3">
      <c r="B12" s="520" t="s">
        <v>281</v>
      </c>
      <c r="C12" s="520"/>
    </row>
    <row r="13" spans="1:12" x14ac:dyDescent="0.35">
      <c r="B13" s="299" t="s">
        <v>282</v>
      </c>
      <c r="C13" s="299"/>
    </row>
  </sheetData>
  <mergeCells count="15">
    <mergeCell ref="A1:L1"/>
    <mergeCell ref="A2:L2"/>
    <mergeCell ref="K3:K4"/>
    <mergeCell ref="A10:L10"/>
    <mergeCell ref="B12:C12"/>
    <mergeCell ref="H3:H4"/>
    <mergeCell ref="I3:I4"/>
    <mergeCell ref="J3:J4"/>
    <mergeCell ref="L3:L4"/>
    <mergeCell ref="A5:I5"/>
    <mergeCell ref="A3:A4"/>
    <mergeCell ref="B3:B4"/>
    <mergeCell ref="C3:E3"/>
    <mergeCell ref="F3:F4"/>
    <mergeCell ref="G3:G4"/>
  </mergeCells>
  <pageMargins left="0.70866141732283472" right="0.70866141732283472" top="1.1417322834645669" bottom="0.7480314960629921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80" zoomScaleNormal="80" workbookViewId="0">
      <selection activeCell="O13" sqref="O13"/>
    </sheetView>
  </sheetViews>
  <sheetFormatPr defaultColWidth="9.109375" defaultRowHeight="20.399999999999999" x14ac:dyDescent="0.35"/>
  <cols>
    <col min="1" max="1" width="5" style="117" customWidth="1"/>
    <col min="2" max="2" width="14.88671875" style="119" customWidth="1"/>
    <col min="3" max="3" width="6" style="122" customWidth="1"/>
    <col min="4" max="8" width="10.5546875" style="119" customWidth="1"/>
    <col min="9" max="9" width="12.44140625" style="119" customWidth="1"/>
    <col min="10" max="10" width="52.109375" style="119" customWidth="1"/>
    <col min="11" max="11" width="15" style="119" bestFit="1" customWidth="1"/>
    <col min="12" max="16384" width="9.109375" style="119"/>
  </cols>
  <sheetData>
    <row r="1" spans="1:10" x14ac:dyDescent="0.35">
      <c r="B1" s="118" t="s">
        <v>150</v>
      </c>
    </row>
    <row r="2" spans="1:10" s="109" customFormat="1" ht="58.5" customHeight="1" x14ac:dyDescent="0.35">
      <c r="A2" s="117"/>
      <c r="C2" s="107" t="s">
        <v>155</v>
      </c>
      <c r="D2" s="107" t="s">
        <v>133</v>
      </c>
      <c r="E2" s="107" t="s">
        <v>140</v>
      </c>
      <c r="F2" s="107" t="s">
        <v>141</v>
      </c>
      <c r="G2" s="107" t="s">
        <v>146</v>
      </c>
      <c r="H2" s="107"/>
      <c r="I2" s="107"/>
    </row>
    <row r="3" spans="1:10" x14ac:dyDescent="0.35">
      <c r="B3" s="120" t="s">
        <v>134</v>
      </c>
      <c r="C3" s="108">
        <v>24</v>
      </c>
      <c r="D3" s="103">
        <v>30</v>
      </c>
      <c r="E3" s="103">
        <f>C3*D3</f>
        <v>720</v>
      </c>
      <c r="F3" s="103">
        <v>168</v>
      </c>
      <c r="G3" s="104">
        <f>E3/F3+0.21</f>
        <v>4.4957142857142856</v>
      </c>
      <c r="H3" s="534" t="s">
        <v>139</v>
      </c>
      <c r="I3" s="535"/>
      <c r="J3" s="536"/>
    </row>
    <row r="4" spans="1:10" x14ac:dyDescent="0.35">
      <c r="B4" s="120" t="s">
        <v>135</v>
      </c>
      <c r="C4" s="108">
        <v>24</v>
      </c>
      <c r="D4" s="103">
        <v>30</v>
      </c>
      <c r="E4" s="103">
        <f>C4*D4</f>
        <v>720</v>
      </c>
      <c r="F4" s="103">
        <v>168</v>
      </c>
      <c r="G4" s="104">
        <f>E4/F4+0.21</f>
        <v>4.4957142857142856</v>
      </c>
      <c r="H4" s="534" t="s">
        <v>139</v>
      </c>
      <c r="I4" s="535"/>
      <c r="J4" s="536"/>
    </row>
    <row r="5" spans="1:10" s="124" customFormat="1" x14ac:dyDescent="0.35">
      <c r="A5" s="117" t="s">
        <v>151</v>
      </c>
      <c r="B5" s="123" t="s">
        <v>136</v>
      </c>
      <c r="C5" s="112">
        <f>C3+C4</f>
        <v>48</v>
      </c>
      <c r="D5" s="129">
        <v>30</v>
      </c>
      <c r="E5" s="129">
        <f>E3+E4</f>
        <v>1440</v>
      </c>
      <c r="F5" s="129">
        <f>F3+F4</f>
        <v>336</v>
      </c>
      <c r="G5" s="130">
        <f>E5/F5+0.21</f>
        <v>4.4957142857142856</v>
      </c>
      <c r="H5" s="537" t="s">
        <v>139</v>
      </c>
      <c r="I5" s="538"/>
      <c r="J5" s="539"/>
    </row>
    <row r="6" spans="1:10" x14ac:dyDescent="0.35">
      <c r="B6" s="121"/>
      <c r="C6" s="128"/>
      <c r="D6" s="105"/>
      <c r="E6" s="105"/>
      <c r="F6" s="105"/>
      <c r="G6" s="106"/>
      <c r="H6" s="114"/>
      <c r="I6" s="114"/>
      <c r="J6" s="115"/>
    </row>
    <row r="7" spans="1:10" ht="22.2" x14ac:dyDescent="0.35">
      <c r="B7" s="121"/>
      <c r="C7" s="109" t="s">
        <v>145</v>
      </c>
      <c r="D7" s="107" t="s">
        <v>133</v>
      </c>
      <c r="E7" s="107" t="s">
        <v>140</v>
      </c>
      <c r="F7" s="107" t="s">
        <v>141</v>
      </c>
      <c r="G7" s="107" t="s">
        <v>146</v>
      </c>
      <c r="H7" s="116"/>
      <c r="I7" s="116"/>
      <c r="J7" s="115"/>
    </row>
    <row r="8" spans="1:10" s="124" customFormat="1" x14ac:dyDescent="0.35">
      <c r="A8" s="117" t="s">
        <v>152</v>
      </c>
      <c r="B8" s="123" t="s">
        <v>138</v>
      </c>
      <c r="C8" s="112">
        <f>(2*12)+(1*12)</f>
        <v>36</v>
      </c>
      <c r="D8" s="129">
        <v>30</v>
      </c>
      <c r="E8" s="129">
        <f>C8*D8</f>
        <v>1080</v>
      </c>
      <c r="F8" s="129">
        <f>F5</f>
        <v>336</v>
      </c>
      <c r="G8" s="130">
        <f>E8/F8+0.29</f>
        <v>3.5042857142857144</v>
      </c>
      <c r="H8" s="537" t="s">
        <v>137</v>
      </c>
      <c r="I8" s="538"/>
      <c r="J8" s="539"/>
    </row>
    <row r="12" spans="1:10" x14ac:dyDescent="0.35">
      <c r="B12" s="118" t="s">
        <v>153</v>
      </c>
    </row>
    <row r="13" spans="1:10" ht="69" customHeight="1" x14ac:dyDescent="0.35">
      <c r="B13" s="122"/>
      <c r="C13" s="107" t="s">
        <v>155</v>
      </c>
      <c r="D13" s="107" t="s">
        <v>143</v>
      </c>
      <c r="E13" s="107" t="s">
        <v>144</v>
      </c>
      <c r="F13" s="107" t="s">
        <v>154</v>
      </c>
      <c r="G13" s="107" t="s">
        <v>147</v>
      </c>
      <c r="H13" s="107" t="s">
        <v>148</v>
      </c>
      <c r="I13" s="107" t="s">
        <v>149</v>
      </c>
    </row>
    <row r="14" spans="1:10" ht="34.5" customHeight="1" x14ac:dyDescent="0.35">
      <c r="B14" s="120" t="s">
        <v>134</v>
      </c>
      <c r="C14" s="108">
        <v>24</v>
      </c>
      <c r="D14" s="108">
        <v>15</v>
      </c>
      <c r="E14" s="108">
        <f>C14*D14</f>
        <v>360</v>
      </c>
      <c r="F14" s="108">
        <f>E14/12</f>
        <v>30</v>
      </c>
      <c r="G14" s="110">
        <f>Pielik_2._Grozs_gadā_PA!E9/168</f>
        <v>8.0375604345238099</v>
      </c>
      <c r="H14" s="110">
        <f>G14*F14</f>
        <v>241.12681303571429</v>
      </c>
      <c r="I14" s="111">
        <f>H14*12</f>
        <v>2893.5217564285713</v>
      </c>
      <c r="J14" s="540" t="s">
        <v>142</v>
      </c>
    </row>
    <row r="15" spans="1:10" ht="34.5" customHeight="1" x14ac:dyDescent="0.35">
      <c r="B15" s="120" t="s">
        <v>135</v>
      </c>
      <c r="C15" s="108">
        <v>24</v>
      </c>
      <c r="D15" s="108">
        <v>15</v>
      </c>
      <c r="E15" s="108">
        <f>C15*D15</f>
        <v>360</v>
      </c>
      <c r="F15" s="108">
        <f t="shared" ref="F15:F18" si="0">E15/12</f>
        <v>30</v>
      </c>
      <c r="G15" s="110">
        <f>G14</f>
        <v>8.0375604345238099</v>
      </c>
      <c r="H15" s="110">
        <f>G15*F15</f>
        <v>241.12681303571429</v>
      </c>
      <c r="I15" s="111">
        <f>H15*12</f>
        <v>2893.5217564285713</v>
      </c>
      <c r="J15" s="540"/>
    </row>
    <row r="16" spans="1:10" s="124" customFormat="1" ht="34.5" customHeight="1" x14ac:dyDescent="0.35">
      <c r="A16" s="117" t="s">
        <v>151</v>
      </c>
      <c r="B16" s="123" t="s">
        <v>136</v>
      </c>
      <c r="C16" s="112">
        <f>C14+C15</f>
        <v>48</v>
      </c>
      <c r="D16" s="112">
        <v>15</v>
      </c>
      <c r="E16" s="112">
        <f>E14+E15</f>
        <v>720</v>
      </c>
      <c r="F16" s="112">
        <f t="shared" si="0"/>
        <v>60</v>
      </c>
      <c r="G16" s="113">
        <f>G15</f>
        <v>8.0375604345238099</v>
      </c>
      <c r="H16" s="113">
        <f>H14+H15</f>
        <v>482.25362607142858</v>
      </c>
      <c r="I16" s="127">
        <f>H16*12</f>
        <v>5787.0435128571426</v>
      </c>
      <c r="J16" s="540"/>
    </row>
    <row r="17" spans="1:10" x14ac:dyDescent="0.35">
      <c r="F17" s="125"/>
      <c r="G17" s="125"/>
      <c r="H17" s="125"/>
      <c r="I17" s="125"/>
      <c r="J17" s="125"/>
    </row>
    <row r="18" spans="1:10" s="124" customFormat="1" ht="34.5" customHeight="1" x14ac:dyDescent="0.35">
      <c r="A18" s="117" t="s">
        <v>151</v>
      </c>
      <c r="B18" s="123" t="s">
        <v>136</v>
      </c>
      <c r="C18" s="112">
        <f>C8</f>
        <v>36</v>
      </c>
      <c r="D18" s="112">
        <v>15</v>
      </c>
      <c r="E18" s="112">
        <f>C18*D18</f>
        <v>540</v>
      </c>
      <c r="F18" s="112">
        <f t="shared" si="0"/>
        <v>45</v>
      </c>
      <c r="G18" s="113">
        <f>G16</f>
        <v>8.0375604345238099</v>
      </c>
      <c r="H18" s="113">
        <f>G18*F18</f>
        <v>361.69021955357147</v>
      </c>
      <c r="I18" s="127">
        <f>H18*12</f>
        <v>4340.2826346428574</v>
      </c>
      <c r="J18" s="126" t="s">
        <v>137</v>
      </c>
    </row>
  </sheetData>
  <mergeCells count="5">
    <mergeCell ref="H3:J3"/>
    <mergeCell ref="H4:J4"/>
    <mergeCell ref="H5:J5"/>
    <mergeCell ref="H8:J8"/>
    <mergeCell ref="J14:J16"/>
  </mergeCells>
  <pageMargins left="0.7" right="0.7" top="0.75" bottom="0.75" header="0.3" footer="0.3"/>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Pielik_1_Izdevumi_KOPĀ</vt:lpstr>
      <vt:lpstr>Pielik_2._Grozs_gadā_PA</vt:lpstr>
      <vt:lpstr>Pielik_2.1._transporta_noma</vt:lpstr>
      <vt:lpstr>Pielik_2.2._km_degviela</vt:lpstr>
      <vt:lpstr>Pielik_2.3._Datortehn_ nodroš</vt:lpstr>
      <vt:lpstr>Pielik_2.4._supervizijas</vt:lpstr>
      <vt:lpstr>Pielik_3._pārraudzība</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2017-11-24T14:53:05Z</dcterms:modified>
</cp:coreProperties>
</file>