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vnozare.pri\vm\Redirect_profiles\VM_Sandra_Kasparenko\My Documents\MK_rikojumi (gatavotie)\2017\no_74.resora_85milj_iestradi_budzetaa_atlidzibai\uz_saskanosanu_elektroniski_prec_301117\"/>
    </mc:Choice>
  </mc:AlternateContent>
  <bookViews>
    <workbookView xWindow="0" yWindow="0" windowWidth="28800" windowHeight="12210" tabRatio="942"/>
  </bookViews>
  <sheets>
    <sheet name="pielikums" sheetId="14" r:id="rId1"/>
    <sheet name="pielikuma turpinājums" sheetId="22" r:id="rId2"/>
    <sheet name="pielikuma turpinājums2" sheetId="18" r:id="rId3"/>
    <sheet name="pielikuma turpinājums3" sheetId="21" r:id="rId4"/>
  </sheets>
  <externalReferences>
    <externalReference r:id="rId5"/>
    <externalReference r:id="rId6"/>
    <externalReference r:id="rId7"/>
    <externalReference r:id="rId8"/>
    <externalReference r:id="rId9"/>
  </externalReferences>
  <definedNames>
    <definedName name="_1_2_d_NMP_lim" localSheetId="0">#REF!</definedName>
    <definedName name="_1_2_d_NMP_lim">#REF!</definedName>
    <definedName name="_xlnm.Auto_Open" localSheetId="0">#REF!</definedName>
    <definedName name="_xlnm.Auto_Open">#REF!</definedName>
    <definedName name="b" localSheetId="0">#REF!</definedName>
    <definedName name="b">#REF!</definedName>
    <definedName name="bt" localSheetId="0">#REF!</definedName>
    <definedName name="bt">#REF!</definedName>
    <definedName name="BX" localSheetId="0">#REF!</definedName>
    <definedName name="BX">#REF!</definedName>
    <definedName name="ccc" localSheetId="0">#REF!</definedName>
    <definedName name="ccc">#REF!</definedName>
    <definedName name="d" localSheetId="0">#REF!</definedName>
    <definedName name="d">#REF!</definedName>
    <definedName name="D_Evija3" localSheetId="0">#REF!</definedName>
    <definedName name="D_Evija3">#REF!</definedName>
    <definedName name="de" localSheetId="0">#REF!</definedName>
    <definedName name="de">#REF!</definedName>
    <definedName name="dff">#NAME?</definedName>
    <definedName name="DRGNAMES" localSheetId="0">#REF!</definedName>
    <definedName name="DRGNAMES">#REF!</definedName>
    <definedName name="e" localSheetId="0">#REF!</definedName>
    <definedName name="e">#REF!</definedName>
    <definedName name="ee" localSheetId="0">#REF!</definedName>
    <definedName name="ee">#REF!</definedName>
    <definedName name="gad_skaits" localSheetId="0">#REF!</definedName>
    <definedName name="gad_skaits">#REF!</definedName>
    <definedName name="gad_skaits_1" localSheetId="0">#REF!</definedName>
    <definedName name="gad_skaits_1">#REF!</definedName>
    <definedName name="gggg" localSheetId="0">#REF!</definedName>
    <definedName name="gggg">#REF!</definedName>
    <definedName name="ghy" localSheetId="0">#REF!</definedName>
    <definedName name="ghy">#REF!</definedName>
    <definedName name="h" localSheetId="0">#REF!</definedName>
    <definedName name="h">#REF!</definedName>
    <definedName name="hh" localSheetId="0">#REF!</definedName>
    <definedName name="hh">#REF!</definedName>
    <definedName name="hjh" localSheetId="0">#REF!</definedName>
    <definedName name="hjh">#REF!</definedName>
    <definedName name="hyh" localSheetId="0">#REF!</definedName>
    <definedName name="hyh">#REF!</definedName>
    <definedName name="i" localSheetId="0">#REF!</definedName>
    <definedName name="i">#REF!</definedName>
    <definedName name="izm.kods" localSheetId="0">#REF!</definedName>
    <definedName name="izm.kods">#REF!</definedName>
    <definedName name="izm.kods_1">[1]izm.posteni!$A$2:$A$216</definedName>
    <definedName name="izm.nos" localSheetId="0">#REF!</definedName>
    <definedName name="izm.nos">#REF!</definedName>
    <definedName name="izm.nos_1">[1]izm.posteni!$B$2:$B$216</definedName>
    <definedName name="jhg" localSheetId="0">#REF!</definedName>
    <definedName name="jhg">#REF!</definedName>
    <definedName name="kk" localSheetId="0">#REF!</definedName>
    <definedName name="kk">#REF!</definedName>
    <definedName name="l" localSheetId="0">#REF!</definedName>
    <definedName name="l">#REF!</definedName>
    <definedName name="Limeni_7_9group" localSheetId="0">#REF!</definedName>
    <definedName name="Limeni_7_9group">#REF!</definedName>
    <definedName name="n" localSheetId="0">#REF!</definedName>
    <definedName name="n">#REF!</definedName>
    <definedName name="P_Dati_rikojums" localSheetId="0">#REF!</definedName>
    <definedName name="P_Dati_rikojums">#REF!</definedName>
    <definedName name="pp" localSheetId="0">#REF!</definedName>
    <definedName name="pp">#REF!</definedName>
    <definedName name="_xlnm.Print_Area" localSheetId="2">'pielikuma turpinājums2'!$A:$J</definedName>
    <definedName name="_xlnm.Print_Area" localSheetId="3">'pielikuma turpinājums3'!$A:$O</definedName>
    <definedName name="Recover">[2]Macro1!$A$80</definedName>
    <definedName name="Rikojums2222">[3]Macro1!$A$106</definedName>
    <definedName name="rr" localSheetId="0">#REF!</definedName>
    <definedName name="rr">#REF!</definedName>
    <definedName name="rt" localSheetId="0">#REF!</definedName>
    <definedName name="rt">#REF!</definedName>
    <definedName name="rty" localSheetId="0">#REF!</definedName>
    <definedName name="rty">#REF!</definedName>
    <definedName name="S5\" localSheetId="0">#REF!</definedName>
    <definedName name="S5\">#REF!</definedName>
    <definedName name="ss" localSheetId="0">#REF!</definedName>
    <definedName name="ss">#REF!</definedName>
    <definedName name="Str." localSheetId="0">#REF!</definedName>
    <definedName name="Str.">#REF!</definedName>
    <definedName name="Str.vien.nos." localSheetId="0">#REF!</definedName>
    <definedName name="Str.vien.nos.">#REF!</definedName>
    <definedName name="Struktura" localSheetId="0">#REF!</definedName>
    <definedName name="Struktura">#REF!</definedName>
    <definedName name="Struktūrvien.kodi2" localSheetId="0">#REF!</definedName>
    <definedName name="Struktūrvien.kodi2">#REF!</definedName>
    <definedName name="Struktūrvien.kodi2_1">[1]strukturkodi!$B$2:$B$232</definedName>
    <definedName name="Struktūrvien.kods" localSheetId="0">#REF!</definedName>
    <definedName name="Struktūrvien.kods">#REF!</definedName>
    <definedName name="Struktūrvien.kods_1">[1]strukturkodi!$A$2:$A$232</definedName>
    <definedName name="TableName">"Dummy"</definedName>
    <definedName name="ty" localSheetId="0">#REF!</definedName>
    <definedName name="ty">#REF!</definedName>
    <definedName name="tyuj" localSheetId="0">#REF!</definedName>
    <definedName name="tyuj">#REF!</definedName>
    <definedName name="u" localSheetId="0">#REF!</definedName>
    <definedName name="u">#REF!</definedName>
    <definedName name="U_N_A" localSheetId="0">#REF!</definedName>
    <definedName name="U_N_A">#REF!</definedName>
    <definedName name="wedr" localSheetId="0">#REF!</definedName>
    <definedName name="wedr">#REF!</definedName>
    <definedName name="x" localSheetId="0">#REF!</definedName>
    <definedName name="x">#REF!</definedName>
    <definedName name="XBD">[4]Dati!$B$6</definedName>
    <definedName name="XDD">[4]Dati!$B$4</definedName>
    <definedName name="XDS">[4]Dati!$B$5</definedName>
    <definedName name="XSVD">[4]Dati!$B$7</definedName>
    <definedName name="xxxx" localSheetId="0">#REF!</definedName>
    <definedName name="xxxx">#REF!</definedName>
    <definedName name="yuh" localSheetId="0">#REF!</definedName>
    <definedName name="yuh">#REF!</definedName>
    <definedName name="yyyy" localSheetId="0">#REF!</definedName>
    <definedName name="yyyy">#REF!</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8" i="22" l="1"/>
  <c r="F167" i="22"/>
  <c r="G167" i="22" s="1"/>
  <c r="H167" i="22" s="1"/>
  <c r="E167" i="22"/>
  <c r="F166" i="22"/>
  <c r="G166" i="22" s="1"/>
  <c r="H166" i="22" s="1"/>
  <c r="E166" i="22"/>
  <c r="F165" i="22"/>
  <c r="G165" i="22" s="1"/>
  <c r="H165" i="22" s="1"/>
  <c r="E165" i="22"/>
  <c r="F164" i="22"/>
  <c r="G164" i="22" s="1"/>
  <c r="H164" i="22" s="1"/>
  <c r="E164" i="22"/>
  <c r="F163" i="22"/>
  <c r="G163" i="22" s="1"/>
  <c r="H163" i="22" s="1"/>
  <c r="E163" i="22"/>
  <c r="F162" i="22"/>
  <c r="G162" i="22" s="1"/>
  <c r="H162" i="22" s="1"/>
  <c r="E162" i="22"/>
  <c r="F161" i="22"/>
  <c r="G161" i="22" s="1"/>
  <c r="H161" i="22" s="1"/>
  <c r="E161" i="22"/>
  <c r="F160" i="22"/>
  <c r="G160" i="22" s="1"/>
  <c r="H160" i="22" s="1"/>
  <c r="E160" i="22"/>
  <c r="F159" i="22"/>
  <c r="G159" i="22" s="1"/>
  <c r="H159" i="22" s="1"/>
  <c r="E159" i="22"/>
  <c r="F158" i="22"/>
  <c r="G158" i="22" s="1"/>
  <c r="H158" i="22" s="1"/>
  <c r="E158" i="22"/>
  <c r="F157" i="22"/>
  <c r="G157" i="22" s="1"/>
  <c r="H157" i="22" s="1"/>
  <c r="E157" i="22"/>
  <c r="F156" i="22"/>
  <c r="G156" i="22" s="1"/>
  <c r="H156" i="22" s="1"/>
  <c r="E156" i="22"/>
  <c r="F155" i="22"/>
  <c r="G155" i="22" s="1"/>
  <c r="H155" i="22" s="1"/>
  <c r="E155" i="22"/>
  <c r="F154" i="22"/>
  <c r="G154" i="22" s="1"/>
  <c r="H154" i="22" s="1"/>
  <c r="E154" i="22"/>
  <c r="F153" i="22"/>
  <c r="G153" i="22" s="1"/>
  <c r="H153" i="22" s="1"/>
  <c r="E153" i="22"/>
  <c r="F152" i="22"/>
  <c r="G152" i="22" s="1"/>
  <c r="H152" i="22" s="1"/>
  <c r="E152" i="22"/>
  <c r="F151" i="22"/>
  <c r="G151" i="22" s="1"/>
  <c r="H151" i="22" s="1"/>
  <c r="E151" i="22"/>
  <c r="F150" i="22"/>
  <c r="G150" i="22" s="1"/>
  <c r="H150" i="22" s="1"/>
  <c r="E150" i="22"/>
  <c r="F149" i="22"/>
  <c r="G149" i="22" s="1"/>
  <c r="H149" i="22" s="1"/>
  <c r="E149" i="22"/>
  <c r="F148" i="22"/>
  <c r="G148" i="22" s="1"/>
  <c r="H148" i="22" s="1"/>
  <c r="E148" i="22"/>
  <c r="F147" i="22"/>
  <c r="G147" i="22" s="1"/>
  <c r="H147" i="22" s="1"/>
  <c r="E147" i="22"/>
  <c r="F146" i="22"/>
  <c r="G146" i="22" s="1"/>
  <c r="H146" i="22" s="1"/>
  <c r="E146" i="22"/>
  <c r="F145" i="22"/>
  <c r="G145" i="22" s="1"/>
  <c r="H145" i="22" s="1"/>
  <c r="E145" i="22"/>
  <c r="G144" i="22"/>
  <c r="H144" i="22" s="1"/>
  <c r="F144" i="22"/>
  <c r="E144" i="22"/>
  <c r="G143" i="22"/>
  <c r="H143" i="22" s="1"/>
  <c r="F143" i="22"/>
  <c r="E143" i="22"/>
  <c r="F142" i="22"/>
  <c r="G142" i="22" s="1"/>
  <c r="H142" i="22" s="1"/>
  <c r="E142" i="22"/>
  <c r="F141" i="22"/>
  <c r="G141" i="22" s="1"/>
  <c r="H141" i="22" s="1"/>
  <c r="E141" i="22"/>
  <c r="G140" i="22"/>
  <c r="H140" i="22" s="1"/>
  <c r="F140" i="22"/>
  <c r="E140" i="22"/>
  <c r="G139" i="22"/>
  <c r="H139" i="22" s="1"/>
  <c r="F139" i="22"/>
  <c r="E139" i="22"/>
  <c r="F138" i="22"/>
  <c r="G138" i="22" s="1"/>
  <c r="H138" i="22" s="1"/>
  <c r="E138" i="22"/>
  <c r="F137" i="22"/>
  <c r="G137" i="22" s="1"/>
  <c r="H137" i="22" s="1"/>
  <c r="E137" i="22"/>
  <c r="E136" i="22"/>
  <c r="F136" i="22" s="1"/>
  <c r="G136" i="22" s="1"/>
  <c r="H136" i="22" s="1"/>
  <c r="G135" i="22"/>
  <c r="H135" i="22" s="1"/>
  <c r="F135" i="22"/>
  <c r="E135" i="22"/>
  <c r="F134" i="22"/>
  <c r="G134" i="22" s="1"/>
  <c r="H134" i="22" s="1"/>
  <c r="E134" i="22"/>
  <c r="E133" i="22"/>
  <c r="F133" i="22" s="1"/>
  <c r="G133" i="22" s="1"/>
  <c r="H133" i="22" s="1"/>
  <c r="E132" i="22"/>
  <c r="F132" i="22" s="1"/>
  <c r="G132" i="22" s="1"/>
  <c r="H132" i="22" s="1"/>
  <c r="G131" i="22"/>
  <c r="H131" i="22" s="1"/>
  <c r="F131" i="22"/>
  <c r="E131" i="22"/>
  <c r="F130" i="22"/>
  <c r="G130" i="22" s="1"/>
  <c r="H130" i="22" s="1"/>
  <c r="E130" i="22"/>
  <c r="E129" i="22"/>
  <c r="F129" i="22" s="1"/>
  <c r="G129" i="22" s="1"/>
  <c r="H129" i="22" s="1"/>
  <c r="E128" i="22"/>
  <c r="F128" i="22" s="1"/>
  <c r="G128" i="22" s="1"/>
  <c r="H128" i="22" s="1"/>
  <c r="G127" i="22"/>
  <c r="H127" i="22" s="1"/>
  <c r="F127" i="22"/>
  <c r="E127" i="22"/>
  <c r="F126" i="22"/>
  <c r="G126" i="22" s="1"/>
  <c r="H126" i="22" s="1"/>
  <c r="E126" i="22"/>
  <c r="E125" i="22"/>
  <c r="F125" i="22" s="1"/>
  <c r="G125" i="22" s="1"/>
  <c r="H125" i="22" s="1"/>
  <c r="E124" i="22"/>
  <c r="F124" i="22" s="1"/>
  <c r="G124" i="22" s="1"/>
  <c r="H124" i="22" s="1"/>
  <c r="G123" i="22"/>
  <c r="H123" i="22" s="1"/>
  <c r="F123" i="22"/>
  <c r="E123" i="22"/>
  <c r="F122" i="22"/>
  <c r="G122" i="22" s="1"/>
  <c r="H122" i="22" s="1"/>
  <c r="E122" i="22"/>
  <c r="E121" i="22"/>
  <c r="F121" i="22" s="1"/>
  <c r="G121" i="22" s="1"/>
  <c r="H121" i="22" s="1"/>
  <c r="E120" i="22"/>
  <c r="F120" i="22" s="1"/>
  <c r="G120" i="22" s="1"/>
  <c r="H120" i="22" s="1"/>
  <c r="G119" i="22"/>
  <c r="H119" i="22" s="1"/>
  <c r="F119" i="22"/>
  <c r="E119" i="22"/>
  <c r="F118" i="22"/>
  <c r="G118" i="22" s="1"/>
  <c r="H118" i="22" s="1"/>
  <c r="E118" i="22"/>
  <c r="E117" i="22"/>
  <c r="F117" i="22" s="1"/>
  <c r="G117" i="22" s="1"/>
  <c r="H117" i="22" s="1"/>
  <c r="E116" i="22"/>
  <c r="F116" i="22" s="1"/>
  <c r="G116" i="22" s="1"/>
  <c r="H116" i="22" s="1"/>
  <c r="G115" i="22"/>
  <c r="H115" i="22" s="1"/>
  <c r="F115" i="22"/>
  <c r="E115" i="22"/>
  <c r="F114" i="22"/>
  <c r="G114" i="22" s="1"/>
  <c r="H114" i="22" s="1"/>
  <c r="E114" i="22"/>
  <c r="E113" i="22"/>
  <c r="F113" i="22" s="1"/>
  <c r="G113" i="22" s="1"/>
  <c r="H113" i="22" s="1"/>
  <c r="E112" i="22"/>
  <c r="F112" i="22" s="1"/>
  <c r="G112" i="22" s="1"/>
  <c r="H112" i="22" s="1"/>
  <c r="G111" i="22"/>
  <c r="H111" i="22" s="1"/>
  <c r="F111" i="22"/>
  <c r="E111" i="22"/>
  <c r="F110" i="22"/>
  <c r="G110" i="22" s="1"/>
  <c r="H110" i="22" s="1"/>
  <c r="E110" i="22"/>
  <c r="E109" i="22"/>
  <c r="F109" i="22" s="1"/>
  <c r="G109" i="22" s="1"/>
  <c r="H109" i="22" s="1"/>
  <c r="E108" i="22"/>
  <c r="F108" i="22" s="1"/>
  <c r="G108" i="22" s="1"/>
  <c r="H108" i="22" s="1"/>
  <c r="G107" i="22"/>
  <c r="H107" i="22" s="1"/>
  <c r="F107" i="22"/>
  <c r="E107" i="22"/>
  <c r="F106" i="22"/>
  <c r="G106" i="22" s="1"/>
  <c r="H106" i="22" s="1"/>
  <c r="E106" i="22"/>
  <c r="E105" i="22"/>
  <c r="F105" i="22" s="1"/>
  <c r="G105" i="22" s="1"/>
  <c r="H105" i="22" s="1"/>
  <c r="E104" i="22"/>
  <c r="F104" i="22" s="1"/>
  <c r="G104" i="22" s="1"/>
  <c r="H104" i="22" s="1"/>
  <c r="G103" i="22"/>
  <c r="H103" i="22" s="1"/>
  <c r="F103" i="22"/>
  <c r="E103" i="22"/>
  <c r="F102" i="22"/>
  <c r="G102" i="22" s="1"/>
  <c r="H102" i="22" s="1"/>
  <c r="E102" i="22"/>
  <c r="E101" i="22"/>
  <c r="F101" i="22" s="1"/>
  <c r="G101" i="22" s="1"/>
  <c r="H101" i="22" s="1"/>
  <c r="E100" i="22"/>
  <c r="F100" i="22" s="1"/>
  <c r="G100" i="22" s="1"/>
  <c r="H100" i="22" s="1"/>
  <c r="G99" i="22"/>
  <c r="H99" i="22" s="1"/>
  <c r="F99" i="22"/>
  <c r="E99" i="22"/>
  <c r="F98" i="22"/>
  <c r="G98" i="22" s="1"/>
  <c r="H98" i="22" s="1"/>
  <c r="E98" i="22"/>
  <c r="E97" i="22"/>
  <c r="F97" i="22" s="1"/>
  <c r="G97" i="22" s="1"/>
  <c r="H97" i="22" s="1"/>
  <c r="E96" i="22"/>
  <c r="F96" i="22" s="1"/>
  <c r="G96" i="22" s="1"/>
  <c r="H96" i="22" s="1"/>
  <c r="G95" i="22"/>
  <c r="H95" i="22" s="1"/>
  <c r="F95" i="22"/>
  <c r="E95" i="22"/>
  <c r="F94" i="22"/>
  <c r="G94" i="22" s="1"/>
  <c r="H94" i="22" s="1"/>
  <c r="E94" i="22"/>
  <c r="E93" i="22"/>
  <c r="F93" i="22" s="1"/>
  <c r="G93" i="22" s="1"/>
  <c r="H93" i="22" s="1"/>
  <c r="E92" i="22"/>
  <c r="F92" i="22" s="1"/>
  <c r="G92" i="22" s="1"/>
  <c r="H92" i="22" s="1"/>
  <c r="G91" i="22"/>
  <c r="H91" i="22" s="1"/>
  <c r="F91" i="22"/>
  <c r="E91" i="22"/>
  <c r="F90" i="22"/>
  <c r="G90" i="22" s="1"/>
  <c r="H90" i="22" s="1"/>
  <c r="E90" i="22"/>
  <c r="E89" i="22"/>
  <c r="F89" i="22" s="1"/>
  <c r="G89" i="22" s="1"/>
  <c r="H89" i="22" s="1"/>
  <c r="E88" i="22"/>
  <c r="F88" i="22" s="1"/>
  <c r="G88" i="22" s="1"/>
  <c r="H88" i="22" s="1"/>
  <c r="G87" i="22"/>
  <c r="H87" i="22" s="1"/>
  <c r="F87" i="22"/>
  <c r="E87" i="22"/>
  <c r="F86" i="22"/>
  <c r="G86" i="22" s="1"/>
  <c r="H86" i="22" s="1"/>
  <c r="E86" i="22"/>
  <c r="E85" i="22"/>
  <c r="F85" i="22" s="1"/>
  <c r="G85" i="22" s="1"/>
  <c r="H85" i="22" s="1"/>
  <c r="E84" i="22"/>
  <c r="F84" i="22" s="1"/>
  <c r="G84" i="22" s="1"/>
  <c r="H84" i="22" s="1"/>
  <c r="H83" i="22"/>
  <c r="E83" i="22"/>
  <c r="F83" i="22" s="1"/>
  <c r="G83" i="22" s="1"/>
  <c r="H82" i="22"/>
  <c r="E82" i="22"/>
  <c r="F82" i="22" s="1"/>
  <c r="G82" i="22" s="1"/>
  <c r="H81" i="22"/>
  <c r="E81" i="22"/>
  <c r="F81" i="22" s="1"/>
  <c r="G81" i="22" s="1"/>
  <c r="H80" i="22"/>
  <c r="E80" i="22"/>
  <c r="F80" i="22" s="1"/>
  <c r="G80" i="22" s="1"/>
  <c r="H79" i="22"/>
  <c r="E79" i="22"/>
  <c r="F79" i="22" s="1"/>
  <c r="G79" i="22" s="1"/>
  <c r="H78" i="22"/>
  <c r="E78" i="22"/>
  <c r="F78" i="22" s="1"/>
  <c r="G78" i="22" s="1"/>
  <c r="H77" i="22"/>
  <c r="E77" i="22"/>
  <c r="F77" i="22" s="1"/>
  <c r="G77" i="22" s="1"/>
  <c r="H76" i="22"/>
  <c r="E76" i="22"/>
  <c r="F76" i="22" s="1"/>
  <c r="G76" i="22" s="1"/>
  <c r="H75" i="22"/>
  <c r="E75" i="22"/>
  <c r="F75" i="22" s="1"/>
  <c r="G75" i="22" s="1"/>
  <c r="H74" i="22"/>
  <c r="E74" i="22"/>
  <c r="F74" i="22" s="1"/>
  <c r="G74" i="22" s="1"/>
  <c r="H73" i="22"/>
  <c r="E73" i="22"/>
  <c r="F73" i="22" s="1"/>
  <c r="G73" i="22" s="1"/>
  <c r="H72" i="22"/>
  <c r="E72" i="22"/>
  <c r="F72" i="22" s="1"/>
  <c r="G72" i="22" s="1"/>
  <c r="H71" i="22"/>
  <c r="E71" i="22"/>
  <c r="F71" i="22" s="1"/>
  <c r="G71" i="22" s="1"/>
  <c r="H70" i="22"/>
  <c r="E70" i="22"/>
  <c r="F70" i="22" s="1"/>
  <c r="G70" i="22" s="1"/>
  <c r="H69" i="22"/>
  <c r="E69" i="22"/>
  <c r="F69" i="22" s="1"/>
  <c r="G69" i="22" s="1"/>
  <c r="H68" i="22"/>
  <c r="E68" i="22"/>
  <c r="F68" i="22" s="1"/>
  <c r="G68" i="22" s="1"/>
  <c r="H67" i="22"/>
  <c r="E67" i="22"/>
  <c r="F67" i="22" s="1"/>
  <c r="G67" i="22" s="1"/>
  <c r="E66" i="22"/>
  <c r="F66" i="22" s="1"/>
  <c r="G66" i="22" s="1"/>
  <c r="H66" i="22" s="1"/>
  <c r="H65" i="22"/>
  <c r="E65" i="22"/>
  <c r="F65" i="22" s="1"/>
  <c r="G65" i="22" s="1"/>
  <c r="E64" i="22"/>
  <c r="F64" i="22" s="1"/>
  <c r="G64" i="22" s="1"/>
  <c r="H64" i="22" s="1"/>
  <c r="H63" i="22"/>
  <c r="E63" i="22"/>
  <c r="F63" i="22" s="1"/>
  <c r="G63" i="22" s="1"/>
  <c r="E62" i="22"/>
  <c r="F62" i="22" s="1"/>
  <c r="G62" i="22" s="1"/>
  <c r="H62" i="22" s="1"/>
  <c r="H61" i="22"/>
  <c r="E61" i="22"/>
  <c r="F61" i="22" s="1"/>
  <c r="G61" i="22" s="1"/>
  <c r="E60" i="22"/>
  <c r="F60" i="22" s="1"/>
  <c r="G60" i="22" s="1"/>
  <c r="H60" i="22" s="1"/>
  <c r="H59" i="22"/>
  <c r="E59" i="22"/>
  <c r="F59" i="22" s="1"/>
  <c r="G59" i="22" s="1"/>
  <c r="E58" i="22"/>
  <c r="F58" i="22" s="1"/>
  <c r="G58" i="22" s="1"/>
  <c r="H58" i="22" s="1"/>
  <c r="H57" i="22"/>
  <c r="E57" i="22"/>
  <c r="F57" i="22" s="1"/>
  <c r="G57" i="22" s="1"/>
  <c r="E56" i="22"/>
  <c r="F56" i="22" s="1"/>
  <c r="G56" i="22" s="1"/>
  <c r="H56" i="22" s="1"/>
  <c r="H55" i="22"/>
  <c r="E55" i="22"/>
  <c r="F55" i="22" s="1"/>
  <c r="G55" i="22" s="1"/>
  <c r="E54" i="22"/>
  <c r="F54" i="22" s="1"/>
  <c r="G54" i="22" s="1"/>
  <c r="H54" i="22" s="1"/>
  <c r="H53" i="22"/>
  <c r="E53" i="22"/>
  <c r="F53" i="22" s="1"/>
  <c r="G53" i="22" s="1"/>
  <c r="E52" i="22"/>
  <c r="F52" i="22" s="1"/>
  <c r="G52" i="22" s="1"/>
  <c r="H52" i="22" s="1"/>
  <c r="H51" i="22"/>
  <c r="E51" i="22"/>
  <c r="F51" i="22" s="1"/>
  <c r="G51" i="22" s="1"/>
  <c r="E50" i="22"/>
  <c r="F50" i="22" s="1"/>
  <c r="G50" i="22" s="1"/>
  <c r="H50" i="22" s="1"/>
  <c r="H49" i="22"/>
  <c r="E49" i="22"/>
  <c r="F49" i="22" s="1"/>
  <c r="G49" i="22" s="1"/>
  <c r="E48" i="22"/>
  <c r="F48" i="22" s="1"/>
  <c r="G48" i="22" s="1"/>
  <c r="H48" i="22" s="1"/>
  <c r="H47" i="22"/>
  <c r="E47" i="22"/>
  <c r="F47" i="22" s="1"/>
  <c r="G47" i="22" s="1"/>
  <c r="E46" i="22"/>
  <c r="F46" i="22" s="1"/>
  <c r="G46" i="22" s="1"/>
  <c r="H46" i="22" s="1"/>
  <c r="H45" i="22"/>
  <c r="E45" i="22"/>
  <c r="F45" i="22" s="1"/>
  <c r="G45" i="22" s="1"/>
  <c r="E44" i="22"/>
  <c r="F44" i="22" s="1"/>
  <c r="G44" i="22" s="1"/>
  <c r="H44" i="22" s="1"/>
  <c r="H43" i="22"/>
  <c r="E43" i="22"/>
  <c r="F43" i="22" s="1"/>
  <c r="G43" i="22" s="1"/>
  <c r="E42" i="22"/>
  <c r="F42" i="22" s="1"/>
  <c r="G42" i="22" s="1"/>
  <c r="H42" i="22" s="1"/>
  <c r="H41" i="22"/>
  <c r="E41" i="22"/>
  <c r="F41" i="22" s="1"/>
  <c r="G41" i="22" s="1"/>
  <c r="E40" i="22"/>
  <c r="F40" i="22" s="1"/>
  <c r="G40" i="22" s="1"/>
  <c r="H40" i="22" s="1"/>
  <c r="H39" i="22"/>
  <c r="E39" i="22"/>
  <c r="F39" i="22" s="1"/>
  <c r="G39" i="22" s="1"/>
  <c r="E38" i="22"/>
  <c r="F38" i="22" s="1"/>
  <c r="G38" i="22" s="1"/>
  <c r="H38" i="22" s="1"/>
  <c r="H37" i="22"/>
  <c r="E37" i="22"/>
  <c r="F37" i="22" s="1"/>
  <c r="G37" i="22" s="1"/>
  <c r="E36" i="22"/>
  <c r="F36" i="22" s="1"/>
  <c r="G36" i="22" s="1"/>
  <c r="H36" i="22" s="1"/>
  <c r="H35" i="22"/>
  <c r="E35" i="22"/>
  <c r="F35" i="22" s="1"/>
  <c r="G35" i="22" s="1"/>
  <c r="E34" i="22"/>
  <c r="F34" i="22" s="1"/>
  <c r="G34" i="22" s="1"/>
  <c r="H34" i="22" s="1"/>
  <c r="H33" i="22"/>
  <c r="E33" i="22"/>
  <c r="F33" i="22" s="1"/>
  <c r="G33" i="22" s="1"/>
  <c r="E32" i="22"/>
  <c r="F32" i="22" s="1"/>
  <c r="G32" i="22" s="1"/>
  <c r="H32" i="22" s="1"/>
  <c r="H31" i="22"/>
  <c r="E31" i="22"/>
  <c r="F31" i="22" s="1"/>
  <c r="G31" i="22" s="1"/>
  <c r="E30" i="22"/>
  <c r="F30" i="22" s="1"/>
  <c r="G30" i="22" s="1"/>
  <c r="H30" i="22" s="1"/>
  <c r="H29" i="22"/>
  <c r="E29" i="22"/>
  <c r="F29" i="22" s="1"/>
  <c r="G29" i="22" s="1"/>
  <c r="E28" i="22"/>
  <c r="F28" i="22" s="1"/>
  <c r="G28" i="22" s="1"/>
  <c r="H28" i="22" s="1"/>
  <c r="H27" i="22"/>
  <c r="E27" i="22"/>
  <c r="F27" i="22" s="1"/>
  <c r="G27" i="22" s="1"/>
  <c r="E26" i="22"/>
  <c r="F26" i="22" s="1"/>
  <c r="G26" i="22" s="1"/>
  <c r="H26" i="22" s="1"/>
  <c r="H25" i="22"/>
  <c r="E25" i="22"/>
  <c r="F25" i="22" s="1"/>
  <c r="G25" i="22" s="1"/>
  <c r="E24" i="22"/>
  <c r="F24" i="22" s="1"/>
  <c r="G24" i="22" s="1"/>
  <c r="H24" i="22" s="1"/>
  <c r="H23" i="22"/>
  <c r="E23" i="22"/>
  <c r="F23" i="22" s="1"/>
  <c r="G23" i="22" s="1"/>
  <c r="E22" i="22"/>
  <c r="F22" i="22" s="1"/>
  <c r="G22" i="22" s="1"/>
  <c r="H22" i="22" s="1"/>
  <c r="H21" i="22"/>
  <c r="E21" i="22"/>
  <c r="F21" i="22" s="1"/>
  <c r="G21" i="22" s="1"/>
  <c r="E20" i="22"/>
  <c r="F20" i="22" s="1"/>
  <c r="G20" i="22" s="1"/>
  <c r="H20" i="22" s="1"/>
  <c r="H19" i="22"/>
  <c r="E19" i="22"/>
  <c r="F19" i="22" s="1"/>
  <c r="G19" i="22" s="1"/>
  <c r="E18" i="22"/>
  <c r="F18" i="22" s="1"/>
  <c r="G18" i="22" s="1"/>
  <c r="H18" i="22" s="1"/>
  <c r="H17" i="22"/>
  <c r="E17" i="22"/>
  <c r="F17" i="22" s="1"/>
  <c r="G17" i="22" s="1"/>
  <c r="E16" i="22"/>
  <c r="F16" i="22" s="1"/>
  <c r="G16" i="22" s="1"/>
  <c r="H16" i="22" s="1"/>
  <c r="H15" i="22"/>
  <c r="E15" i="22"/>
  <c r="F15" i="22" s="1"/>
  <c r="G15" i="22" s="1"/>
  <c r="E14" i="22"/>
  <c r="F14" i="22" s="1"/>
  <c r="G14" i="22" s="1"/>
  <c r="H14" i="22" s="1"/>
  <c r="H13" i="22"/>
  <c r="G13" i="22"/>
  <c r="E13" i="22"/>
  <c r="F13" i="22" s="1"/>
  <c r="G12" i="22"/>
  <c r="H12" i="22" s="1"/>
  <c r="E12" i="22"/>
  <c r="F12" i="22" s="1"/>
  <c r="E11" i="22"/>
  <c r="F11" i="22" s="1"/>
  <c r="G11" i="22" s="1"/>
  <c r="H11" i="22" s="1"/>
  <c r="E10" i="22"/>
  <c r="F10" i="22" s="1"/>
  <c r="G10" i="22" s="1"/>
  <c r="H10" i="22" s="1"/>
  <c r="H9" i="22"/>
  <c r="G9" i="22"/>
  <c r="E9" i="22"/>
  <c r="F9" i="22" s="1"/>
  <c r="G8" i="22"/>
  <c r="H8" i="22" s="1"/>
  <c r="E8" i="22"/>
  <c r="F8" i="22" s="1"/>
  <c r="H168" i="22" l="1"/>
  <c r="G168" i="22"/>
  <c r="F168" i="22"/>
  <c r="G61" i="18" l="1"/>
  <c r="G65" i="18" s="1"/>
  <c r="G58" i="18"/>
  <c r="O70" i="21" l="1"/>
  <c r="Q621" i="14" l="1"/>
  <c r="R620" i="14"/>
  <c r="S620" i="14" s="1"/>
  <c r="J620" i="14"/>
  <c r="J621" i="14" s="1"/>
  <c r="R619" i="14"/>
  <c r="S619" i="14" s="1"/>
  <c r="S621" i="14" s="1"/>
  <c r="J614" i="14"/>
  <c r="K613" i="14"/>
  <c r="L613" i="14" s="1"/>
  <c r="K612" i="14"/>
  <c r="L612" i="14" s="1"/>
  <c r="N612" i="14" s="1"/>
  <c r="M612" i="14" s="1"/>
  <c r="J610" i="14"/>
  <c r="K609" i="14"/>
  <c r="L609" i="14" s="1"/>
  <c r="K608" i="14"/>
  <c r="L608" i="14" s="1"/>
  <c r="K607" i="14"/>
  <c r="L607" i="14" s="1"/>
  <c r="N607" i="14" s="1"/>
  <c r="M607" i="14" s="1"/>
  <c r="K606" i="14"/>
  <c r="L606" i="14" s="1"/>
  <c r="N606" i="14" s="1"/>
  <c r="M606" i="14" s="1"/>
  <c r="K605" i="14"/>
  <c r="L605" i="14" s="1"/>
  <c r="J602" i="14"/>
  <c r="K601" i="14"/>
  <c r="L601" i="14" s="1"/>
  <c r="K600" i="14"/>
  <c r="L600" i="14" s="1"/>
  <c r="N600" i="14" s="1"/>
  <c r="M600" i="14" s="1"/>
  <c r="K599" i="14"/>
  <c r="L599" i="14" s="1"/>
  <c r="K598" i="14"/>
  <c r="L598" i="14" s="1"/>
  <c r="K597" i="14"/>
  <c r="L597" i="14" s="1"/>
  <c r="K596" i="14"/>
  <c r="L596" i="14" s="1"/>
  <c r="O595" i="14"/>
  <c r="P595" i="14" s="1"/>
  <c r="Q595" i="14" s="1"/>
  <c r="K595" i="14"/>
  <c r="L595" i="14" s="1"/>
  <c r="N595" i="14" s="1"/>
  <c r="M595" i="14" s="1"/>
  <c r="K594" i="14"/>
  <c r="L594" i="14" s="1"/>
  <c r="L593" i="14"/>
  <c r="K593" i="14"/>
  <c r="K592" i="14"/>
  <c r="L592" i="14" s="1"/>
  <c r="N592" i="14" s="1"/>
  <c r="M592" i="14" s="1"/>
  <c r="K591" i="14"/>
  <c r="L591" i="14" s="1"/>
  <c r="N591" i="14" s="1"/>
  <c r="M591" i="14" s="1"/>
  <c r="K590" i="14"/>
  <c r="L590" i="14" s="1"/>
  <c r="K589" i="14"/>
  <c r="L589" i="14" s="1"/>
  <c r="K588" i="14"/>
  <c r="L588" i="14" s="1"/>
  <c r="O587" i="14"/>
  <c r="P587" i="14" s="1"/>
  <c r="Q587" i="14" s="1"/>
  <c r="R587" i="14" s="1"/>
  <c r="K587" i="14"/>
  <c r="L587" i="14" s="1"/>
  <c r="N587" i="14" s="1"/>
  <c r="M587" i="14" s="1"/>
  <c r="K586" i="14"/>
  <c r="L586" i="14" s="1"/>
  <c r="L585" i="14"/>
  <c r="K585" i="14"/>
  <c r="K584" i="14"/>
  <c r="L584" i="14" s="1"/>
  <c r="N584" i="14" s="1"/>
  <c r="M584" i="14" s="1"/>
  <c r="J582" i="14"/>
  <c r="K581" i="14"/>
  <c r="L581" i="14" s="1"/>
  <c r="N581" i="14" s="1"/>
  <c r="M581" i="14" s="1"/>
  <c r="K580" i="14"/>
  <c r="L580" i="14" s="1"/>
  <c r="J577" i="14"/>
  <c r="J615" i="14" s="1"/>
  <c r="K576" i="14"/>
  <c r="L576" i="14" s="1"/>
  <c r="J570" i="14"/>
  <c r="K569" i="14"/>
  <c r="L569" i="14" s="1"/>
  <c r="I569" i="14"/>
  <c r="N569" i="14" s="1"/>
  <c r="M569" i="14" s="1"/>
  <c r="K566" i="14"/>
  <c r="L566" i="14" s="1"/>
  <c r="I566" i="14"/>
  <c r="K565" i="14"/>
  <c r="L565" i="14" s="1"/>
  <c r="I565" i="14"/>
  <c r="K564" i="14"/>
  <c r="L564" i="14" s="1"/>
  <c r="J564" i="14"/>
  <c r="I564" i="14"/>
  <c r="K563" i="14"/>
  <c r="L563" i="14" s="1"/>
  <c r="N563" i="14" s="1"/>
  <c r="M563" i="14" s="1"/>
  <c r="O563" i="14" s="1"/>
  <c r="J563" i="14"/>
  <c r="J567" i="14" s="1"/>
  <c r="I563" i="14"/>
  <c r="K562" i="14"/>
  <c r="L562" i="14" s="1"/>
  <c r="I562" i="14"/>
  <c r="N562" i="14" s="1"/>
  <c r="M562" i="14" s="1"/>
  <c r="L561" i="14"/>
  <c r="K561" i="14"/>
  <c r="I561" i="14"/>
  <c r="N561" i="14" s="1"/>
  <c r="M561" i="14" s="1"/>
  <c r="K558" i="14"/>
  <c r="L558" i="14" s="1"/>
  <c r="I558" i="14"/>
  <c r="K557" i="14"/>
  <c r="L557" i="14" s="1"/>
  <c r="I557" i="14"/>
  <c r="K556" i="14"/>
  <c r="L556" i="14" s="1"/>
  <c r="I556" i="14"/>
  <c r="K555" i="14"/>
  <c r="L555" i="14" s="1"/>
  <c r="J555" i="14"/>
  <c r="J559" i="14" s="1"/>
  <c r="I555" i="14"/>
  <c r="K554" i="14"/>
  <c r="L554" i="14" s="1"/>
  <c r="N554" i="14" s="1"/>
  <c r="M554" i="14" s="1"/>
  <c r="I554" i="14"/>
  <c r="J543" i="14"/>
  <c r="K542" i="14"/>
  <c r="L542" i="14" s="1"/>
  <c r="K541" i="14"/>
  <c r="L541" i="14" s="1"/>
  <c r="K540" i="14"/>
  <c r="L540" i="14" s="1"/>
  <c r="N540" i="14" s="1"/>
  <c r="M540" i="14" s="1"/>
  <c r="K539" i="14"/>
  <c r="L539" i="14" s="1"/>
  <c r="N539" i="14" s="1"/>
  <c r="M539" i="14" s="1"/>
  <c r="O539" i="14" s="1"/>
  <c r="P539" i="14" s="1"/>
  <c r="Q539" i="14" s="1"/>
  <c r="L538" i="14"/>
  <c r="N538" i="14" s="1"/>
  <c r="M538" i="14" s="1"/>
  <c r="K538" i="14"/>
  <c r="K537" i="14"/>
  <c r="L537" i="14" s="1"/>
  <c r="N537" i="14" s="1"/>
  <c r="M537" i="14" s="1"/>
  <c r="K536" i="14"/>
  <c r="L536" i="14" s="1"/>
  <c r="N536" i="14" s="1"/>
  <c r="M536" i="14" s="1"/>
  <c r="K535" i="14"/>
  <c r="L535" i="14" s="1"/>
  <c r="N535" i="14" s="1"/>
  <c r="M535" i="14" s="1"/>
  <c r="O535" i="14" s="1"/>
  <c r="P535" i="14" s="1"/>
  <c r="Q535" i="14" s="1"/>
  <c r="K534" i="14"/>
  <c r="L534" i="14" s="1"/>
  <c r="N534" i="14" s="1"/>
  <c r="M534" i="14" s="1"/>
  <c r="M533" i="14"/>
  <c r="K533" i="14"/>
  <c r="L533" i="14" s="1"/>
  <c r="N533" i="14" s="1"/>
  <c r="J531" i="14"/>
  <c r="L530" i="14"/>
  <c r="N530" i="14" s="1"/>
  <c r="M530" i="14" s="1"/>
  <c r="K530" i="14"/>
  <c r="K529" i="14"/>
  <c r="L529" i="14" s="1"/>
  <c r="N529" i="14" s="1"/>
  <c r="M529" i="14" s="1"/>
  <c r="K528" i="14"/>
  <c r="L528" i="14" s="1"/>
  <c r="N528" i="14" s="1"/>
  <c r="M528" i="14" s="1"/>
  <c r="K527" i="14"/>
  <c r="L527" i="14" s="1"/>
  <c r="N527" i="14" s="1"/>
  <c r="M527" i="14" s="1"/>
  <c r="O527" i="14" s="1"/>
  <c r="P527" i="14" s="1"/>
  <c r="Q527" i="14" s="1"/>
  <c r="K526" i="14"/>
  <c r="L526" i="14" s="1"/>
  <c r="N526" i="14" s="1"/>
  <c r="M526" i="14" s="1"/>
  <c r="M525" i="14"/>
  <c r="K525" i="14"/>
  <c r="L525" i="14" s="1"/>
  <c r="N525" i="14" s="1"/>
  <c r="K524" i="14"/>
  <c r="L524" i="14" s="1"/>
  <c r="N524" i="14" s="1"/>
  <c r="M524" i="14" s="1"/>
  <c r="J520" i="14"/>
  <c r="L519" i="14"/>
  <c r="K519" i="14"/>
  <c r="J517" i="14"/>
  <c r="K516" i="14"/>
  <c r="L516" i="14" s="1"/>
  <c r="L515" i="14"/>
  <c r="K515" i="14"/>
  <c r="K514" i="14"/>
  <c r="L514" i="14" s="1"/>
  <c r="J512" i="14"/>
  <c r="L511" i="14"/>
  <c r="K511" i="14"/>
  <c r="K510" i="14"/>
  <c r="L510" i="14" s="1"/>
  <c r="K509" i="14"/>
  <c r="L509" i="14" s="1"/>
  <c r="N509" i="14" s="1"/>
  <c r="M509" i="14" s="1"/>
  <c r="J505" i="14"/>
  <c r="K504" i="14"/>
  <c r="L504" i="14" s="1"/>
  <c r="N504" i="14" s="1"/>
  <c r="M504" i="14" s="1"/>
  <c r="K503" i="14"/>
  <c r="L503" i="14" s="1"/>
  <c r="K502" i="14"/>
  <c r="L502" i="14" s="1"/>
  <c r="J500" i="14"/>
  <c r="L499" i="14"/>
  <c r="K499" i="14"/>
  <c r="K498" i="14"/>
  <c r="L498" i="14" s="1"/>
  <c r="N498" i="14" s="1"/>
  <c r="M498" i="14" s="1"/>
  <c r="K497" i="14"/>
  <c r="L497" i="14" s="1"/>
  <c r="K496" i="14"/>
  <c r="L496" i="14" s="1"/>
  <c r="K495" i="14"/>
  <c r="L495" i="14" s="1"/>
  <c r="J493" i="14"/>
  <c r="J506" i="14" s="1"/>
  <c r="K492" i="14"/>
  <c r="L492" i="14" s="1"/>
  <c r="N492" i="14" s="1"/>
  <c r="M492" i="14" s="1"/>
  <c r="K491" i="14"/>
  <c r="L491" i="14" s="1"/>
  <c r="K490" i="14"/>
  <c r="L490" i="14" s="1"/>
  <c r="K489" i="14"/>
  <c r="L489" i="14" s="1"/>
  <c r="N489" i="14" s="1"/>
  <c r="M489" i="14" s="1"/>
  <c r="J485" i="14"/>
  <c r="K484" i="14"/>
  <c r="L484" i="14" s="1"/>
  <c r="N484" i="14" s="1"/>
  <c r="M484" i="14" s="1"/>
  <c r="L483" i="14"/>
  <c r="K483" i="14"/>
  <c r="K482" i="14"/>
  <c r="L482" i="14" s="1"/>
  <c r="K481" i="14"/>
  <c r="L481" i="14" s="1"/>
  <c r="N481" i="14" s="1"/>
  <c r="M481" i="14" s="1"/>
  <c r="K480" i="14"/>
  <c r="L480" i="14" s="1"/>
  <c r="N480" i="14" s="1"/>
  <c r="M480" i="14" s="1"/>
  <c r="K479" i="14"/>
  <c r="L479" i="14" s="1"/>
  <c r="K478" i="14"/>
  <c r="L478" i="14" s="1"/>
  <c r="K477" i="14"/>
  <c r="L477" i="14" s="1"/>
  <c r="J475" i="14"/>
  <c r="J486" i="14" s="1"/>
  <c r="K474" i="14"/>
  <c r="L474" i="14" s="1"/>
  <c r="N474" i="14" s="1"/>
  <c r="M474" i="14" s="1"/>
  <c r="O474" i="14" s="1"/>
  <c r="P474" i="14" s="1"/>
  <c r="Q474" i="14" s="1"/>
  <c r="K473" i="14"/>
  <c r="L473" i="14" s="1"/>
  <c r="N473" i="14" s="1"/>
  <c r="M473" i="14" s="1"/>
  <c r="K472" i="14"/>
  <c r="L472" i="14" s="1"/>
  <c r="J468" i="14"/>
  <c r="N467" i="14"/>
  <c r="M467" i="14" s="1"/>
  <c r="L467" i="14"/>
  <c r="K467" i="14"/>
  <c r="J465" i="14"/>
  <c r="K464" i="14"/>
  <c r="L464" i="14" s="1"/>
  <c r="L463" i="14"/>
  <c r="K463" i="14"/>
  <c r="K462" i="14"/>
  <c r="L462" i="14" s="1"/>
  <c r="L461" i="14"/>
  <c r="K461" i="14"/>
  <c r="K460" i="14"/>
  <c r="L460" i="14" s="1"/>
  <c r="N460" i="14" s="1"/>
  <c r="M460" i="14" s="1"/>
  <c r="K459" i="14"/>
  <c r="L459" i="14" s="1"/>
  <c r="K458" i="14"/>
  <c r="L458" i="14" s="1"/>
  <c r="K457" i="14"/>
  <c r="L457" i="14" s="1"/>
  <c r="N457" i="14" s="1"/>
  <c r="M457" i="14" s="1"/>
  <c r="K456" i="14"/>
  <c r="L456" i="14" s="1"/>
  <c r="N456" i="14" s="1"/>
  <c r="M456" i="14" s="1"/>
  <c r="J454" i="14"/>
  <c r="L453" i="14"/>
  <c r="K453" i="14"/>
  <c r="K452" i="14"/>
  <c r="L452" i="14" s="1"/>
  <c r="K451" i="14"/>
  <c r="L451" i="14" s="1"/>
  <c r="N451" i="14" s="1"/>
  <c r="M451" i="14" s="1"/>
  <c r="K450" i="14"/>
  <c r="L450" i="14" s="1"/>
  <c r="N450" i="14" s="1"/>
  <c r="M450" i="14" s="1"/>
  <c r="K449" i="14"/>
  <c r="L449" i="14" s="1"/>
  <c r="K448" i="14"/>
  <c r="L448" i="14" s="1"/>
  <c r="L447" i="14"/>
  <c r="K447" i="14"/>
  <c r="K446" i="14"/>
  <c r="L446" i="14" s="1"/>
  <c r="N446" i="14" s="1"/>
  <c r="M446" i="14" s="1"/>
  <c r="K445" i="14"/>
  <c r="L445" i="14" s="1"/>
  <c r="K444" i="14"/>
  <c r="L444" i="14" s="1"/>
  <c r="K443" i="14"/>
  <c r="L443" i="14" s="1"/>
  <c r="N443" i="14" s="1"/>
  <c r="M443" i="14" s="1"/>
  <c r="K442" i="14"/>
  <c r="L442" i="14" s="1"/>
  <c r="N442" i="14" s="1"/>
  <c r="M442" i="14" s="1"/>
  <c r="K441" i="14"/>
  <c r="L441" i="14" s="1"/>
  <c r="K440" i="14"/>
  <c r="L440" i="14" s="1"/>
  <c r="K439" i="14"/>
  <c r="L439" i="14" s="1"/>
  <c r="K438" i="14"/>
  <c r="L438" i="14" s="1"/>
  <c r="N438" i="14" s="1"/>
  <c r="M438" i="14" s="1"/>
  <c r="K437" i="14"/>
  <c r="L437" i="14" s="1"/>
  <c r="K436" i="14"/>
  <c r="L436" i="14" s="1"/>
  <c r="K435" i="14"/>
  <c r="L435" i="14" s="1"/>
  <c r="N435" i="14" s="1"/>
  <c r="M435" i="14" s="1"/>
  <c r="J431" i="14"/>
  <c r="J432" i="14" s="1"/>
  <c r="K430" i="14"/>
  <c r="L430" i="14" s="1"/>
  <c r="N430" i="14" s="1"/>
  <c r="M430" i="14" s="1"/>
  <c r="K429" i="14"/>
  <c r="L429" i="14" s="1"/>
  <c r="K428" i="14"/>
  <c r="L428" i="14" s="1"/>
  <c r="K427" i="14"/>
  <c r="L427" i="14" s="1"/>
  <c r="N427" i="14" s="1"/>
  <c r="M427" i="14" s="1"/>
  <c r="K426" i="14"/>
  <c r="L426" i="14" s="1"/>
  <c r="N426" i="14" s="1"/>
  <c r="M426" i="14" s="1"/>
  <c r="K425" i="14"/>
  <c r="L425" i="14" s="1"/>
  <c r="K424" i="14"/>
  <c r="L424" i="14" s="1"/>
  <c r="K423" i="14"/>
  <c r="L423" i="14" s="1"/>
  <c r="K422" i="14"/>
  <c r="L422" i="14" s="1"/>
  <c r="N422" i="14" s="1"/>
  <c r="M422" i="14" s="1"/>
  <c r="O422" i="14" s="1"/>
  <c r="P422" i="14" s="1"/>
  <c r="Q422" i="14" s="1"/>
  <c r="K421" i="14"/>
  <c r="L421" i="14" s="1"/>
  <c r="K420" i="14"/>
  <c r="L420" i="14" s="1"/>
  <c r="N420" i="14" s="1"/>
  <c r="M420" i="14" s="1"/>
  <c r="K419" i="14"/>
  <c r="L419" i="14" s="1"/>
  <c r="K418" i="14"/>
  <c r="L418" i="14" s="1"/>
  <c r="N418" i="14" s="1"/>
  <c r="M418" i="14" s="1"/>
  <c r="O418" i="14" s="1"/>
  <c r="P418" i="14" s="1"/>
  <c r="Q418" i="14" s="1"/>
  <c r="K417" i="14"/>
  <c r="L417" i="14" s="1"/>
  <c r="K416" i="14"/>
  <c r="L416" i="14" s="1"/>
  <c r="N416" i="14" s="1"/>
  <c r="M416" i="14" s="1"/>
  <c r="K415" i="14"/>
  <c r="L415" i="14" s="1"/>
  <c r="N415" i="14" s="1"/>
  <c r="M415" i="14" s="1"/>
  <c r="K414" i="14"/>
  <c r="L414" i="14" s="1"/>
  <c r="N414" i="14" s="1"/>
  <c r="M414" i="14" s="1"/>
  <c r="O414" i="14" s="1"/>
  <c r="P414" i="14" s="1"/>
  <c r="Q414" i="14" s="1"/>
  <c r="K413" i="14"/>
  <c r="L413" i="14" s="1"/>
  <c r="K412" i="14"/>
  <c r="L412" i="14" s="1"/>
  <c r="N412" i="14" s="1"/>
  <c r="M412" i="14" s="1"/>
  <c r="K411" i="14"/>
  <c r="L411" i="14" s="1"/>
  <c r="N411" i="14" s="1"/>
  <c r="M411" i="14" s="1"/>
  <c r="J407" i="14"/>
  <c r="J548" i="14" s="1"/>
  <c r="J625" i="14" s="1"/>
  <c r="M406" i="14"/>
  <c r="N406" i="14" s="1"/>
  <c r="K406" i="14"/>
  <c r="L406" i="14" s="1"/>
  <c r="J404" i="14"/>
  <c r="J547" i="14" s="1"/>
  <c r="K403" i="14"/>
  <c r="L403" i="14" s="1"/>
  <c r="N403" i="14" s="1"/>
  <c r="M403" i="14" s="1"/>
  <c r="K402" i="14"/>
  <c r="L402" i="14" s="1"/>
  <c r="N402" i="14" s="1"/>
  <c r="M402" i="14" s="1"/>
  <c r="K401" i="14"/>
  <c r="L401" i="14" s="1"/>
  <c r="N401" i="14" s="1"/>
  <c r="M401" i="14" s="1"/>
  <c r="K400" i="14"/>
  <c r="L400" i="14" s="1"/>
  <c r="N400" i="14" s="1"/>
  <c r="M400" i="14" s="1"/>
  <c r="O400" i="14" s="1"/>
  <c r="P400" i="14" s="1"/>
  <c r="Q400" i="14" s="1"/>
  <c r="L399" i="14"/>
  <c r="N399" i="14" s="1"/>
  <c r="M399" i="14" s="1"/>
  <c r="K399" i="14"/>
  <c r="K398" i="14"/>
  <c r="L398" i="14" s="1"/>
  <c r="N398" i="14" s="1"/>
  <c r="M398" i="14" s="1"/>
  <c r="K397" i="14"/>
  <c r="L397" i="14" s="1"/>
  <c r="N397" i="14" s="1"/>
  <c r="M397" i="14" s="1"/>
  <c r="K396" i="14"/>
  <c r="L396" i="14" s="1"/>
  <c r="N396" i="14" s="1"/>
  <c r="M396" i="14" s="1"/>
  <c r="O396" i="14" s="1"/>
  <c r="P396" i="14" s="1"/>
  <c r="Q396" i="14" s="1"/>
  <c r="K395" i="14"/>
  <c r="L395" i="14" s="1"/>
  <c r="N395" i="14" s="1"/>
  <c r="M395" i="14" s="1"/>
  <c r="J393" i="14"/>
  <c r="J408" i="14" s="1"/>
  <c r="K392" i="14"/>
  <c r="L392" i="14" s="1"/>
  <c r="N392" i="14" s="1"/>
  <c r="M392" i="14" s="1"/>
  <c r="O392" i="14" s="1"/>
  <c r="P392" i="14" s="1"/>
  <c r="Q392" i="14" s="1"/>
  <c r="K391" i="14"/>
  <c r="L391" i="14" s="1"/>
  <c r="K390" i="14"/>
  <c r="L390" i="14" s="1"/>
  <c r="N390" i="14" s="1"/>
  <c r="M390" i="14" s="1"/>
  <c r="K389" i="14"/>
  <c r="L389" i="14" s="1"/>
  <c r="K388" i="14"/>
  <c r="L388" i="14" s="1"/>
  <c r="N388" i="14" s="1"/>
  <c r="M388" i="14" s="1"/>
  <c r="O388" i="14" s="1"/>
  <c r="P388" i="14" s="1"/>
  <c r="Q388" i="14" s="1"/>
  <c r="K387" i="14"/>
  <c r="L387" i="14" s="1"/>
  <c r="K386" i="14"/>
  <c r="L386" i="14" s="1"/>
  <c r="N386" i="14" s="1"/>
  <c r="M386" i="14" s="1"/>
  <c r="K385" i="14"/>
  <c r="L385" i="14" s="1"/>
  <c r="K384" i="14"/>
  <c r="L384" i="14" s="1"/>
  <c r="N384" i="14" s="1"/>
  <c r="M384" i="14" s="1"/>
  <c r="K383" i="14"/>
  <c r="L383" i="14" s="1"/>
  <c r="L382" i="14"/>
  <c r="K382" i="14"/>
  <c r="K381" i="14"/>
  <c r="L381" i="14" s="1"/>
  <c r="K380" i="14"/>
  <c r="L380" i="14" s="1"/>
  <c r="K379" i="14"/>
  <c r="L379" i="14" s="1"/>
  <c r="K378" i="14"/>
  <c r="L378" i="14" s="1"/>
  <c r="K377" i="14"/>
  <c r="L377" i="14" s="1"/>
  <c r="L376" i="14"/>
  <c r="K376" i="14"/>
  <c r="J370" i="14"/>
  <c r="J624" i="14" s="1"/>
  <c r="J369" i="14"/>
  <c r="J368" i="14"/>
  <c r="M367" i="14"/>
  <c r="K367" i="14"/>
  <c r="M366" i="14"/>
  <c r="K366" i="14"/>
  <c r="M365" i="14"/>
  <c r="K365" i="14"/>
  <c r="M364" i="14"/>
  <c r="K364" i="14"/>
  <c r="M363" i="14"/>
  <c r="K363" i="14"/>
  <c r="M362" i="14"/>
  <c r="K362" i="14"/>
  <c r="J360" i="14"/>
  <c r="K359" i="14"/>
  <c r="L359" i="14" s="1"/>
  <c r="K358" i="14"/>
  <c r="L358" i="14" s="1"/>
  <c r="N358" i="14" s="1"/>
  <c r="M358" i="14" s="1"/>
  <c r="J356" i="14"/>
  <c r="K355" i="14"/>
  <c r="L355" i="14" s="1"/>
  <c r="K354" i="14"/>
  <c r="L354" i="14" s="1"/>
  <c r="K353" i="14"/>
  <c r="L353" i="14" s="1"/>
  <c r="L352" i="14"/>
  <c r="N352" i="14" s="1"/>
  <c r="M352" i="14" s="1"/>
  <c r="K352" i="14"/>
  <c r="K351" i="14"/>
  <c r="L351" i="14" s="1"/>
  <c r="K350" i="14"/>
  <c r="L350" i="14" s="1"/>
  <c r="S342" i="14"/>
  <c r="J323" i="14"/>
  <c r="M322" i="14"/>
  <c r="N322" i="14" s="1"/>
  <c r="K322" i="14"/>
  <c r="L322" i="14" s="1"/>
  <c r="M321" i="14"/>
  <c r="N321" i="14" s="1"/>
  <c r="K321" i="14"/>
  <c r="L321" i="14" s="1"/>
  <c r="M320" i="14"/>
  <c r="N320" i="14" s="1"/>
  <c r="K320" i="14"/>
  <c r="L320" i="14" s="1"/>
  <c r="O320" i="14" s="1"/>
  <c r="P320" i="14" s="1"/>
  <c r="Q320" i="14" s="1"/>
  <c r="M319" i="14"/>
  <c r="N319" i="14" s="1"/>
  <c r="L319" i="14"/>
  <c r="O319" i="14" s="1"/>
  <c r="P319" i="14" s="1"/>
  <c r="Q319" i="14" s="1"/>
  <c r="K319" i="14"/>
  <c r="M318" i="14"/>
  <c r="N318" i="14" s="1"/>
  <c r="K318" i="14"/>
  <c r="L318" i="14" s="1"/>
  <c r="M317" i="14"/>
  <c r="N317" i="14" s="1"/>
  <c r="K317" i="14"/>
  <c r="L317" i="14" s="1"/>
  <c r="M316" i="14"/>
  <c r="N316" i="14" s="1"/>
  <c r="K316" i="14"/>
  <c r="L316" i="14" s="1"/>
  <c r="O316" i="14" s="1"/>
  <c r="P316" i="14" s="1"/>
  <c r="Q316" i="14" s="1"/>
  <c r="M315" i="14"/>
  <c r="N315" i="14" s="1"/>
  <c r="K315" i="14"/>
  <c r="L315" i="14" s="1"/>
  <c r="M314" i="14"/>
  <c r="N314" i="14" s="1"/>
  <c r="K314" i="14"/>
  <c r="L314" i="14" s="1"/>
  <c r="O314" i="14" s="1"/>
  <c r="P314" i="14" s="1"/>
  <c r="Q314" i="14" s="1"/>
  <c r="R314" i="14" s="1"/>
  <c r="M313" i="14"/>
  <c r="N313" i="14" s="1"/>
  <c r="K313" i="14"/>
  <c r="L313" i="14" s="1"/>
  <c r="O313" i="14" s="1"/>
  <c r="P313" i="14" s="1"/>
  <c r="Q313" i="14" s="1"/>
  <c r="R313" i="14" s="1"/>
  <c r="M312" i="14"/>
  <c r="N312" i="14" s="1"/>
  <c r="K312" i="14"/>
  <c r="L312" i="14" s="1"/>
  <c r="J310" i="14"/>
  <c r="J324" i="14" s="1"/>
  <c r="M309" i="14"/>
  <c r="N309" i="14" s="1"/>
  <c r="K309" i="14"/>
  <c r="L309" i="14" s="1"/>
  <c r="M308" i="14"/>
  <c r="N308" i="14" s="1"/>
  <c r="K308" i="14"/>
  <c r="L308" i="14" s="1"/>
  <c r="O308" i="14" s="1"/>
  <c r="P308" i="14" s="1"/>
  <c r="Q308" i="14" s="1"/>
  <c r="R308" i="14" s="1"/>
  <c r="M307" i="14"/>
  <c r="N307" i="14" s="1"/>
  <c r="K307" i="14"/>
  <c r="L307" i="14" s="1"/>
  <c r="M306" i="14"/>
  <c r="N306" i="14" s="1"/>
  <c r="K306" i="14"/>
  <c r="L306" i="14" s="1"/>
  <c r="M305" i="14"/>
  <c r="N305" i="14" s="1"/>
  <c r="K305" i="14"/>
  <c r="L305" i="14" s="1"/>
  <c r="M304" i="14"/>
  <c r="N304" i="14" s="1"/>
  <c r="K304" i="14"/>
  <c r="L304" i="14" s="1"/>
  <c r="M303" i="14"/>
  <c r="N303" i="14" s="1"/>
  <c r="K303" i="14"/>
  <c r="L303" i="14" s="1"/>
  <c r="M302" i="14"/>
  <c r="N302" i="14" s="1"/>
  <c r="L302" i="14"/>
  <c r="K302" i="14"/>
  <c r="M301" i="14"/>
  <c r="N301" i="14" s="1"/>
  <c r="K301" i="14"/>
  <c r="L301" i="14" s="1"/>
  <c r="O301" i="14" s="1"/>
  <c r="P301" i="14" s="1"/>
  <c r="Q301" i="14" s="1"/>
  <c r="M300" i="14"/>
  <c r="N300" i="14" s="1"/>
  <c r="K300" i="14"/>
  <c r="L300" i="14" s="1"/>
  <c r="M299" i="14"/>
  <c r="N299" i="14" s="1"/>
  <c r="K299" i="14"/>
  <c r="L299" i="14" s="1"/>
  <c r="O299" i="14" s="1"/>
  <c r="P299" i="14" s="1"/>
  <c r="Q299" i="14" s="1"/>
  <c r="M298" i="14"/>
  <c r="N298" i="14" s="1"/>
  <c r="L298" i="14"/>
  <c r="K298" i="14"/>
  <c r="M297" i="14"/>
  <c r="N297" i="14" s="1"/>
  <c r="K297" i="14"/>
  <c r="L297" i="14" s="1"/>
  <c r="M296" i="14"/>
  <c r="N296" i="14" s="1"/>
  <c r="K296" i="14"/>
  <c r="L296" i="14" s="1"/>
  <c r="O296" i="14" s="1"/>
  <c r="P296" i="14" s="1"/>
  <c r="Q296" i="14" s="1"/>
  <c r="M295" i="14"/>
  <c r="N295" i="14" s="1"/>
  <c r="K295" i="14"/>
  <c r="L295" i="14" s="1"/>
  <c r="M294" i="14"/>
  <c r="N294" i="14" s="1"/>
  <c r="K294" i="14"/>
  <c r="L294" i="14" s="1"/>
  <c r="M293" i="14"/>
  <c r="N293" i="14" s="1"/>
  <c r="K293" i="14"/>
  <c r="L293" i="14" s="1"/>
  <c r="M292" i="14"/>
  <c r="N292" i="14" s="1"/>
  <c r="K292" i="14"/>
  <c r="L292" i="14" s="1"/>
  <c r="M291" i="14"/>
  <c r="N291" i="14" s="1"/>
  <c r="K291" i="14"/>
  <c r="L291" i="14" s="1"/>
  <c r="M290" i="14"/>
  <c r="N290" i="14" s="1"/>
  <c r="K290" i="14"/>
  <c r="L290" i="14" s="1"/>
  <c r="M289" i="14"/>
  <c r="N289" i="14" s="1"/>
  <c r="K289" i="14"/>
  <c r="L289" i="14" s="1"/>
  <c r="M288" i="14"/>
  <c r="N288" i="14" s="1"/>
  <c r="K288" i="14"/>
  <c r="L288" i="14" s="1"/>
  <c r="O288" i="14" s="1"/>
  <c r="P288" i="14" s="1"/>
  <c r="Q288" i="14" s="1"/>
  <c r="R288" i="14" s="1"/>
  <c r="N287" i="14"/>
  <c r="M287" i="14"/>
  <c r="K287" i="14"/>
  <c r="L287" i="14" s="1"/>
  <c r="O287" i="14" s="1"/>
  <c r="P287" i="14" s="1"/>
  <c r="Q287" i="14" s="1"/>
  <c r="R287" i="14" s="1"/>
  <c r="M286" i="14"/>
  <c r="N286" i="14" s="1"/>
  <c r="K286" i="14"/>
  <c r="L286" i="14" s="1"/>
  <c r="M285" i="14"/>
  <c r="N285" i="14" s="1"/>
  <c r="K285" i="14"/>
  <c r="L285" i="14" s="1"/>
  <c r="M284" i="14"/>
  <c r="N284" i="14" s="1"/>
  <c r="K284" i="14"/>
  <c r="L284" i="14" s="1"/>
  <c r="M283" i="14"/>
  <c r="N283" i="14" s="1"/>
  <c r="K283" i="14"/>
  <c r="L283" i="14" s="1"/>
  <c r="M282" i="14"/>
  <c r="N282" i="14" s="1"/>
  <c r="K282" i="14"/>
  <c r="L282" i="14" s="1"/>
  <c r="J277" i="14"/>
  <c r="K276" i="14"/>
  <c r="L276" i="14" s="1"/>
  <c r="N276" i="14" s="1"/>
  <c r="M276" i="14" s="1"/>
  <c r="K275" i="14"/>
  <c r="L275" i="14" s="1"/>
  <c r="K274" i="14"/>
  <c r="L274" i="14" s="1"/>
  <c r="K273" i="14"/>
  <c r="L273" i="14" s="1"/>
  <c r="N273" i="14" s="1"/>
  <c r="M273" i="14" s="1"/>
  <c r="K272" i="14"/>
  <c r="L272" i="14" s="1"/>
  <c r="K271" i="14"/>
  <c r="L271" i="14" s="1"/>
  <c r="K270" i="14"/>
  <c r="L270" i="14" s="1"/>
  <c r="N270" i="14" s="1"/>
  <c r="M270" i="14" s="1"/>
  <c r="K269" i="14"/>
  <c r="L269" i="14" s="1"/>
  <c r="N269" i="14" s="1"/>
  <c r="M269" i="14" s="1"/>
  <c r="K268" i="14"/>
  <c r="L268" i="14" s="1"/>
  <c r="K267" i="14"/>
  <c r="L267" i="14" s="1"/>
  <c r="L266" i="14"/>
  <c r="K266" i="14"/>
  <c r="K265" i="14"/>
  <c r="L265" i="14" s="1"/>
  <c r="N265" i="14" s="1"/>
  <c r="M265" i="14" s="1"/>
  <c r="K264" i="14"/>
  <c r="L264" i="14" s="1"/>
  <c r="J262" i="14"/>
  <c r="K261" i="14"/>
  <c r="L261" i="14" s="1"/>
  <c r="K260" i="14"/>
  <c r="L260" i="14" s="1"/>
  <c r="K259" i="14"/>
  <c r="L259" i="14" s="1"/>
  <c r="N259" i="14" s="1"/>
  <c r="M259" i="14" s="1"/>
  <c r="K258" i="14"/>
  <c r="L258" i="14" s="1"/>
  <c r="K257" i="14"/>
  <c r="L257" i="14" s="1"/>
  <c r="J255" i="14"/>
  <c r="J278" i="14" s="1"/>
  <c r="K254" i="14"/>
  <c r="L254" i="14" s="1"/>
  <c r="K253" i="14"/>
  <c r="L253" i="14" s="1"/>
  <c r="N253" i="14" s="1"/>
  <c r="M253" i="14" s="1"/>
  <c r="K252" i="14"/>
  <c r="L252" i="14" s="1"/>
  <c r="K251" i="14"/>
  <c r="L251" i="14" s="1"/>
  <c r="K250" i="14"/>
  <c r="L250" i="14" s="1"/>
  <c r="N250" i="14" s="1"/>
  <c r="M250" i="14" s="1"/>
  <c r="K249" i="14"/>
  <c r="L249" i="14" s="1"/>
  <c r="K248" i="14"/>
  <c r="L248" i="14" s="1"/>
  <c r="K247" i="14"/>
  <c r="L247" i="14" s="1"/>
  <c r="L246" i="14"/>
  <c r="N246" i="14" s="1"/>
  <c r="M246" i="14" s="1"/>
  <c r="K246" i="14"/>
  <c r="K245" i="14"/>
  <c r="L245" i="14" s="1"/>
  <c r="N245" i="14" s="1"/>
  <c r="M245" i="14" s="1"/>
  <c r="K244" i="14"/>
  <c r="L244" i="14" s="1"/>
  <c r="N244" i="14" s="1"/>
  <c r="M244" i="14" s="1"/>
  <c r="K243" i="14"/>
  <c r="L243" i="14" s="1"/>
  <c r="K242" i="14"/>
  <c r="L242" i="14" s="1"/>
  <c r="K241" i="14"/>
  <c r="L241" i="14" s="1"/>
  <c r="K240" i="14"/>
  <c r="L240" i="14" s="1"/>
  <c r="J235" i="14"/>
  <c r="J329" i="14" s="1"/>
  <c r="N234" i="14"/>
  <c r="K234" i="14"/>
  <c r="L234" i="14" s="1"/>
  <c r="O234" i="14" s="1"/>
  <c r="P234" i="14" s="1"/>
  <c r="Q234" i="14" s="1"/>
  <c r="N233" i="14"/>
  <c r="K233" i="14"/>
  <c r="L233" i="14" s="1"/>
  <c r="O233" i="14" s="1"/>
  <c r="P233" i="14" s="1"/>
  <c r="Q233" i="14" s="1"/>
  <c r="N232" i="14"/>
  <c r="K232" i="14"/>
  <c r="L232" i="14" s="1"/>
  <c r="O232" i="14" s="1"/>
  <c r="P232" i="14" s="1"/>
  <c r="Q232" i="14" s="1"/>
  <c r="N231" i="14"/>
  <c r="K231" i="14"/>
  <c r="L231" i="14" s="1"/>
  <c r="O231" i="14" s="1"/>
  <c r="P231" i="14" s="1"/>
  <c r="Q231" i="14" s="1"/>
  <c r="N230" i="14"/>
  <c r="K230" i="14"/>
  <c r="L230" i="14" s="1"/>
  <c r="O230" i="14" s="1"/>
  <c r="P230" i="14" s="1"/>
  <c r="Q230" i="14" s="1"/>
  <c r="N229" i="14"/>
  <c r="K229" i="14"/>
  <c r="L229" i="14" s="1"/>
  <c r="O229" i="14" s="1"/>
  <c r="P229" i="14" s="1"/>
  <c r="Q229" i="14" s="1"/>
  <c r="N228" i="14"/>
  <c r="K228" i="14"/>
  <c r="L228" i="14" s="1"/>
  <c r="O228" i="14" s="1"/>
  <c r="P228" i="14" s="1"/>
  <c r="Q228" i="14" s="1"/>
  <c r="N227" i="14"/>
  <c r="K227" i="14"/>
  <c r="L227" i="14" s="1"/>
  <c r="O227" i="14" s="1"/>
  <c r="P227" i="14" s="1"/>
  <c r="Q227" i="14" s="1"/>
  <c r="N226" i="14"/>
  <c r="K226" i="14"/>
  <c r="L226" i="14" s="1"/>
  <c r="O226" i="14" s="1"/>
  <c r="P226" i="14" s="1"/>
  <c r="Q226" i="14" s="1"/>
  <c r="J224" i="14"/>
  <c r="K223" i="14"/>
  <c r="L223" i="14" s="1"/>
  <c r="N223" i="14" s="1"/>
  <c r="M223" i="14" s="1"/>
  <c r="K222" i="14"/>
  <c r="L222" i="14" s="1"/>
  <c r="K221" i="14"/>
  <c r="L221" i="14" s="1"/>
  <c r="J219" i="14"/>
  <c r="K218" i="14"/>
  <c r="L218" i="14" s="1"/>
  <c r="N218" i="14" s="1"/>
  <c r="M218" i="14" s="1"/>
  <c r="K217" i="14"/>
  <c r="L217" i="14" s="1"/>
  <c r="N217" i="14" s="1"/>
  <c r="M217" i="14" s="1"/>
  <c r="K216" i="14"/>
  <c r="L216" i="14" s="1"/>
  <c r="K215" i="14"/>
  <c r="L215" i="14" s="1"/>
  <c r="K214" i="14"/>
  <c r="L214" i="14" s="1"/>
  <c r="K213" i="14"/>
  <c r="L213" i="14" s="1"/>
  <c r="K212" i="14"/>
  <c r="L212" i="14" s="1"/>
  <c r="K211" i="14"/>
  <c r="L211" i="14" s="1"/>
  <c r="K210" i="14"/>
  <c r="L210" i="14" s="1"/>
  <c r="N210" i="14" s="1"/>
  <c r="M210" i="14" s="1"/>
  <c r="K209" i="14"/>
  <c r="L209" i="14" s="1"/>
  <c r="K208" i="14"/>
  <c r="L208" i="14" s="1"/>
  <c r="K207" i="14"/>
  <c r="L207" i="14" s="1"/>
  <c r="K206" i="14"/>
  <c r="L206" i="14" s="1"/>
  <c r="K205" i="14"/>
  <c r="L205" i="14" s="1"/>
  <c r="N205" i="14" s="1"/>
  <c r="M205" i="14" s="1"/>
  <c r="K204" i="14"/>
  <c r="L204" i="14" s="1"/>
  <c r="K203" i="14"/>
  <c r="L203" i="14" s="1"/>
  <c r="K202" i="14"/>
  <c r="L202" i="14" s="1"/>
  <c r="N202" i="14" s="1"/>
  <c r="M202" i="14" s="1"/>
  <c r="K201" i="14"/>
  <c r="L201" i="14" s="1"/>
  <c r="N201" i="14" s="1"/>
  <c r="M201" i="14" s="1"/>
  <c r="K200" i="14"/>
  <c r="L200" i="14" s="1"/>
  <c r="L199" i="14"/>
  <c r="K199" i="14"/>
  <c r="K198" i="14"/>
  <c r="L198" i="14" s="1"/>
  <c r="K197" i="14"/>
  <c r="L197" i="14" s="1"/>
  <c r="L196" i="14"/>
  <c r="K196" i="14"/>
  <c r="K195" i="14"/>
  <c r="L195" i="14" s="1"/>
  <c r="K194" i="14"/>
  <c r="L194" i="14" s="1"/>
  <c r="N194" i="14" s="1"/>
  <c r="M194" i="14" s="1"/>
  <c r="K193" i="14"/>
  <c r="L193" i="14" s="1"/>
  <c r="K192" i="14"/>
  <c r="L192" i="14" s="1"/>
  <c r="N192" i="14" s="1"/>
  <c r="M192" i="14" s="1"/>
  <c r="K191" i="14"/>
  <c r="L191" i="14" s="1"/>
  <c r="K190" i="14"/>
  <c r="L190" i="14" s="1"/>
  <c r="N190" i="14" s="1"/>
  <c r="M190" i="14" s="1"/>
  <c r="K189" i="14"/>
  <c r="L189" i="14" s="1"/>
  <c r="N189" i="14" s="1"/>
  <c r="M189" i="14" s="1"/>
  <c r="O189" i="14" s="1"/>
  <c r="P189" i="14" s="1"/>
  <c r="Q189" i="14" s="1"/>
  <c r="K188" i="14"/>
  <c r="L188" i="14" s="1"/>
  <c r="N188" i="14" s="1"/>
  <c r="M188" i="14" s="1"/>
  <c r="K187" i="14"/>
  <c r="L187" i="14" s="1"/>
  <c r="K186" i="14"/>
  <c r="L186" i="14" s="1"/>
  <c r="N186" i="14" s="1"/>
  <c r="M186" i="14" s="1"/>
  <c r="K185" i="14"/>
  <c r="L185" i="14" s="1"/>
  <c r="N185" i="14" s="1"/>
  <c r="M185" i="14" s="1"/>
  <c r="O185" i="14" s="1"/>
  <c r="P185" i="14" s="1"/>
  <c r="Q185" i="14" s="1"/>
  <c r="K184" i="14"/>
  <c r="L184" i="14" s="1"/>
  <c r="N184" i="14" s="1"/>
  <c r="M184" i="14" s="1"/>
  <c r="K183" i="14"/>
  <c r="L183" i="14" s="1"/>
  <c r="K182" i="14"/>
  <c r="L182" i="14" s="1"/>
  <c r="N182" i="14" s="1"/>
  <c r="M182" i="14" s="1"/>
  <c r="K181" i="14"/>
  <c r="L181" i="14" s="1"/>
  <c r="N181" i="14" s="1"/>
  <c r="M181" i="14" s="1"/>
  <c r="K180" i="14"/>
  <c r="L180" i="14" s="1"/>
  <c r="N180" i="14" s="1"/>
  <c r="M180" i="14" s="1"/>
  <c r="K179" i="14"/>
  <c r="L179" i="14" s="1"/>
  <c r="K178" i="14"/>
  <c r="L178" i="14" s="1"/>
  <c r="N178" i="14" s="1"/>
  <c r="M178" i="14" s="1"/>
  <c r="K177" i="14"/>
  <c r="L177" i="14" s="1"/>
  <c r="N177" i="14" s="1"/>
  <c r="M177" i="14" s="1"/>
  <c r="K176" i="14"/>
  <c r="L176" i="14" s="1"/>
  <c r="N176" i="14" s="1"/>
  <c r="M176" i="14" s="1"/>
  <c r="K175" i="14"/>
  <c r="L175" i="14" s="1"/>
  <c r="K174" i="14"/>
  <c r="L174" i="14" s="1"/>
  <c r="N174" i="14" s="1"/>
  <c r="M174" i="14" s="1"/>
  <c r="K173" i="14"/>
  <c r="L173" i="14" s="1"/>
  <c r="N173" i="14" s="1"/>
  <c r="M173" i="14" s="1"/>
  <c r="O173" i="14" s="1"/>
  <c r="P173" i="14" s="1"/>
  <c r="Q173" i="14" s="1"/>
  <c r="K172" i="14"/>
  <c r="L172" i="14" s="1"/>
  <c r="N172" i="14" s="1"/>
  <c r="M172" i="14" s="1"/>
  <c r="L171" i="14"/>
  <c r="K171" i="14"/>
  <c r="M170" i="14"/>
  <c r="K170" i="14"/>
  <c r="L170" i="14" s="1"/>
  <c r="N170" i="14" s="1"/>
  <c r="K169" i="14"/>
  <c r="L169" i="14" s="1"/>
  <c r="N169" i="14" s="1"/>
  <c r="M169" i="14" s="1"/>
  <c r="K168" i="14"/>
  <c r="L168" i="14" s="1"/>
  <c r="K167" i="14"/>
  <c r="L167" i="14" s="1"/>
  <c r="K166" i="14"/>
  <c r="L166" i="14" s="1"/>
  <c r="K165" i="14"/>
  <c r="L165" i="14" s="1"/>
  <c r="K164" i="14"/>
  <c r="L164" i="14" s="1"/>
  <c r="K163" i="14"/>
  <c r="L163" i="14" s="1"/>
  <c r="K162" i="14"/>
  <c r="L162" i="14" s="1"/>
  <c r="N162" i="14" s="1"/>
  <c r="M162" i="14" s="1"/>
  <c r="K161" i="14"/>
  <c r="L161" i="14" s="1"/>
  <c r="N161" i="14" s="1"/>
  <c r="M161" i="14" s="1"/>
  <c r="K160" i="14"/>
  <c r="L160" i="14" s="1"/>
  <c r="K159" i="14"/>
  <c r="L159" i="14" s="1"/>
  <c r="L158" i="14"/>
  <c r="N158" i="14" s="1"/>
  <c r="M158" i="14" s="1"/>
  <c r="K158" i="14"/>
  <c r="O157" i="14"/>
  <c r="P157" i="14" s="1"/>
  <c r="Q157" i="14" s="1"/>
  <c r="R157" i="14" s="1"/>
  <c r="K157" i="14"/>
  <c r="L157" i="14" s="1"/>
  <c r="N157" i="14" s="1"/>
  <c r="M157" i="14" s="1"/>
  <c r="K156" i="14"/>
  <c r="L156" i="14" s="1"/>
  <c r="K155" i="14"/>
  <c r="L155" i="14" s="1"/>
  <c r="K154" i="14"/>
  <c r="L154" i="14" s="1"/>
  <c r="K153" i="14"/>
  <c r="L153" i="14" s="1"/>
  <c r="N153" i="14" s="1"/>
  <c r="M153" i="14" s="1"/>
  <c r="J151" i="14"/>
  <c r="J236" i="14" s="1"/>
  <c r="K150" i="14"/>
  <c r="L150" i="14" s="1"/>
  <c r="K149" i="14"/>
  <c r="L149" i="14" s="1"/>
  <c r="K148" i="14"/>
  <c r="L148" i="14" s="1"/>
  <c r="N148" i="14" s="1"/>
  <c r="M148" i="14" s="1"/>
  <c r="K147" i="14"/>
  <c r="L147" i="14" s="1"/>
  <c r="N147" i="14" s="1"/>
  <c r="M147" i="14" s="1"/>
  <c r="K146" i="14"/>
  <c r="L146" i="14" s="1"/>
  <c r="K145" i="14"/>
  <c r="L145" i="14" s="1"/>
  <c r="K144" i="14"/>
  <c r="L144" i="14" s="1"/>
  <c r="N144" i="14" s="1"/>
  <c r="M144" i="14" s="1"/>
  <c r="K143" i="14"/>
  <c r="L143" i="14" s="1"/>
  <c r="K142" i="14"/>
  <c r="L142" i="14" s="1"/>
  <c r="K141" i="14"/>
  <c r="L141" i="14" s="1"/>
  <c r="K140" i="14"/>
  <c r="L140" i="14" s="1"/>
  <c r="K139" i="14"/>
  <c r="L139" i="14" s="1"/>
  <c r="N139" i="14" s="1"/>
  <c r="M139" i="14" s="1"/>
  <c r="K138" i="14"/>
  <c r="L138" i="14" s="1"/>
  <c r="K137" i="14"/>
  <c r="L137" i="14" s="1"/>
  <c r="K136" i="14"/>
  <c r="L136" i="14" s="1"/>
  <c r="N136" i="14" s="1"/>
  <c r="M136" i="14" s="1"/>
  <c r="K135" i="14"/>
  <c r="L135" i="14" s="1"/>
  <c r="K134" i="14"/>
  <c r="L134" i="14" s="1"/>
  <c r="K133" i="14"/>
  <c r="L133" i="14" s="1"/>
  <c r="K132" i="14"/>
  <c r="L132" i="14" s="1"/>
  <c r="K131" i="14"/>
  <c r="L131" i="14" s="1"/>
  <c r="N131" i="14" s="1"/>
  <c r="M131" i="14" s="1"/>
  <c r="K130" i="14"/>
  <c r="L130" i="14" s="1"/>
  <c r="N130" i="14" s="1"/>
  <c r="M130" i="14" s="1"/>
  <c r="K129" i="14"/>
  <c r="L129" i="14" s="1"/>
  <c r="K128" i="14"/>
  <c r="L128" i="14" s="1"/>
  <c r="K127" i="14"/>
  <c r="L127" i="14" s="1"/>
  <c r="K126" i="14"/>
  <c r="L126" i="14" s="1"/>
  <c r="N126" i="14" s="1"/>
  <c r="M126" i="14" s="1"/>
  <c r="K125" i="14"/>
  <c r="L125" i="14" s="1"/>
  <c r="K124" i="14"/>
  <c r="L124" i="14" s="1"/>
  <c r="K123" i="14"/>
  <c r="L123" i="14" s="1"/>
  <c r="K122" i="14"/>
  <c r="L122" i="14" s="1"/>
  <c r="N122" i="14" s="1"/>
  <c r="M122" i="14" s="1"/>
  <c r="K121" i="14"/>
  <c r="L121" i="14" s="1"/>
  <c r="K120" i="14"/>
  <c r="L120" i="14" s="1"/>
  <c r="K119" i="14"/>
  <c r="L119" i="14" s="1"/>
  <c r="N119" i="14" s="1"/>
  <c r="M119" i="14" s="1"/>
  <c r="O119" i="14" s="1"/>
  <c r="P119" i="14" s="1"/>
  <c r="Q119" i="14" s="1"/>
  <c r="K118" i="14"/>
  <c r="L118" i="14" s="1"/>
  <c r="N118" i="14" s="1"/>
  <c r="M118" i="14" s="1"/>
  <c r="K117" i="14"/>
  <c r="L117" i="14" s="1"/>
  <c r="K116" i="14"/>
  <c r="L116" i="14" s="1"/>
  <c r="K115" i="14"/>
  <c r="L115" i="14" s="1"/>
  <c r="N115" i="14" s="1"/>
  <c r="M115" i="14" s="1"/>
  <c r="O115" i="14" s="1"/>
  <c r="P115" i="14" s="1"/>
  <c r="Q115" i="14" s="1"/>
  <c r="L114" i="14"/>
  <c r="N114" i="14" s="1"/>
  <c r="M114" i="14" s="1"/>
  <c r="K114" i="14"/>
  <c r="K113" i="14"/>
  <c r="L113" i="14" s="1"/>
  <c r="K112" i="14"/>
  <c r="L112" i="14" s="1"/>
  <c r="K111" i="14"/>
  <c r="L111" i="14" s="1"/>
  <c r="K110" i="14"/>
  <c r="L110" i="14" s="1"/>
  <c r="K109" i="14"/>
  <c r="L109" i="14" s="1"/>
  <c r="K108" i="14"/>
  <c r="L108" i="14" s="1"/>
  <c r="K107" i="14"/>
  <c r="L107" i="14" s="1"/>
  <c r="K106" i="14"/>
  <c r="L106" i="14" s="1"/>
  <c r="N106" i="14" s="1"/>
  <c r="M106" i="14" s="1"/>
  <c r="K105" i="14"/>
  <c r="L105" i="14" s="1"/>
  <c r="K104" i="14"/>
  <c r="L104" i="14" s="1"/>
  <c r="K103" i="14"/>
  <c r="L103" i="14" s="1"/>
  <c r="K102" i="14"/>
  <c r="L102" i="14" s="1"/>
  <c r="N102" i="14" s="1"/>
  <c r="M102" i="14" s="1"/>
  <c r="K101" i="14"/>
  <c r="L101" i="14" s="1"/>
  <c r="K100" i="14"/>
  <c r="L100" i="14" s="1"/>
  <c r="K99" i="14"/>
  <c r="L99" i="14" s="1"/>
  <c r="K98" i="14"/>
  <c r="L98" i="14" s="1"/>
  <c r="N98" i="14" s="1"/>
  <c r="M98" i="14" s="1"/>
  <c r="J93" i="14"/>
  <c r="K92" i="14"/>
  <c r="L92" i="14" s="1"/>
  <c r="K91" i="14"/>
  <c r="L91" i="14" s="1"/>
  <c r="J89" i="14"/>
  <c r="K88" i="14"/>
  <c r="L88" i="14" s="1"/>
  <c r="K87" i="14"/>
  <c r="L87" i="14" s="1"/>
  <c r="N87" i="14" s="1"/>
  <c r="M87" i="14" s="1"/>
  <c r="K86" i="14"/>
  <c r="L86" i="14" s="1"/>
  <c r="J84" i="14"/>
  <c r="K83" i="14"/>
  <c r="L83" i="14" s="1"/>
  <c r="J78" i="14"/>
  <c r="M77" i="14"/>
  <c r="N77" i="14" s="1"/>
  <c r="L77" i="14"/>
  <c r="K77" i="14"/>
  <c r="M76" i="14"/>
  <c r="N76" i="14" s="1"/>
  <c r="K76" i="14"/>
  <c r="L76" i="14" s="1"/>
  <c r="M75" i="14"/>
  <c r="N75" i="14" s="1"/>
  <c r="L75" i="14"/>
  <c r="K75" i="14"/>
  <c r="M74" i="14"/>
  <c r="N74" i="14" s="1"/>
  <c r="K74" i="14"/>
  <c r="L74" i="14" s="1"/>
  <c r="M73" i="14"/>
  <c r="N73" i="14" s="1"/>
  <c r="K73" i="14"/>
  <c r="L73" i="14" s="1"/>
  <c r="O73" i="14" s="1"/>
  <c r="P73" i="14" s="1"/>
  <c r="Q73" i="14" s="1"/>
  <c r="R73" i="14" s="1"/>
  <c r="N72" i="14"/>
  <c r="M72" i="14"/>
  <c r="K72" i="14"/>
  <c r="L72" i="14" s="1"/>
  <c r="O72" i="14" s="1"/>
  <c r="P72" i="14" s="1"/>
  <c r="Q72" i="14" s="1"/>
  <c r="J70" i="14"/>
  <c r="N69" i="14"/>
  <c r="M69" i="14"/>
  <c r="K69" i="14"/>
  <c r="L69" i="14" s="1"/>
  <c r="M68" i="14"/>
  <c r="N68" i="14" s="1"/>
  <c r="K68" i="14"/>
  <c r="L68" i="14" s="1"/>
  <c r="M67" i="14"/>
  <c r="N67" i="14" s="1"/>
  <c r="K67" i="14"/>
  <c r="L67" i="14" s="1"/>
  <c r="N66" i="14"/>
  <c r="M66" i="14"/>
  <c r="K66" i="14"/>
  <c r="L66" i="14" s="1"/>
  <c r="O66" i="14" s="1"/>
  <c r="P66" i="14" s="1"/>
  <c r="Q66" i="14" s="1"/>
  <c r="R66" i="14" s="1"/>
  <c r="N65" i="14"/>
  <c r="M65" i="14"/>
  <c r="K65" i="14"/>
  <c r="L65" i="14" s="1"/>
  <c r="O65" i="14" s="1"/>
  <c r="P65" i="14" s="1"/>
  <c r="Q65" i="14" s="1"/>
  <c r="M64" i="14"/>
  <c r="N64" i="14" s="1"/>
  <c r="L64" i="14"/>
  <c r="K64" i="14"/>
  <c r="M63" i="14"/>
  <c r="N63" i="14" s="1"/>
  <c r="K63" i="14"/>
  <c r="L63" i="14" s="1"/>
  <c r="M62" i="14"/>
  <c r="N62" i="14" s="1"/>
  <c r="K62" i="14"/>
  <c r="L62" i="14" s="1"/>
  <c r="M61" i="14"/>
  <c r="N61" i="14" s="1"/>
  <c r="L61" i="14"/>
  <c r="O61" i="14" s="1"/>
  <c r="P61" i="14" s="1"/>
  <c r="Q61" i="14" s="1"/>
  <c r="K61" i="14"/>
  <c r="M60" i="14"/>
  <c r="N60" i="14" s="1"/>
  <c r="K60" i="14"/>
  <c r="L60" i="14" s="1"/>
  <c r="M59" i="14"/>
  <c r="N59" i="14" s="1"/>
  <c r="K59" i="14"/>
  <c r="L59" i="14" s="1"/>
  <c r="M58" i="14"/>
  <c r="N58" i="14" s="1"/>
  <c r="K58" i="14"/>
  <c r="L58" i="14" s="1"/>
  <c r="O58" i="14" s="1"/>
  <c r="P58" i="14" s="1"/>
  <c r="Q58" i="14" s="1"/>
  <c r="R58" i="14" s="1"/>
  <c r="N57" i="14"/>
  <c r="M57" i="14"/>
  <c r="K57" i="14"/>
  <c r="L57" i="14" s="1"/>
  <c r="O57" i="14" s="1"/>
  <c r="P57" i="14" s="1"/>
  <c r="Q57" i="14" s="1"/>
  <c r="J55" i="14"/>
  <c r="J79" i="14" s="1"/>
  <c r="M54" i="14"/>
  <c r="N54" i="14" s="1"/>
  <c r="K54" i="14"/>
  <c r="L54" i="14" s="1"/>
  <c r="M53" i="14"/>
  <c r="N53" i="14" s="1"/>
  <c r="K53" i="14"/>
  <c r="L53" i="14" s="1"/>
  <c r="M52" i="14"/>
  <c r="N52" i="14" s="1"/>
  <c r="K52" i="14"/>
  <c r="L52" i="14" s="1"/>
  <c r="N51" i="14"/>
  <c r="M51" i="14"/>
  <c r="K51" i="14"/>
  <c r="L51" i="14" s="1"/>
  <c r="M50" i="14"/>
  <c r="N50" i="14" s="1"/>
  <c r="K50" i="14"/>
  <c r="L50" i="14" s="1"/>
  <c r="M49" i="14"/>
  <c r="N49" i="14" s="1"/>
  <c r="K49" i="14"/>
  <c r="L49" i="14" s="1"/>
  <c r="N48" i="14"/>
  <c r="M48" i="14"/>
  <c r="K48" i="14"/>
  <c r="L48" i="14" s="1"/>
  <c r="M47" i="14"/>
  <c r="N47" i="14" s="1"/>
  <c r="L47" i="14"/>
  <c r="K47" i="14"/>
  <c r="J42" i="14"/>
  <c r="K41" i="14"/>
  <c r="L41" i="14" s="1"/>
  <c r="K40" i="14"/>
  <c r="L40" i="14" s="1"/>
  <c r="K39" i="14"/>
  <c r="L39" i="14" s="1"/>
  <c r="K38" i="14"/>
  <c r="L38" i="14" s="1"/>
  <c r="K37" i="14"/>
  <c r="L37" i="14" s="1"/>
  <c r="N36" i="14"/>
  <c r="M36" i="14" s="1"/>
  <c r="K36" i="14"/>
  <c r="L36" i="14" s="1"/>
  <c r="K35" i="14"/>
  <c r="L35" i="14" s="1"/>
  <c r="N35" i="14" s="1"/>
  <c r="M35" i="14" s="1"/>
  <c r="O35" i="14" s="1"/>
  <c r="P35" i="14" s="1"/>
  <c r="Q35" i="14" s="1"/>
  <c r="K34" i="14"/>
  <c r="L34" i="14" s="1"/>
  <c r="L33" i="14"/>
  <c r="K33" i="14"/>
  <c r="N32" i="14"/>
  <c r="M32" i="14" s="1"/>
  <c r="K32" i="14"/>
  <c r="L32" i="14" s="1"/>
  <c r="J30" i="14"/>
  <c r="K29" i="14"/>
  <c r="L29" i="14" s="1"/>
  <c r="N29" i="14" s="1"/>
  <c r="M29" i="14" s="1"/>
  <c r="O29" i="14" s="1"/>
  <c r="P29" i="14" s="1"/>
  <c r="Q29" i="14" s="1"/>
  <c r="K28" i="14"/>
  <c r="L28" i="14" s="1"/>
  <c r="N28" i="14" s="1"/>
  <c r="M28" i="14" s="1"/>
  <c r="K27" i="14"/>
  <c r="L27" i="14" s="1"/>
  <c r="K26" i="14"/>
  <c r="L26" i="14" s="1"/>
  <c r="N26" i="14" s="1"/>
  <c r="M26" i="14" s="1"/>
  <c r="O26" i="14" s="1"/>
  <c r="P26" i="14" s="1"/>
  <c r="Q26" i="14" s="1"/>
  <c r="K25" i="14"/>
  <c r="L25" i="14" s="1"/>
  <c r="N25" i="14" s="1"/>
  <c r="M25" i="14" s="1"/>
  <c r="K24" i="14"/>
  <c r="L24" i="14" s="1"/>
  <c r="K23" i="14"/>
  <c r="L23" i="14" s="1"/>
  <c r="K22" i="14"/>
  <c r="L22" i="14" s="1"/>
  <c r="K21" i="14"/>
  <c r="L21" i="14" s="1"/>
  <c r="K20" i="14"/>
  <c r="L20" i="14" s="1"/>
  <c r="K19" i="14"/>
  <c r="L19" i="14" s="1"/>
  <c r="K18" i="14"/>
  <c r="L18" i="14" s="1"/>
  <c r="K17" i="14"/>
  <c r="L17" i="14" s="1"/>
  <c r="N17" i="14" s="1"/>
  <c r="M17" i="14" s="1"/>
  <c r="K16" i="14"/>
  <c r="L16" i="14" s="1"/>
  <c r="K15" i="14"/>
  <c r="L15" i="14" s="1"/>
  <c r="K14" i="14"/>
  <c r="L14" i="14" s="1"/>
  <c r="K13" i="14"/>
  <c r="L13" i="14" s="1"/>
  <c r="N13" i="14" s="1"/>
  <c r="M13" i="14" s="1"/>
  <c r="K12" i="14"/>
  <c r="L12" i="14" s="1"/>
  <c r="K11" i="14"/>
  <c r="L11" i="14" s="1"/>
  <c r="O290" i="14" l="1"/>
  <c r="P290" i="14" s="1"/>
  <c r="Q290" i="14" s="1"/>
  <c r="O297" i="14"/>
  <c r="P297" i="14" s="1"/>
  <c r="Q297" i="14" s="1"/>
  <c r="O304" i="14"/>
  <c r="P304" i="14" s="1"/>
  <c r="Q304" i="14" s="1"/>
  <c r="R304" i="14" s="1"/>
  <c r="O306" i="14"/>
  <c r="P306" i="14" s="1"/>
  <c r="Q306" i="14" s="1"/>
  <c r="O74" i="14"/>
  <c r="P74" i="14" s="1"/>
  <c r="Q74" i="14" s="1"/>
  <c r="O177" i="14"/>
  <c r="P177" i="14" s="1"/>
  <c r="Q177" i="14" s="1"/>
  <c r="J544" i="14"/>
  <c r="O53" i="14"/>
  <c r="P53" i="14" s="1"/>
  <c r="Q53" i="14" s="1"/>
  <c r="O484" i="14"/>
  <c r="P484" i="14" s="1"/>
  <c r="Q484" i="14" s="1"/>
  <c r="O286" i="14"/>
  <c r="P286" i="14" s="1"/>
  <c r="Q286" i="14" s="1"/>
  <c r="O298" i="14"/>
  <c r="P298" i="14" s="1"/>
  <c r="Q298" i="14" s="1"/>
  <c r="O300" i="14"/>
  <c r="P300" i="14" s="1"/>
  <c r="Q300" i="14" s="1"/>
  <c r="R300" i="14" s="1"/>
  <c r="O450" i="14"/>
  <c r="P450" i="14" s="1"/>
  <c r="Q450" i="14" s="1"/>
  <c r="R450" i="14" s="1"/>
  <c r="N565" i="14"/>
  <c r="M565" i="14" s="1"/>
  <c r="N378" i="14"/>
  <c r="M378" i="14" s="1"/>
  <c r="O378" i="14" s="1"/>
  <c r="P378" i="14" s="1"/>
  <c r="Q378" i="14" s="1"/>
  <c r="R378" i="14" s="1"/>
  <c r="S378" i="14" s="1"/>
  <c r="N423" i="14"/>
  <c r="M423" i="14" s="1"/>
  <c r="O423" i="14" s="1"/>
  <c r="P423" i="14" s="1"/>
  <c r="Q423" i="14" s="1"/>
  <c r="N477" i="14"/>
  <c r="M477" i="14" s="1"/>
  <c r="O477" i="14" s="1"/>
  <c r="P477" i="14" s="1"/>
  <c r="Q477" i="14" s="1"/>
  <c r="O244" i="14"/>
  <c r="P244" i="14" s="1"/>
  <c r="Q244" i="14" s="1"/>
  <c r="O282" i="14"/>
  <c r="P282" i="14" s="1"/>
  <c r="Q282" i="14" s="1"/>
  <c r="S287" i="14"/>
  <c r="O291" i="14"/>
  <c r="P291" i="14" s="1"/>
  <c r="Q291" i="14" s="1"/>
  <c r="O312" i="14"/>
  <c r="P312" i="14" s="1"/>
  <c r="Q312" i="14" s="1"/>
  <c r="O322" i="14"/>
  <c r="P322" i="14" s="1"/>
  <c r="Q322" i="14" s="1"/>
  <c r="R322" i="14" s="1"/>
  <c r="O363" i="14"/>
  <c r="P363" i="14" s="1"/>
  <c r="Q363" i="14" s="1"/>
  <c r="O365" i="14"/>
  <c r="P365" i="14" s="1"/>
  <c r="Q365" i="14" s="1"/>
  <c r="O367" i="14"/>
  <c r="P367" i="14" s="1"/>
  <c r="Q367" i="14" s="1"/>
  <c r="R367" i="14" s="1"/>
  <c r="S367" i="14" s="1"/>
  <c r="N382" i="14"/>
  <c r="M382" i="14" s="1"/>
  <c r="O382" i="14" s="1"/>
  <c r="P382" i="14" s="1"/>
  <c r="Q382" i="14" s="1"/>
  <c r="R382" i="14" s="1"/>
  <c r="S382" i="14" s="1"/>
  <c r="O406" i="14"/>
  <c r="P406" i="14" s="1"/>
  <c r="Q406" i="14" s="1"/>
  <c r="O426" i="14"/>
  <c r="P426" i="14" s="1"/>
  <c r="Q426" i="14" s="1"/>
  <c r="R426" i="14" s="1"/>
  <c r="O442" i="14"/>
  <c r="P442" i="14" s="1"/>
  <c r="Q442" i="14" s="1"/>
  <c r="R442" i="14" s="1"/>
  <c r="O456" i="14"/>
  <c r="P456" i="14" s="1"/>
  <c r="Q456" i="14" s="1"/>
  <c r="O492" i="14"/>
  <c r="P492" i="14" s="1"/>
  <c r="Q492" i="14" s="1"/>
  <c r="P563" i="14"/>
  <c r="Q563" i="14" s="1"/>
  <c r="N566" i="14"/>
  <c r="M566" i="14" s="1"/>
  <c r="O566" i="14" s="1"/>
  <c r="P566" i="14" s="1"/>
  <c r="Q566" i="14" s="1"/>
  <c r="O612" i="14"/>
  <c r="P612" i="14" s="1"/>
  <c r="Q612" i="14" s="1"/>
  <c r="O561" i="14"/>
  <c r="P561" i="14" s="1"/>
  <c r="Q561" i="14" s="1"/>
  <c r="O131" i="14"/>
  <c r="P131" i="14" s="1"/>
  <c r="Q131" i="14" s="1"/>
  <c r="R131" i="14" s="1"/>
  <c r="O181" i="14"/>
  <c r="P181" i="14" s="1"/>
  <c r="Q181" i="14" s="1"/>
  <c r="O205" i="14"/>
  <c r="P205" i="14" s="1"/>
  <c r="Q205" i="14" s="1"/>
  <c r="O269" i="14"/>
  <c r="P269" i="14" s="1"/>
  <c r="Q269" i="14" s="1"/>
  <c r="O292" i="14"/>
  <c r="P292" i="14" s="1"/>
  <c r="Q292" i="14" s="1"/>
  <c r="R292" i="14" s="1"/>
  <c r="O294" i="14"/>
  <c r="P294" i="14" s="1"/>
  <c r="Q294" i="14" s="1"/>
  <c r="O307" i="14"/>
  <c r="P307" i="14" s="1"/>
  <c r="Q307" i="14" s="1"/>
  <c r="O318" i="14"/>
  <c r="P318" i="14" s="1"/>
  <c r="Q318" i="14" s="1"/>
  <c r="R318" i="14" s="1"/>
  <c r="O362" i="14"/>
  <c r="P362" i="14" s="1"/>
  <c r="Q362" i="14" s="1"/>
  <c r="R362" i="14" s="1"/>
  <c r="O364" i="14"/>
  <c r="P364" i="14" s="1"/>
  <c r="Q364" i="14" s="1"/>
  <c r="O366" i="14"/>
  <c r="P366" i="14" s="1"/>
  <c r="Q366" i="14" s="1"/>
  <c r="N439" i="14"/>
  <c r="M439" i="14" s="1"/>
  <c r="O439" i="14" s="1"/>
  <c r="P439" i="14" s="1"/>
  <c r="Q439" i="14" s="1"/>
  <c r="N447" i="14"/>
  <c r="M447" i="14" s="1"/>
  <c r="O447" i="14" s="1"/>
  <c r="P447" i="14" s="1"/>
  <c r="Q447" i="14" s="1"/>
  <c r="J469" i="14"/>
  <c r="N461" i="14"/>
  <c r="M461" i="14" s="1"/>
  <c r="O461" i="14" s="1"/>
  <c r="P461" i="14" s="1"/>
  <c r="Q461" i="14" s="1"/>
  <c r="O480" i="14"/>
  <c r="P480" i="14" s="1"/>
  <c r="Q480" i="14" s="1"/>
  <c r="R480" i="14" s="1"/>
  <c r="N499" i="14"/>
  <c r="M499" i="14" s="1"/>
  <c r="O499" i="14" s="1"/>
  <c r="P499" i="14" s="1"/>
  <c r="Q499" i="14" s="1"/>
  <c r="J521" i="14"/>
  <c r="N515" i="14"/>
  <c r="M515" i="14" s="1"/>
  <c r="O515" i="14" s="1"/>
  <c r="P515" i="14" s="1"/>
  <c r="Q515" i="14" s="1"/>
  <c r="N555" i="14"/>
  <c r="M555" i="14" s="1"/>
  <c r="N353" i="14"/>
  <c r="M353" i="14" s="1"/>
  <c r="O353" i="14" s="1"/>
  <c r="P353" i="14" s="1"/>
  <c r="Q353" i="14" s="1"/>
  <c r="R363" i="14"/>
  <c r="S363" i="14" s="1"/>
  <c r="R365" i="14"/>
  <c r="S365" i="14" s="1"/>
  <c r="N385" i="14"/>
  <c r="M385" i="14" s="1"/>
  <c r="O385" i="14" s="1"/>
  <c r="P385" i="14" s="1"/>
  <c r="Q385" i="14" s="1"/>
  <c r="R388" i="14"/>
  <c r="S388" i="14" s="1"/>
  <c r="R396" i="14"/>
  <c r="S396" i="14" s="1"/>
  <c r="R406" i="14"/>
  <c r="R407" i="14" s="1"/>
  <c r="Q407" i="14"/>
  <c r="R414" i="14"/>
  <c r="S414" i="14" s="1"/>
  <c r="R422" i="14"/>
  <c r="S422" i="14"/>
  <c r="N351" i="14"/>
  <c r="M351" i="14" s="1"/>
  <c r="O351" i="14" s="1"/>
  <c r="P351" i="14" s="1"/>
  <c r="Q351" i="14" s="1"/>
  <c r="O352" i="14"/>
  <c r="P352" i="14" s="1"/>
  <c r="Q352" i="14" s="1"/>
  <c r="O358" i="14"/>
  <c r="P358" i="14" s="1"/>
  <c r="Q358" i="14" s="1"/>
  <c r="N381" i="14"/>
  <c r="M381" i="14" s="1"/>
  <c r="O381" i="14" s="1"/>
  <c r="P381" i="14" s="1"/>
  <c r="Q381" i="14" s="1"/>
  <c r="O383" i="14"/>
  <c r="P383" i="14" s="1"/>
  <c r="Q383" i="14" s="1"/>
  <c r="N383" i="14"/>
  <c r="M383" i="14" s="1"/>
  <c r="N359" i="14"/>
  <c r="M359" i="14" s="1"/>
  <c r="O359" i="14" s="1"/>
  <c r="P359" i="14" s="1"/>
  <c r="Q359" i="14" s="1"/>
  <c r="N355" i="14"/>
  <c r="M355" i="14" s="1"/>
  <c r="O355" i="14" s="1"/>
  <c r="P355" i="14" s="1"/>
  <c r="Q355" i="14" s="1"/>
  <c r="Q368" i="14"/>
  <c r="R364" i="14"/>
  <c r="S364" i="14" s="1"/>
  <c r="R366" i="14"/>
  <c r="S366" i="14" s="1"/>
  <c r="N377" i="14"/>
  <c r="M377" i="14" s="1"/>
  <c r="O377" i="14" s="1"/>
  <c r="P377" i="14" s="1"/>
  <c r="Q377" i="14" s="1"/>
  <c r="N379" i="14"/>
  <c r="M379" i="14" s="1"/>
  <c r="O379" i="14" s="1"/>
  <c r="P379" i="14" s="1"/>
  <c r="Q379" i="14" s="1"/>
  <c r="R392" i="14"/>
  <c r="S392" i="14" s="1"/>
  <c r="R400" i="14"/>
  <c r="S400" i="14" s="1"/>
  <c r="R418" i="14"/>
  <c r="S418" i="14" s="1"/>
  <c r="O429" i="14"/>
  <c r="P429" i="14" s="1"/>
  <c r="Q429" i="14" s="1"/>
  <c r="N429" i="14"/>
  <c r="M429" i="14" s="1"/>
  <c r="N437" i="14"/>
  <c r="M437" i="14" s="1"/>
  <c r="O437" i="14" s="1"/>
  <c r="P437" i="14" s="1"/>
  <c r="Q437" i="14" s="1"/>
  <c r="R456" i="14"/>
  <c r="S456" i="14" s="1"/>
  <c r="R492" i="14"/>
  <c r="S492" i="14" s="1"/>
  <c r="N362" i="14"/>
  <c r="N363" i="14"/>
  <c r="N364" i="14"/>
  <c r="N365" i="14"/>
  <c r="N366" i="14"/>
  <c r="N367" i="14"/>
  <c r="N389" i="14"/>
  <c r="M389" i="14" s="1"/>
  <c r="O389" i="14" s="1"/>
  <c r="P389" i="14" s="1"/>
  <c r="Q389" i="14" s="1"/>
  <c r="O397" i="14"/>
  <c r="P397" i="14" s="1"/>
  <c r="Q397" i="14" s="1"/>
  <c r="O401" i="14"/>
  <c r="P401" i="14" s="1"/>
  <c r="Q401" i="14" s="1"/>
  <c r="N419" i="14"/>
  <c r="M419" i="14" s="1"/>
  <c r="O419" i="14" s="1"/>
  <c r="P419" i="14" s="1"/>
  <c r="Q419" i="14" s="1"/>
  <c r="O427" i="14"/>
  <c r="P427" i="14" s="1"/>
  <c r="Q427" i="14" s="1"/>
  <c r="O435" i="14"/>
  <c r="P435" i="14" s="1"/>
  <c r="Q435" i="14" s="1"/>
  <c r="O440" i="14"/>
  <c r="P440" i="14" s="1"/>
  <c r="Q440" i="14" s="1"/>
  <c r="N440" i="14"/>
  <c r="M440" i="14" s="1"/>
  <c r="N441" i="14"/>
  <c r="M441" i="14" s="1"/>
  <c r="O441" i="14" s="1"/>
  <c r="P441" i="14" s="1"/>
  <c r="Q441" i="14" s="1"/>
  <c r="S442" i="14"/>
  <c r="O446" i="14"/>
  <c r="P446" i="14" s="1"/>
  <c r="Q446" i="14" s="1"/>
  <c r="O451" i="14"/>
  <c r="P451" i="14" s="1"/>
  <c r="Q451" i="14" s="1"/>
  <c r="O460" i="14"/>
  <c r="P460" i="14" s="1"/>
  <c r="Q460" i="14" s="1"/>
  <c r="N464" i="14"/>
  <c r="M464" i="14" s="1"/>
  <c r="O464" i="14" s="1"/>
  <c r="P464" i="14" s="1"/>
  <c r="Q464" i="14" s="1"/>
  <c r="R474" i="14"/>
  <c r="S474" i="14" s="1"/>
  <c r="N503" i="14"/>
  <c r="M503" i="14" s="1"/>
  <c r="O503" i="14" s="1"/>
  <c r="P503" i="14" s="1"/>
  <c r="Q503" i="14" s="1"/>
  <c r="N514" i="14"/>
  <c r="M514" i="14" s="1"/>
  <c r="O514" i="14" s="1"/>
  <c r="P514" i="14" s="1"/>
  <c r="Q514" i="14" s="1"/>
  <c r="R539" i="14"/>
  <c r="S539" i="14"/>
  <c r="O411" i="14"/>
  <c r="P411" i="14" s="1"/>
  <c r="Q411" i="14" s="1"/>
  <c r="O428" i="14"/>
  <c r="P428" i="14" s="1"/>
  <c r="Q428" i="14" s="1"/>
  <c r="N428" i="14"/>
  <c r="M428" i="14" s="1"/>
  <c r="N436" i="14"/>
  <c r="M436" i="14" s="1"/>
  <c r="O436" i="14" s="1"/>
  <c r="P436" i="14" s="1"/>
  <c r="Q436" i="14" s="1"/>
  <c r="N452" i="14"/>
  <c r="M452" i="14" s="1"/>
  <c r="O452" i="14" s="1"/>
  <c r="P452" i="14" s="1"/>
  <c r="Q452" i="14" s="1"/>
  <c r="N350" i="14"/>
  <c r="M350" i="14" s="1"/>
  <c r="O350" i="14" s="1"/>
  <c r="P350" i="14" s="1"/>
  <c r="Q350" i="14" s="1"/>
  <c r="N354" i="14"/>
  <c r="M354" i="14" s="1"/>
  <c r="O354" i="14" s="1"/>
  <c r="P354" i="14" s="1"/>
  <c r="Q354" i="14" s="1"/>
  <c r="N376" i="14"/>
  <c r="M376" i="14" s="1"/>
  <c r="O376" i="14" s="1"/>
  <c r="P376" i="14" s="1"/>
  <c r="Q376" i="14" s="1"/>
  <c r="N380" i="14"/>
  <c r="M380" i="14" s="1"/>
  <c r="O380" i="14" s="1"/>
  <c r="P380" i="14" s="1"/>
  <c r="Q380" i="14" s="1"/>
  <c r="O384" i="14"/>
  <c r="P384" i="14" s="1"/>
  <c r="Q384" i="14" s="1"/>
  <c r="O386" i="14"/>
  <c r="P386" i="14" s="1"/>
  <c r="Q386" i="14" s="1"/>
  <c r="O390" i="14"/>
  <c r="P390" i="14" s="1"/>
  <c r="Q390" i="14" s="1"/>
  <c r="O412" i="14"/>
  <c r="P412" i="14" s="1"/>
  <c r="Q412" i="14" s="1"/>
  <c r="O416" i="14"/>
  <c r="P416" i="14" s="1"/>
  <c r="Q416" i="14" s="1"/>
  <c r="O420" i="14"/>
  <c r="P420" i="14" s="1"/>
  <c r="Q420" i="14" s="1"/>
  <c r="N444" i="14"/>
  <c r="M444" i="14" s="1"/>
  <c r="O444" i="14" s="1"/>
  <c r="P444" i="14" s="1"/>
  <c r="Q444" i="14" s="1"/>
  <c r="N445" i="14"/>
  <c r="M445" i="14" s="1"/>
  <c r="O445" i="14" s="1"/>
  <c r="P445" i="14" s="1"/>
  <c r="Q445" i="14" s="1"/>
  <c r="J545" i="14"/>
  <c r="N458" i="14"/>
  <c r="M458" i="14" s="1"/>
  <c r="O458" i="14" s="1"/>
  <c r="P458" i="14" s="1"/>
  <c r="Q458" i="14" s="1"/>
  <c r="N459" i="14"/>
  <c r="M459" i="14" s="1"/>
  <c r="O459" i="14" s="1"/>
  <c r="P459" i="14" s="1"/>
  <c r="Q459" i="14" s="1"/>
  <c r="N479" i="14"/>
  <c r="M479" i="14" s="1"/>
  <c r="O479" i="14" s="1"/>
  <c r="P479" i="14" s="1"/>
  <c r="Q479" i="14" s="1"/>
  <c r="R484" i="14"/>
  <c r="S484" i="14" s="1"/>
  <c r="N495" i="14"/>
  <c r="M495" i="14" s="1"/>
  <c r="O495" i="14" s="1"/>
  <c r="P495" i="14" s="1"/>
  <c r="Q495" i="14" s="1"/>
  <c r="N497" i="14"/>
  <c r="M497" i="14" s="1"/>
  <c r="O497" i="14" s="1"/>
  <c r="P497" i="14" s="1"/>
  <c r="Q497" i="14" s="1"/>
  <c r="O415" i="14"/>
  <c r="P415" i="14" s="1"/>
  <c r="Q415" i="14" s="1"/>
  <c r="N453" i="14"/>
  <c r="M453" i="14" s="1"/>
  <c r="O453" i="14" s="1"/>
  <c r="P453" i="14" s="1"/>
  <c r="Q453" i="14" s="1"/>
  <c r="J371" i="14"/>
  <c r="N387" i="14"/>
  <c r="M387" i="14" s="1"/>
  <c r="O387" i="14" s="1"/>
  <c r="P387" i="14" s="1"/>
  <c r="Q387" i="14" s="1"/>
  <c r="N391" i="14"/>
  <c r="M391" i="14" s="1"/>
  <c r="O391" i="14" s="1"/>
  <c r="P391" i="14" s="1"/>
  <c r="Q391" i="14" s="1"/>
  <c r="O395" i="14"/>
  <c r="P395" i="14" s="1"/>
  <c r="Q395" i="14" s="1"/>
  <c r="O398" i="14"/>
  <c r="P398" i="14" s="1"/>
  <c r="Q398" i="14" s="1"/>
  <c r="O399" i="14"/>
  <c r="P399" i="14" s="1"/>
  <c r="Q399" i="14" s="1"/>
  <c r="O402" i="14"/>
  <c r="P402" i="14" s="1"/>
  <c r="Q402" i="14" s="1"/>
  <c r="O403" i="14"/>
  <c r="P403" i="14" s="1"/>
  <c r="Q403" i="14" s="1"/>
  <c r="N413" i="14"/>
  <c r="M413" i="14" s="1"/>
  <c r="O413" i="14" s="1"/>
  <c r="P413" i="14" s="1"/>
  <c r="Q413" i="14" s="1"/>
  <c r="N417" i="14"/>
  <c r="M417" i="14" s="1"/>
  <c r="O417" i="14" s="1"/>
  <c r="P417" i="14" s="1"/>
  <c r="Q417" i="14" s="1"/>
  <c r="N421" i="14"/>
  <c r="M421" i="14" s="1"/>
  <c r="O421" i="14" s="1"/>
  <c r="P421" i="14" s="1"/>
  <c r="Q421" i="14" s="1"/>
  <c r="N424" i="14"/>
  <c r="M424" i="14" s="1"/>
  <c r="O424" i="14" s="1"/>
  <c r="P424" i="14" s="1"/>
  <c r="Q424" i="14" s="1"/>
  <c r="N425" i="14"/>
  <c r="M425" i="14" s="1"/>
  <c r="O425" i="14" s="1"/>
  <c r="P425" i="14" s="1"/>
  <c r="Q425" i="14" s="1"/>
  <c r="S426" i="14"/>
  <c r="O430" i="14"/>
  <c r="P430" i="14" s="1"/>
  <c r="Q430" i="14" s="1"/>
  <c r="O438" i="14"/>
  <c r="P438" i="14" s="1"/>
  <c r="Q438" i="14" s="1"/>
  <c r="O443" i="14"/>
  <c r="P443" i="14" s="1"/>
  <c r="Q443" i="14" s="1"/>
  <c r="N448" i="14"/>
  <c r="M448" i="14" s="1"/>
  <c r="O448" i="14" s="1"/>
  <c r="P448" i="14" s="1"/>
  <c r="Q448" i="14" s="1"/>
  <c r="N449" i="14"/>
  <c r="M449" i="14" s="1"/>
  <c r="O449" i="14" s="1"/>
  <c r="P449" i="14" s="1"/>
  <c r="Q449" i="14" s="1"/>
  <c r="S450" i="14"/>
  <c r="O457" i="14"/>
  <c r="P457" i="14" s="1"/>
  <c r="Q457" i="14" s="1"/>
  <c r="N462" i="14"/>
  <c r="M462" i="14" s="1"/>
  <c r="O462" i="14" s="1"/>
  <c r="P462" i="14" s="1"/>
  <c r="Q462" i="14" s="1"/>
  <c r="N463" i="14"/>
  <c r="M463" i="14" s="1"/>
  <c r="O463" i="14" s="1"/>
  <c r="P463" i="14" s="1"/>
  <c r="Q463" i="14" s="1"/>
  <c r="O473" i="14"/>
  <c r="P473" i="14" s="1"/>
  <c r="Q473" i="14" s="1"/>
  <c r="R535" i="14"/>
  <c r="S535" i="14" s="1"/>
  <c r="O481" i="14"/>
  <c r="P481" i="14" s="1"/>
  <c r="Q481" i="14" s="1"/>
  <c r="N483" i="14"/>
  <c r="M483" i="14" s="1"/>
  <c r="O483" i="14" s="1"/>
  <c r="P483" i="14" s="1"/>
  <c r="Q483" i="14" s="1"/>
  <c r="O489" i="14"/>
  <c r="P489" i="14" s="1"/>
  <c r="Q489" i="14" s="1"/>
  <c r="N491" i="14"/>
  <c r="M491" i="14" s="1"/>
  <c r="O491" i="14" s="1"/>
  <c r="P491" i="14" s="1"/>
  <c r="Q491" i="14" s="1"/>
  <c r="O509" i="14"/>
  <c r="P509" i="14" s="1"/>
  <c r="Q509" i="14" s="1"/>
  <c r="O511" i="14"/>
  <c r="P511" i="14" s="1"/>
  <c r="Q511" i="14" s="1"/>
  <c r="N511" i="14"/>
  <c r="M511" i="14" s="1"/>
  <c r="O555" i="14"/>
  <c r="P555" i="14" s="1"/>
  <c r="Q555" i="14" s="1"/>
  <c r="R563" i="14"/>
  <c r="S563" i="14" s="1"/>
  <c r="N472" i="14"/>
  <c r="M472" i="14" s="1"/>
  <c r="O472" i="14" s="1"/>
  <c r="P472" i="14" s="1"/>
  <c r="Q472" i="14" s="1"/>
  <c r="N478" i="14"/>
  <c r="M478" i="14" s="1"/>
  <c r="O478" i="14" s="1"/>
  <c r="P478" i="14" s="1"/>
  <c r="Q478" i="14" s="1"/>
  <c r="N519" i="14"/>
  <c r="M519" i="14" s="1"/>
  <c r="O519" i="14" s="1"/>
  <c r="P519" i="14" s="1"/>
  <c r="Q519" i="14" s="1"/>
  <c r="R527" i="14"/>
  <c r="S527" i="14" s="1"/>
  <c r="N588" i="14"/>
  <c r="M588" i="14" s="1"/>
  <c r="O588" i="14" s="1"/>
  <c r="P588" i="14" s="1"/>
  <c r="Q588" i="14" s="1"/>
  <c r="N590" i="14"/>
  <c r="M590" i="14" s="1"/>
  <c r="O590" i="14" s="1"/>
  <c r="P590" i="14" s="1"/>
  <c r="Q590" i="14" s="1"/>
  <c r="N609" i="14"/>
  <c r="M609" i="14" s="1"/>
  <c r="O609" i="14" s="1"/>
  <c r="P609" i="14" s="1"/>
  <c r="Q609" i="14" s="1"/>
  <c r="J546" i="14"/>
  <c r="J549" i="14" s="1"/>
  <c r="O467" i="14"/>
  <c r="P467" i="14" s="1"/>
  <c r="Q467" i="14" s="1"/>
  <c r="S480" i="14"/>
  <c r="O498" i="14"/>
  <c r="P498" i="14" s="1"/>
  <c r="Q498" i="14" s="1"/>
  <c r="O504" i="14"/>
  <c r="P504" i="14" s="1"/>
  <c r="Q504" i="14" s="1"/>
  <c r="R561" i="14"/>
  <c r="N482" i="14"/>
  <c r="M482" i="14" s="1"/>
  <c r="O482" i="14" s="1"/>
  <c r="P482" i="14" s="1"/>
  <c r="Q482" i="14" s="1"/>
  <c r="N490" i="14"/>
  <c r="M490" i="14" s="1"/>
  <c r="O490" i="14" s="1"/>
  <c r="P490" i="14" s="1"/>
  <c r="Q490" i="14" s="1"/>
  <c r="N496" i="14"/>
  <c r="M496" i="14" s="1"/>
  <c r="O496" i="14" s="1"/>
  <c r="P496" i="14" s="1"/>
  <c r="Q496" i="14" s="1"/>
  <c r="N502" i="14"/>
  <c r="M502" i="14" s="1"/>
  <c r="O502" i="14" s="1"/>
  <c r="P502" i="14" s="1"/>
  <c r="Q502" i="14" s="1"/>
  <c r="N510" i="14"/>
  <c r="M510" i="14" s="1"/>
  <c r="O510" i="14" s="1"/>
  <c r="P510" i="14" s="1"/>
  <c r="Q510" i="14" s="1"/>
  <c r="N516" i="14"/>
  <c r="M516" i="14" s="1"/>
  <c r="O516" i="14" s="1"/>
  <c r="P516" i="14" s="1"/>
  <c r="Q516" i="14" s="1"/>
  <c r="O525" i="14"/>
  <c r="P525" i="14" s="1"/>
  <c r="Q525" i="14" s="1"/>
  <c r="O526" i="14"/>
  <c r="P526" i="14" s="1"/>
  <c r="Q526" i="14" s="1"/>
  <c r="O529" i="14"/>
  <c r="P529" i="14" s="1"/>
  <c r="Q529" i="14" s="1"/>
  <c r="O530" i="14"/>
  <c r="P530" i="14" s="1"/>
  <c r="Q530" i="14" s="1"/>
  <c r="O533" i="14"/>
  <c r="P533" i="14" s="1"/>
  <c r="Q533" i="14" s="1"/>
  <c r="O534" i="14"/>
  <c r="P534" i="14" s="1"/>
  <c r="Q534" i="14" s="1"/>
  <c r="O537" i="14"/>
  <c r="P537" i="14" s="1"/>
  <c r="Q537" i="14" s="1"/>
  <c r="O538" i="14"/>
  <c r="P538" i="14" s="1"/>
  <c r="Q538" i="14" s="1"/>
  <c r="O554" i="14"/>
  <c r="P554" i="14" s="1"/>
  <c r="Q554" i="14" s="1"/>
  <c r="N556" i="14"/>
  <c r="M556" i="14" s="1"/>
  <c r="O556" i="14" s="1"/>
  <c r="P556" i="14" s="1"/>
  <c r="Q556" i="14" s="1"/>
  <c r="N557" i="14"/>
  <c r="M557" i="14" s="1"/>
  <c r="O557" i="14" s="1"/>
  <c r="P557" i="14" s="1"/>
  <c r="Q557" i="14" s="1"/>
  <c r="N558" i="14"/>
  <c r="M558" i="14" s="1"/>
  <c r="N605" i="14"/>
  <c r="M605" i="14" s="1"/>
  <c r="O605" i="14" s="1"/>
  <c r="P605" i="14" s="1"/>
  <c r="Q605" i="14" s="1"/>
  <c r="N541" i="14"/>
  <c r="M541" i="14" s="1"/>
  <c r="O541" i="14" s="1"/>
  <c r="P541" i="14" s="1"/>
  <c r="Q541" i="14" s="1"/>
  <c r="N542" i="14"/>
  <c r="M542" i="14" s="1"/>
  <c r="O542" i="14" s="1"/>
  <c r="P542" i="14" s="1"/>
  <c r="Q542" i="14" s="1"/>
  <c r="O558" i="14"/>
  <c r="P558" i="14" s="1"/>
  <c r="Q558" i="14" s="1"/>
  <c r="N580" i="14"/>
  <c r="M580" i="14" s="1"/>
  <c r="O580" i="14" s="1"/>
  <c r="P580" i="14" s="1"/>
  <c r="Q580" i="14" s="1"/>
  <c r="R595" i="14"/>
  <c r="S595" i="14"/>
  <c r="N599" i="14"/>
  <c r="M599" i="14" s="1"/>
  <c r="O599" i="14"/>
  <c r="P599" i="14" s="1"/>
  <c r="Q599" i="14" s="1"/>
  <c r="N608" i="14"/>
  <c r="M608" i="14" s="1"/>
  <c r="O608" i="14" s="1"/>
  <c r="P608" i="14" s="1"/>
  <c r="Q608" i="14" s="1"/>
  <c r="O524" i="14"/>
  <c r="P524" i="14" s="1"/>
  <c r="Q524" i="14" s="1"/>
  <c r="O528" i="14"/>
  <c r="P528" i="14" s="1"/>
  <c r="Q528" i="14" s="1"/>
  <c r="O536" i="14"/>
  <c r="P536" i="14" s="1"/>
  <c r="Q536" i="14" s="1"/>
  <c r="O540" i="14"/>
  <c r="P540" i="14" s="1"/>
  <c r="Q540" i="14" s="1"/>
  <c r="R612" i="14"/>
  <c r="S612" i="14" s="1"/>
  <c r="O592" i="14"/>
  <c r="P592" i="14" s="1"/>
  <c r="Q592" i="14" s="1"/>
  <c r="N594" i="14"/>
  <c r="M594" i="14" s="1"/>
  <c r="O594" i="14" s="1"/>
  <c r="P594" i="14" s="1"/>
  <c r="Q594" i="14" s="1"/>
  <c r="O607" i="14"/>
  <c r="P607" i="14" s="1"/>
  <c r="Q607" i="14" s="1"/>
  <c r="N598" i="14"/>
  <c r="M598" i="14" s="1"/>
  <c r="O598" i="14" s="1"/>
  <c r="P598" i="14" s="1"/>
  <c r="Q598" i="14" s="1"/>
  <c r="N601" i="14"/>
  <c r="M601" i="14" s="1"/>
  <c r="O601" i="14" s="1"/>
  <c r="P601" i="14" s="1"/>
  <c r="Q601" i="14" s="1"/>
  <c r="J571" i="14"/>
  <c r="O562" i="14"/>
  <c r="P562" i="14" s="1"/>
  <c r="Q562" i="14" s="1"/>
  <c r="N564" i="14"/>
  <c r="M564" i="14" s="1"/>
  <c r="O564" i="14" s="1"/>
  <c r="P564" i="14" s="1"/>
  <c r="Q564" i="14" s="1"/>
  <c r="O565" i="14"/>
  <c r="P565" i="14" s="1"/>
  <c r="Q565" i="14" s="1"/>
  <c r="O569" i="14"/>
  <c r="P569" i="14" s="1"/>
  <c r="Q569" i="14" s="1"/>
  <c r="O581" i="14"/>
  <c r="P581" i="14" s="1"/>
  <c r="Q581" i="14" s="1"/>
  <c r="O584" i="14"/>
  <c r="P584" i="14" s="1"/>
  <c r="Q584" i="14" s="1"/>
  <c r="N586" i="14"/>
  <c r="M586" i="14" s="1"/>
  <c r="O586" i="14" s="1"/>
  <c r="P586" i="14" s="1"/>
  <c r="Q586" i="14" s="1"/>
  <c r="S587" i="14"/>
  <c r="O591" i="14"/>
  <c r="P591" i="14" s="1"/>
  <c r="Q591" i="14" s="1"/>
  <c r="N596" i="14"/>
  <c r="M596" i="14" s="1"/>
  <c r="O596" i="14" s="1"/>
  <c r="P596" i="14" s="1"/>
  <c r="Q596" i="14" s="1"/>
  <c r="O600" i="14"/>
  <c r="P600" i="14" s="1"/>
  <c r="Q600" i="14" s="1"/>
  <c r="O606" i="14"/>
  <c r="P606" i="14" s="1"/>
  <c r="Q606" i="14" s="1"/>
  <c r="N613" i="14"/>
  <c r="M613" i="14" s="1"/>
  <c r="O613" i="14" s="1"/>
  <c r="P613" i="14" s="1"/>
  <c r="Q613" i="14" s="1"/>
  <c r="N576" i="14"/>
  <c r="M576" i="14" s="1"/>
  <c r="O576" i="14" s="1"/>
  <c r="P576" i="14" s="1"/>
  <c r="Q576" i="14" s="1"/>
  <c r="N585" i="14"/>
  <c r="M585" i="14" s="1"/>
  <c r="O585" i="14" s="1"/>
  <c r="P585" i="14" s="1"/>
  <c r="Q585" i="14" s="1"/>
  <c r="N589" i="14"/>
  <c r="M589" i="14" s="1"/>
  <c r="O589" i="14" s="1"/>
  <c r="P589" i="14" s="1"/>
  <c r="Q589" i="14" s="1"/>
  <c r="N593" i="14"/>
  <c r="M593" i="14" s="1"/>
  <c r="O593" i="14" s="1"/>
  <c r="P593" i="14" s="1"/>
  <c r="Q593" i="14" s="1"/>
  <c r="N597" i="14"/>
  <c r="M597" i="14" s="1"/>
  <c r="O597" i="14" s="1"/>
  <c r="P597" i="14" s="1"/>
  <c r="Q597" i="14" s="1"/>
  <c r="R621" i="14"/>
  <c r="N21" i="14"/>
  <c r="M21" i="14" s="1"/>
  <c r="O21" i="14" s="1"/>
  <c r="P21" i="14" s="1"/>
  <c r="Q21" i="14" s="1"/>
  <c r="R21" i="14" s="1"/>
  <c r="S21" i="14" s="1"/>
  <c r="N154" i="14"/>
  <c r="M154" i="14" s="1"/>
  <c r="O154" i="14" s="1"/>
  <c r="P154" i="14" s="1"/>
  <c r="Q154" i="14" s="1"/>
  <c r="O99" i="14"/>
  <c r="P99" i="14" s="1"/>
  <c r="Q99" i="14" s="1"/>
  <c r="R99" i="14" s="1"/>
  <c r="S99" i="14" s="1"/>
  <c r="N99" i="14"/>
  <c r="M99" i="14" s="1"/>
  <c r="N107" i="14"/>
  <c r="M107" i="14" s="1"/>
  <c r="O107" i="14" s="1"/>
  <c r="P107" i="14" s="1"/>
  <c r="Q107" i="14" s="1"/>
  <c r="R107" i="14" s="1"/>
  <c r="S107" i="14" s="1"/>
  <c r="N123" i="14"/>
  <c r="M123" i="14" s="1"/>
  <c r="O123" i="14" s="1"/>
  <c r="P123" i="14" s="1"/>
  <c r="Q123" i="14" s="1"/>
  <c r="N197" i="14"/>
  <c r="M197" i="14" s="1"/>
  <c r="O197" i="14" s="1"/>
  <c r="P197" i="14" s="1"/>
  <c r="Q197" i="14" s="1"/>
  <c r="N213" i="14"/>
  <c r="M213" i="14" s="1"/>
  <c r="O213" i="14"/>
  <c r="P213" i="14" s="1"/>
  <c r="Q213" i="14" s="1"/>
  <c r="R213" i="14" s="1"/>
  <c r="N260" i="14"/>
  <c r="M260" i="14" s="1"/>
  <c r="O260" i="14" s="1"/>
  <c r="P260" i="14" s="1"/>
  <c r="Q260" i="14" s="1"/>
  <c r="R260" i="14" s="1"/>
  <c r="N39" i="14"/>
  <c r="M39" i="14" s="1"/>
  <c r="O39" i="14" s="1"/>
  <c r="P39" i="14" s="1"/>
  <c r="Q39" i="14" s="1"/>
  <c r="N111" i="14"/>
  <c r="M111" i="14" s="1"/>
  <c r="O111" i="14" s="1"/>
  <c r="P111" i="14" s="1"/>
  <c r="Q111" i="14" s="1"/>
  <c r="R111" i="14" s="1"/>
  <c r="S111" i="14" s="1"/>
  <c r="N140" i="14"/>
  <c r="M140" i="14" s="1"/>
  <c r="O140" i="14" s="1"/>
  <c r="P140" i="14" s="1"/>
  <c r="Q140" i="14" s="1"/>
  <c r="O223" i="14"/>
  <c r="P223" i="14" s="1"/>
  <c r="Q223" i="14" s="1"/>
  <c r="R223" i="14" s="1"/>
  <c r="N241" i="14"/>
  <c r="M241" i="14" s="1"/>
  <c r="O241" i="14" s="1"/>
  <c r="P241" i="14" s="1"/>
  <c r="Q241" i="14" s="1"/>
  <c r="R241" i="14" s="1"/>
  <c r="S241" i="14" s="1"/>
  <c r="N266" i="14"/>
  <c r="M266" i="14" s="1"/>
  <c r="O266" i="14" s="1"/>
  <c r="P266" i="14" s="1"/>
  <c r="Q266" i="14" s="1"/>
  <c r="O13" i="14"/>
  <c r="P13" i="14" s="1"/>
  <c r="Q13" i="14" s="1"/>
  <c r="O60" i="14"/>
  <c r="P60" i="14" s="1"/>
  <c r="Q60" i="14" s="1"/>
  <c r="O68" i="14"/>
  <c r="P68" i="14" s="1"/>
  <c r="Q68" i="14" s="1"/>
  <c r="R68" i="14" s="1"/>
  <c r="S68" i="14" s="1"/>
  <c r="O136" i="14"/>
  <c r="P136" i="14" s="1"/>
  <c r="Q136" i="14" s="1"/>
  <c r="N143" i="14"/>
  <c r="M143" i="14" s="1"/>
  <c r="O143" i="14" s="1"/>
  <c r="P143" i="14" s="1"/>
  <c r="Q143" i="14" s="1"/>
  <c r="S157" i="14"/>
  <c r="O161" i="14"/>
  <c r="P161" i="14" s="1"/>
  <c r="Q161" i="14" s="1"/>
  <c r="R161" i="14" s="1"/>
  <c r="N166" i="14"/>
  <c r="M166" i="14" s="1"/>
  <c r="O166" i="14" s="1"/>
  <c r="P166" i="14" s="1"/>
  <c r="Q166" i="14" s="1"/>
  <c r="N193" i="14"/>
  <c r="M193" i="14" s="1"/>
  <c r="O193" i="14"/>
  <c r="P193" i="14" s="1"/>
  <c r="Q193" i="14" s="1"/>
  <c r="R193" i="14" s="1"/>
  <c r="S193" i="14" s="1"/>
  <c r="N254" i="14"/>
  <c r="M254" i="14" s="1"/>
  <c r="O254" i="14" s="1"/>
  <c r="P254" i="14" s="1"/>
  <c r="Q254" i="14" s="1"/>
  <c r="R254" i="14" s="1"/>
  <c r="O47" i="14"/>
  <c r="P47" i="14" s="1"/>
  <c r="Q47" i="14" s="1"/>
  <c r="O75" i="14"/>
  <c r="P75" i="14" s="1"/>
  <c r="Q75" i="14" s="1"/>
  <c r="R75" i="14" s="1"/>
  <c r="S75" i="14" s="1"/>
  <c r="O88" i="14"/>
  <c r="P88" i="14" s="1"/>
  <c r="Q88" i="14" s="1"/>
  <c r="R88" i="14" s="1"/>
  <c r="N88" i="14"/>
  <c r="M88" i="14" s="1"/>
  <c r="N103" i="14"/>
  <c r="M103" i="14" s="1"/>
  <c r="O103" i="14" s="1"/>
  <c r="P103" i="14" s="1"/>
  <c r="Q103" i="14" s="1"/>
  <c r="N127" i="14"/>
  <c r="M127" i="14" s="1"/>
  <c r="O127" i="14" s="1"/>
  <c r="P127" i="14" s="1"/>
  <c r="Q127" i="14" s="1"/>
  <c r="R127" i="14" s="1"/>
  <c r="S127" i="14" s="1"/>
  <c r="N242" i="14"/>
  <c r="M242" i="14" s="1"/>
  <c r="O242" i="14" s="1"/>
  <c r="P242" i="14" s="1"/>
  <c r="Q242" i="14" s="1"/>
  <c r="O285" i="14"/>
  <c r="P285" i="14" s="1"/>
  <c r="Q285" i="14" s="1"/>
  <c r="R285" i="14" s="1"/>
  <c r="S285" i="14" s="1"/>
  <c r="O295" i="14"/>
  <c r="P295" i="14" s="1"/>
  <c r="Q295" i="14" s="1"/>
  <c r="O302" i="14"/>
  <c r="P302" i="14" s="1"/>
  <c r="Q302" i="14" s="1"/>
  <c r="O49" i="14"/>
  <c r="P49" i="14" s="1"/>
  <c r="Q49" i="14" s="1"/>
  <c r="R49" i="14" s="1"/>
  <c r="O52" i="14"/>
  <c r="P52" i="14" s="1"/>
  <c r="Q52" i="14" s="1"/>
  <c r="J94" i="14"/>
  <c r="O48" i="14"/>
  <c r="P48" i="14" s="1"/>
  <c r="Q48" i="14" s="1"/>
  <c r="O50" i="14"/>
  <c r="P50" i="14" s="1"/>
  <c r="Q50" i="14" s="1"/>
  <c r="R50" i="14" s="1"/>
  <c r="S50" i="14" s="1"/>
  <c r="O51" i="14"/>
  <c r="P51" i="14" s="1"/>
  <c r="Q51" i="14" s="1"/>
  <c r="R51" i="14" s="1"/>
  <c r="S51" i="14" s="1"/>
  <c r="O59" i="14"/>
  <c r="P59" i="14" s="1"/>
  <c r="Q59" i="14" s="1"/>
  <c r="R59" i="14" s="1"/>
  <c r="O62" i="14"/>
  <c r="P62" i="14" s="1"/>
  <c r="Q62" i="14" s="1"/>
  <c r="O63" i="14"/>
  <c r="P63" i="14" s="1"/>
  <c r="Q63" i="14" s="1"/>
  <c r="R63" i="14" s="1"/>
  <c r="S63" i="14" s="1"/>
  <c r="O67" i="14"/>
  <c r="P67" i="14" s="1"/>
  <c r="Q67" i="14" s="1"/>
  <c r="R67" i="14" s="1"/>
  <c r="O69" i="14"/>
  <c r="P69" i="14" s="1"/>
  <c r="Q69" i="14" s="1"/>
  <c r="O76" i="14"/>
  <c r="P76" i="14" s="1"/>
  <c r="Q76" i="14" s="1"/>
  <c r="O77" i="14"/>
  <c r="P77" i="14" s="1"/>
  <c r="Q77" i="14" s="1"/>
  <c r="R77" i="14" s="1"/>
  <c r="O147" i="14"/>
  <c r="P147" i="14" s="1"/>
  <c r="Q147" i="14" s="1"/>
  <c r="R147" i="14" s="1"/>
  <c r="O303" i="14"/>
  <c r="P303" i="14" s="1"/>
  <c r="Q303" i="14" s="1"/>
  <c r="R303" i="14" s="1"/>
  <c r="O317" i="14"/>
  <c r="P317" i="14" s="1"/>
  <c r="Q317" i="14" s="1"/>
  <c r="O321" i="14"/>
  <c r="P321" i="14" s="1"/>
  <c r="Q321" i="14" s="1"/>
  <c r="R321" i="14" s="1"/>
  <c r="S321" i="14" s="1"/>
  <c r="R13" i="14"/>
  <c r="S13" i="14" s="1"/>
  <c r="N22" i="14"/>
  <c r="M22" i="14" s="1"/>
  <c r="O22" i="14" s="1"/>
  <c r="P22" i="14" s="1"/>
  <c r="Q22" i="14" s="1"/>
  <c r="R76" i="14"/>
  <c r="S76" i="14" s="1"/>
  <c r="N16" i="14"/>
  <c r="M16" i="14" s="1"/>
  <c r="O16" i="14" s="1"/>
  <c r="P16" i="14" s="1"/>
  <c r="Q16" i="14" s="1"/>
  <c r="N18" i="14"/>
  <c r="M18" i="14" s="1"/>
  <c r="O18" i="14" s="1"/>
  <c r="P18" i="14" s="1"/>
  <c r="Q18" i="14" s="1"/>
  <c r="O25" i="14"/>
  <c r="P25" i="14" s="1"/>
  <c r="Q25" i="14" s="1"/>
  <c r="N34" i="14"/>
  <c r="M34" i="14" s="1"/>
  <c r="O34" i="14" s="1"/>
  <c r="P34" i="14" s="1"/>
  <c r="Q34" i="14" s="1"/>
  <c r="R61" i="14"/>
  <c r="S61" i="14" s="1"/>
  <c r="N20" i="14"/>
  <c r="M20" i="14" s="1"/>
  <c r="O20" i="14" s="1"/>
  <c r="P20" i="14" s="1"/>
  <c r="Q20" i="14" s="1"/>
  <c r="R69" i="14"/>
  <c r="S69" i="14" s="1"/>
  <c r="N14" i="14"/>
  <c r="M14" i="14" s="1"/>
  <c r="O14" i="14" s="1"/>
  <c r="P14" i="14" s="1"/>
  <c r="Q14" i="14" s="1"/>
  <c r="R26" i="14"/>
  <c r="S26" i="14" s="1"/>
  <c r="R74" i="14"/>
  <c r="S74" i="14" s="1"/>
  <c r="R48" i="14"/>
  <c r="S48" i="14" s="1"/>
  <c r="R62" i="14"/>
  <c r="S62" i="14" s="1"/>
  <c r="N12" i="14"/>
  <c r="M12" i="14" s="1"/>
  <c r="O12" i="14" s="1"/>
  <c r="P12" i="14" s="1"/>
  <c r="Q12" i="14" s="1"/>
  <c r="O17" i="14"/>
  <c r="P17" i="14" s="1"/>
  <c r="Q17" i="14" s="1"/>
  <c r="N24" i="14"/>
  <c r="M24" i="14" s="1"/>
  <c r="O24" i="14"/>
  <c r="P24" i="14" s="1"/>
  <c r="Q24" i="14" s="1"/>
  <c r="R29" i="14"/>
  <c r="S29" i="14" s="1"/>
  <c r="R35" i="14"/>
  <c r="S35" i="14" s="1"/>
  <c r="R52" i="14"/>
  <c r="S52" i="14" s="1"/>
  <c r="N37" i="14"/>
  <c r="M37" i="14" s="1"/>
  <c r="O37" i="14" s="1"/>
  <c r="P37" i="14" s="1"/>
  <c r="Q37" i="14" s="1"/>
  <c r="N112" i="14"/>
  <c r="M112" i="14" s="1"/>
  <c r="O112" i="14" s="1"/>
  <c r="P112" i="14" s="1"/>
  <c r="Q112" i="14" s="1"/>
  <c r="N128" i="14"/>
  <c r="M128" i="14" s="1"/>
  <c r="O128" i="14" s="1"/>
  <c r="P128" i="14" s="1"/>
  <c r="Q128" i="14" s="1"/>
  <c r="N135" i="14"/>
  <c r="M135" i="14" s="1"/>
  <c r="O135" i="14" s="1"/>
  <c r="P135" i="14" s="1"/>
  <c r="Q135" i="14" s="1"/>
  <c r="N142" i="14"/>
  <c r="M142" i="14" s="1"/>
  <c r="O142" i="14" s="1"/>
  <c r="P142" i="14" s="1"/>
  <c r="Q142" i="14" s="1"/>
  <c r="N156" i="14"/>
  <c r="M156" i="14" s="1"/>
  <c r="O156" i="14" s="1"/>
  <c r="P156" i="14" s="1"/>
  <c r="Q156" i="14" s="1"/>
  <c r="N165" i="14"/>
  <c r="M165" i="14" s="1"/>
  <c r="O165" i="14" s="1"/>
  <c r="P165" i="14" s="1"/>
  <c r="Q165" i="14" s="1"/>
  <c r="N27" i="14"/>
  <c r="M27" i="14" s="1"/>
  <c r="O27" i="14" s="1"/>
  <c r="P27" i="14" s="1"/>
  <c r="Q27" i="14" s="1"/>
  <c r="N38" i="14"/>
  <c r="M38" i="14" s="1"/>
  <c r="O38" i="14" s="1"/>
  <c r="P38" i="14" s="1"/>
  <c r="Q38" i="14" s="1"/>
  <c r="O54" i="14"/>
  <c r="P54" i="14" s="1"/>
  <c r="Q54" i="14" s="1"/>
  <c r="S59" i="14"/>
  <c r="O64" i="14"/>
  <c r="P64" i="14" s="1"/>
  <c r="Q64" i="14" s="1"/>
  <c r="S66" i="14"/>
  <c r="O98" i="14"/>
  <c r="P98" i="14" s="1"/>
  <c r="Q98" i="14" s="1"/>
  <c r="O106" i="14"/>
  <c r="P106" i="14" s="1"/>
  <c r="Q106" i="14" s="1"/>
  <c r="N113" i="14"/>
  <c r="M113" i="14" s="1"/>
  <c r="O113" i="14" s="1"/>
  <c r="P113" i="14" s="1"/>
  <c r="Q113" i="14" s="1"/>
  <c r="R115" i="14"/>
  <c r="S115" i="14" s="1"/>
  <c r="N124" i="14"/>
  <c r="M124" i="14" s="1"/>
  <c r="O124" i="14" s="1"/>
  <c r="P124" i="14" s="1"/>
  <c r="Q124" i="14" s="1"/>
  <c r="N129" i="14"/>
  <c r="M129" i="14" s="1"/>
  <c r="O129" i="14" s="1"/>
  <c r="P129" i="14" s="1"/>
  <c r="Q129" i="14" s="1"/>
  <c r="R185" i="14"/>
  <c r="S185" i="14" s="1"/>
  <c r="N214" i="14"/>
  <c r="M214" i="14" s="1"/>
  <c r="O214" i="14" s="1"/>
  <c r="P214" i="14" s="1"/>
  <c r="Q214" i="14" s="1"/>
  <c r="N216" i="14"/>
  <c r="M216" i="14" s="1"/>
  <c r="O216" i="14" s="1"/>
  <c r="P216" i="14" s="1"/>
  <c r="Q216" i="14" s="1"/>
  <c r="R60" i="14"/>
  <c r="S60" i="14" s="1"/>
  <c r="R65" i="14"/>
  <c r="S65" i="14" s="1"/>
  <c r="N86" i="14"/>
  <c r="M86" i="14" s="1"/>
  <c r="O86" i="14" s="1"/>
  <c r="P86" i="14" s="1"/>
  <c r="Q86" i="14" s="1"/>
  <c r="N92" i="14"/>
  <c r="M92" i="14" s="1"/>
  <c r="O92" i="14" s="1"/>
  <c r="P92" i="14" s="1"/>
  <c r="Q92" i="14" s="1"/>
  <c r="N117" i="14"/>
  <c r="M117" i="14" s="1"/>
  <c r="O117" i="14" s="1"/>
  <c r="P117" i="14" s="1"/>
  <c r="Q117" i="14" s="1"/>
  <c r="R57" i="14"/>
  <c r="S57" i="14" s="1"/>
  <c r="N105" i="14"/>
  <c r="M105" i="14" s="1"/>
  <c r="O105" i="14" s="1"/>
  <c r="P105" i="14" s="1"/>
  <c r="Q105" i="14" s="1"/>
  <c r="N110" i="14"/>
  <c r="M110" i="14" s="1"/>
  <c r="O110" i="14" s="1"/>
  <c r="P110" i="14" s="1"/>
  <c r="Q110" i="14" s="1"/>
  <c r="N120" i="14"/>
  <c r="M120" i="14" s="1"/>
  <c r="O120" i="14" s="1"/>
  <c r="P120" i="14" s="1"/>
  <c r="Q120" i="14" s="1"/>
  <c r="N125" i="14"/>
  <c r="M125" i="14" s="1"/>
  <c r="O125" i="14" s="1"/>
  <c r="P125" i="14" s="1"/>
  <c r="Q125" i="14" s="1"/>
  <c r="N141" i="14"/>
  <c r="M141" i="14" s="1"/>
  <c r="O141" i="14" s="1"/>
  <c r="P141" i="14" s="1"/>
  <c r="Q141" i="14" s="1"/>
  <c r="N155" i="14"/>
  <c r="M155" i="14" s="1"/>
  <c r="O155" i="14" s="1"/>
  <c r="P155" i="14" s="1"/>
  <c r="Q155" i="14" s="1"/>
  <c r="R173" i="14"/>
  <c r="S173" i="14" s="1"/>
  <c r="R189" i="14"/>
  <c r="S189" i="14" s="1"/>
  <c r="N33" i="14"/>
  <c r="M33" i="14" s="1"/>
  <c r="O33" i="14" s="1"/>
  <c r="P33" i="14" s="1"/>
  <c r="Q33" i="14" s="1"/>
  <c r="R72" i="14"/>
  <c r="N101" i="14"/>
  <c r="M101" i="14" s="1"/>
  <c r="O101" i="14" s="1"/>
  <c r="P101" i="14" s="1"/>
  <c r="Q101" i="14" s="1"/>
  <c r="N109" i="14"/>
  <c r="M109" i="14" s="1"/>
  <c r="O109" i="14" s="1"/>
  <c r="P109" i="14" s="1"/>
  <c r="Q109" i="14" s="1"/>
  <c r="R119" i="14"/>
  <c r="S119" i="14" s="1"/>
  <c r="N133" i="14"/>
  <c r="M133" i="14" s="1"/>
  <c r="O133" i="14"/>
  <c r="P133" i="14" s="1"/>
  <c r="Q133" i="14" s="1"/>
  <c r="N11" i="14"/>
  <c r="M11" i="14" s="1"/>
  <c r="O11" i="14" s="1"/>
  <c r="P11" i="14" s="1"/>
  <c r="Q11" i="14" s="1"/>
  <c r="N15" i="14"/>
  <c r="M15" i="14" s="1"/>
  <c r="O15" i="14" s="1"/>
  <c r="P15" i="14" s="1"/>
  <c r="Q15" i="14" s="1"/>
  <c r="N19" i="14"/>
  <c r="M19" i="14" s="1"/>
  <c r="O19" i="14" s="1"/>
  <c r="P19" i="14" s="1"/>
  <c r="Q19" i="14" s="1"/>
  <c r="N23" i="14"/>
  <c r="M23" i="14" s="1"/>
  <c r="O23" i="14" s="1"/>
  <c r="P23" i="14" s="1"/>
  <c r="Q23" i="14" s="1"/>
  <c r="O32" i="14"/>
  <c r="P32" i="14" s="1"/>
  <c r="Q32" i="14" s="1"/>
  <c r="O36" i="14"/>
  <c r="P36" i="14" s="1"/>
  <c r="Q36" i="14" s="1"/>
  <c r="O28" i="14"/>
  <c r="P28" i="14" s="1"/>
  <c r="Q28" i="14" s="1"/>
  <c r="N40" i="14"/>
  <c r="M40" i="14" s="1"/>
  <c r="O40" i="14" s="1"/>
  <c r="P40" i="14" s="1"/>
  <c r="Q40" i="14" s="1"/>
  <c r="R47" i="14"/>
  <c r="S47" i="14" s="1"/>
  <c r="R53" i="14"/>
  <c r="S53" i="14" s="1"/>
  <c r="S58" i="14"/>
  <c r="S73" i="14"/>
  <c r="O87" i="14"/>
  <c r="P87" i="14" s="1"/>
  <c r="Q87" i="14" s="1"/>
  <c r="O102" i="14"/>
  <c r="P102" i="14" s="1"/>
  <c r="Q102" i="14" s="1"/>
  <c r="N116" i="14"/>
  <c r="M116" i="14" s="1"/>
  <c r="O116" i="14" s="1"/>
  <c r="P116" i="14" s="1"/>
  <c r="Q116" i="14" s="1"/>
  <c r="N121" i="14"/>
  <c r="M121" i="14" s="1"/>
  <c r="O121" i="14"/>
  <c r="P121" i="14" s="1"/>
  <c r="Q121" i="14" s="1"/>
  <c r="N132" i="14"/>
  <c r="M132" i="14" s="1"/>
  <c r="O132" i="14" s="1"/>
  <c r="P132" i="14" s="1"/>
  <c r="Q132" i="14" s="1"/>
  <c r="R177" i="14"/>
  <c r="S177" i="14" s="1"/>
  <c r="R227" i="14"/>
  <c r="S227" i="14"/>
  <c r="R231" i="14"/>
  <c r="S231" i="14" s="1"/>
  <c r="J326" i="14"/>
  <c r="N41" i="14"/>
  <c r="M41" i="14" s="1"/>
  <c r="O41" i="14" s="1"/>
  <c r="P41" i="14" s="1"/>
  <c r="Q41" i="14" s="1"/>
  <c r="N83" i="14"/>
  <c r="M83" i="14" s="1"/>
  <c r="O83" i="14" s="1"/>
  <c r="P83" i="14" s="1"/>
  <c r="Q83" i="14" s="1"/>
  <c r="N91" i="14"/>
  <c r="M91" i="14" s="1"/>
  <c r="O91" i="14" s="1"/>
  <c r="P91" i="14" s="1"/>
  <c r="Q91" i="14" s="1"/>
  <c r="N100" i="14"/>
  <c r="M100" i="14" s="1"/>
  <c r="O100" i="14" s="1"/>
  <c r="P100" i="14" s="1"/>
  <c r="Q100" i="14" s="1"/>
  <c r="N104" i="14"/>
  <c r="M104" i="14" s="1"/>
  <c r="O104" i="14" s="1"/>
  <c r="P104" i="14" s="1"/>
  <c r="Q104" i="14" s="1"/>
  <c r="N108" i="14"/>
  <c r="M108" i="14" s="1"/>
  <c r="O108" i="14" s="1"/>
  <c r="P108" i="14" s="1"/>
  <c r="Q108" i="14" s="1"/>
  <c r="N145" i="14"/>
  <c r="M145" i="14" s="1"/>
  <c r="O145" i="14" s="1"/>
  <c r="P145" i="14" s="1"/>
  <c r="Q145" i="14" s="1"/>
  <c r="N146" i="14"/>
  <c r="M146" i="14" s="1"/>
  <c r="O146" i="14" s="1"/>
  <c r="P146" i="14" s="1"/>
  <c r="Q146" i="14" s="1"/>
  <c r="N159" i="14"/>
  <c r="M159" i="14" s="1"/>
  <c r="O159" i="14" s="1"/>
  <c r="P159" i="14" s="1"/>
  <c r="Q159" i="14" s="1"/>
  <c r="N160" i="14"/>
  <c r="M160" i="14" s="1"/>
  <c r="O160" i="14" s="1"/>
  <c r="P160" i="14" s="1"/>
  <c r="Q160" i="14" s="1"/>
  <c r="R205" i="14"/>
  <c r="S205" i="14" s="1"/>
  <c r="N209" i="14"/>
  <c r="M209" i="14" s="1"/>
  <c r="O209" i="14" s="1"/>
  <c r="P209" i="14" s="1"/>
  <c r="Q209" i="14" s="1"/>
  <c r="R226" i="14"/>
  <c r="Q235" i="14"/>
  <c r="Q329" i="14" s="1"/>
  <c r="R230" i="14"/>
  <c r="S230" i="14" s="1"/>
  <c r="R234" i="14"/>
  <c r="S234" i="14" s="1"/>
  <c r="J328" i="14"/>
  <c r="O114" i="14"/>
  <c r="P114" i="14" s="1"/>
  <c r="Q114" i="14" s="1"/>
  <c r="O118" i="14"/>
  <c r="P118" i="14" s="1"/>
  <c r="Q118" i="14" s="1"/>
  <c r="O122" i="14"/>
  <c r="P122" i="14" s="1"/>
  <c r="Q122" i="14" s="1"/>
  <c r="O126" i="14"/>
  <c r="P126" i="14" s="1"/>
  <c r="Q126" i="14" s="1"/>
  <c r="O130" i="14"/>
  <c r="P130" i="14" s="1"/>
  <c r="Q130" i="14" s="1"/>
  <c r="N134" i="14"/>
  <c r="M134" i="14" s="1"/>
  <c r="O134" i="14" s="1"/>
  <c r="P134" i="14" s="1"/>
  <c r="Q134" i="14" s="1"/>
  <c r="O139" i="14"/>
  <c r="P139" i="14" s="1"/>
  <c r="Q139" i="14" s="1"/>
  <c r="O144" i="14"/>
  <c r="P144" i="14" s="1"/>
  <c r="Q144" i="14" s="1"/>
  <c r="N149" i="14"/>
  <c r="M149" i="14" s="1"/>
  <c r="O149" i="14" s="1"/>
  <c r="P149" i="14" s="1"/>
  <c r="Q149" i="14" s="1"/>
  <c r="N150" i="14"/>
  <c r="M150" i="14" s="1"/>
  <c r="O150" i="14" s="1"/>
  <c r="P150" i="14" s="1"/>
  <c r="Q150" i="14" s="1"/>
  <c r="O153" i="14"/>
  <c r="P153" i="14" s="1"/>
  <c r="Q153" i="14" s="1"/>
  <c r="O158" i="14"/>
  <c r="P158" i="14" s="1"/>
  <c r="Q158" i="14" s="1"/>
  <c r="N163" i="14"/>
  <c r="M163" i="14" s="1"/>
  <c r="O163" i="14" s="1"/>
  <c r="P163" i="14" s="1"/>
  <c r="Q163" i="14" s="1"/>
  <c r="N164" i="14"/>
  <c r="M164" i="14" s="1"/>
  <c r="O164" i="14" s="1"/>
  <c r="P164" i="14" s="1"/>
  <c r="Q164" i="14" s="1"/>
  <c r="O169" i="14"/>
  <c r="P169" i="14" s="1"/>
  <c r="Q169" i="14" s="1"/>
  <c r="R229" i="14"/>
  <c r="S229" i="14" s="1"/>
  <c r="R233" i="14"/>
  <c r="S233" i="14" s="1"/>
  <c r="J327" i="14"/>
  <c r="J43" i="14"/>
  <c r="N137" i="14"/>
  <c r="M137" i="14" s="1"/>
  <c r="O137" i="14" s="1"/>
  <c r="P137" i="14" s="1"/>
  <c r="Q137" i="14" s="1"/>
  <c r="N138" i="14"/>
  <c r="M138" i="14" s="1"/>
  <c r="O138" i="14" s="1"/>
  <c r="P138" i="14" s="1"/>
  <c r="Q138" i="14" s="1"/>
  <c r="O148" i="14"/>
  <c r="P148" i="14" s="1"/>
  <c r="Q148" i="14" s="1"/>
  <c r="O162" i="14"/>
  <c r="P162" i="14" s="1"/>
  <c r="Q162" i="14" s="1"/>
  <c r="N167" i="14"/>
  <c r="M167" i="14" s="1"/>
  <c r="O167" i="14" s="1"/>
  <c r="P167" i="14" s="1"/>
  <c r="Q167" i="14" s="1"/>
  <c r="N168" i="14"/>
  <c r="M168" i="14" s="1"/>
  <c r="O168" i="14" s="1"/>
  <c r="P168" i="14" s="1"/>
  <c r="Q168" i="14" s="1"/>
  <c r="R181" i="14"/>
  <c r="S181" i="14" s="1"/>
  <c r="N198" i="14"/>
  <c r="M198" i="14" s="1"/>
  <c r="O198" i="14" s="1"/>
  <c r="P198" i="14" s="1"/>
  <c r="Q198" i="14" s="1"/>
  <c r="O200" i="14"/>
  <c r="P200" i="14" s="1"/>
  <c r="Q200" i="14" s="1"/>
  <c r="N200" i="14"/>
  <c r="M200" i="14" s="1"/>
  <c r="R228" i="14"/>
  <c r="S228" i="14" s="1"/>
  <c r="R232" i="14"/>
  <c r="S232" i="14" s="1"/>
  <c r="O171" i="14"/>
  <c r="P171" i="14" s="1"/>
  <c r="Q171" i="14" s="1"/>
  <c r="N171" i="14"/>
  <c r="M171" i="14" s="1"/>
  <c r="N175" i="14"/>
  <c r="M175" i="14" s="1"/>
  <c r="O175" i="14" s="1"/>
  <c r="P175" i="14" s="1"/>
  <c r="Q175" i="14" s="1"/>
  <c r="N179" i="14"/>
  <c r="M179" i="14" s="1"/>
  <c r="O179" i="14" s="1"/>
  <c r="P179" i="14" s="1"/>
  <c r="Q179" i="14" s="1"/>
  <c r="N183" i="14"/>
  <c r="M183" i="14" s="1"/>
  <c r="O183" i="14" s="1"/>
  <c r="P183" i="14" s="1"/>
  <c r="Q183" i="14" s="1"/>
  <c r="N187" i="14"/>
  <c r="M187" i="14" s="1"/>
  <c r="O187" i="14" s="1"/>
  <c r="P187" i="14" s="1"/>
  <c r="Q187" i="14" s="1"/>
  <c r="N191" i="14"/>
  <c r="M191" i="14" s="1"/>
  <c r="O191" i="14" s="1"/>
  <c r="P191" i="14" s="1"/>
  <c r="Q191" i="14" s="1"/>
  <c r="O202" i="14"/>
  <c r="P202" i="14" s="1"/>
  <c r="Q202" i="14" s="1"/>
  <c r="N204" i="14"/>
  <c r="M204" i="14" s="1"/>
  <c r="O204" i="14" s="1"/>
  <c r="P204" i="14" s="1"/>
  <c r="Q204" i="14" s="1"/>
  <c r="O218" i="14"/>
  <c r="P218" i="14" s="1"/>
  <c r="Q218" i="14" s="1"/>
  <c r="N248" i="14"/>
  <c r="M248" i="14" s="1"/>
  <c r="O248" i="14" s="1"/>
  <c r="P248" i="14" s="1"/>
  <c r="Q248" i="14" s="1"/>
  <c r="R295" i="14"/>
  <c r="S295" i="14" s="1"/>
  <c r="R296" i="14"/>
  <c r="S296" i="14" s="1"/>
  <c r="R302" i="14"/>
  <c r="S302" i="14" s="1"/>
  <c r="N208" i="14"/>
  <c r="M208" i="14" s="1"/>
  <c r="O208" i="14" s="1"/>
  <c r="P208" i="14" s="1"/>
  <c r="Q208" i="14" s="1"/>
  <c r="R244" i="14"/>
  <c r="S244" i="14" s="1"/>
  <c r="N249" i="14"/>
  <c r="M249" i="14" s="1"/>
  <c r="O249" i="14" s="1"/>
  <c r="P249" i="14" s="1"/>
  <c r="Q249" i="14" s="1"/>
  <c r="R269" i="14"/>
  <c r="S269" i="14" s="1"/>
  <c r="R291" i="14"/>
  <c r="S291" i="14" s="1"/>
  <c r="O170" i="14"/>
  <c r="P170" i="14" s="1"/>
  <c r="Q170" i="14" s="1"/>
  <c r="O172" i="14"/>
  <c r="P172" i="14" s="1"/>
  <c r="Q172" i="14" s="1"/>
  <c r="O174" i="14"/>
  <c r="P174" i="14" s="1"/>
  <c r="Q174" i="14" s="1"/>
  <c r="O176" i="14"/>
  <c r="P176" i="14" s="1"/>
  <c r="Q176" i="14" s="1"/>
  <c r="O178" i="14"/>
  <c r="P178" i="14" s="1"/>
  <c r="Q178" i="14" s="1"/>
  <c r="O180" i="14"/>
  <c r="P180" i="14" s="1"/>
  <c r="Q180" i="14" s="1"/>
  <c r="O182" i="14"/>
  <c r="P182" i="14" s="1"/>
  <c r="Q182" i="14" s="1"/>
  <c r="O184" i="14"/>
  <c r="P184" i="14" s="1"/>
  <c r="Q184" i="14" s="1"/>
  <c r="O186" i="14"/>
  <c r="P186" i="14" s="1"/>
  <c r="Q186" i="14" s="1"/>
  <c r="O188" i="14"/>
  <c r="P188" i="14" s="1"/>
  <c r="Q188" i="14" s="1"/>
  <c r="O190" i="14"/>
  <c r="P190" i="14" s="1"/>
  <c r="Q190" i="14" s="1"/>
  <c r="O192" i="14"/>
  <c r="P192" i="14" s="1"/>
  <c r="Q192" i="14" s="1"/>
  <c r="O194" i="14"/>
  <c r="P194" i="14" s="1"/>
  <c r="Q194" i="14" s="1"/>
  <c r="N196" i="14"/>
  <c r="M196" i="14" s="1"/>
  <c r="O196" i="14" s="1"/>
  <c r="P196" i="14" s="1"/>
  <c r="Q196" i="14" s="1"/>
  <c r="O201" i="14"/>
  <c r="P201" i="14" s="1"/>
  <c r="Q201" i="14" s="1"/>
  <c r="N206" i="14"/>
  <c r="M206" i="14" s="1"/>
  <c r="O206" i="14" s="1"/>
  <c r="P206" i="14" s="1"/>
  <c r="Q206" i="14" s="1"/>
  <c r="O210" i="14"/>
  <c r="P210" i="14" s="1"/>
  <c r="Q210" i="14" s="1"/>
  <c r="N212" i="14"/>
  <c r="M212" i="14" s="1"/>
  <c r="O212" i="14" s="1"/>
  <c r="P212" i="14" s="1"/>
  <c r="Q212" i="14" s="1"/>
  <c r="S213" i="14"/>
  <c r="O217" i="14"/>
  <c r="P217" i="14" s="1"/>
  <c r="Q217" i="14" s="1"/>
  <c r="N222" i="14"/>
  <c r="M222" i="14" s="1"/>
  <c r="O222" i="14" s="1"/>
  <c r="P222" i="14" s="1"/>
  <c r="Q222" i="14" s="1"/>
  <c r="S223" i="14"/>
  <c r="N240" i="14"/>
  <c r="M240" i="14" s="1"/>
  <c r="O240" i="14" s="1"/>
  <c r="P240" i="14" s="1"/>
  <c r="Q240" i="14" s="1"/>
  <c r="O245" i="14"/>
  <c r="P245" i="14" s="1"/>
  <c r="Q245" i="14" s="1"/>
  <c r="R282" i="14"/>
  <c r="R312" i="14"/>
  <c r="N195" i="14"/>
  <c r="M195" i="14" s="1"/>
  <c r="O195" i="14" s="1"/>
  <c r="P195" i="14" s="1"/>
  <c r="Q195" i="14" s="1"/>
  <c r="N199" i="14"/>
  <c r="M199" i="14" s="1"/>
  <c r="O199" i="14" s="1"/>
  <c r="P199" i="14" s="1"/>
  <c r="Q199" i="14" s="1"/>
  <c r="N203" i="14"/>
  <c r="M203" i="14" s="1"/>
  <c r="O203" i="14" s="1"/>
  <c r="P203" i="14" s="1"/>
  <c r="Q203" i="14" s="1"/>
  <c r="N207" i="14"/>
  <c r="M207" i="14" s="1"/>
  <c r="O207" i="14" s="1"/>
  <c r="P207" i="14" s="1"/>
  <c r="Q207" i="14" s="1"/>
  <c r="N211" i="14"/>
  <c r="M211" i="14" s="1"/>
  <c r="O211" i="14" s="1"/>
  <c r="P211" i="14" s="1"/>
  <c r="Q211" i="14" s="1"/>
  <c r="N215" i="14"/>
  <c r="M215" i="14" s="1"/>
  <c r="O215" i="14" s="1"/>
  <c r="P215" i="14" s="1"/>
  <c r="Q215" i="14" s="1"/>
  <c r="N221" i="14"/>
  <c r="M221" i="14" s="1"/>
  <c r="O221" i="14" s="1"/>
  <c r="P221" i="14" s="1"/>
  <c r="Q221" i="14" s="1"/>
  <c r="O246" i="14"/>
  <c r="P246" i="14" s="1"/>
  <c r="Q246" i="14" s="1"/>
  <c r="N268" i="14"/>
  <c r="M268" i="14" s="1"/>
  <c r="O268" i="14" s="1"/>
  <c r="P268" i="14" s="1"/>
  <c r="Q268" i="14" s="1"/>
  <c r="R290" i="14"/>
  <c r="S290" i="14" s="1"/>
  <c r="R294" i="14"/>
  <c r="S294" i="14" s="1"/>
  <c r="R301" i="14"/>
  <c r="S301" i="14" s="1"/>
  <c r="R319" i="14"/>
  <c r="S319" i="14" s="1"/>
  <c r="N243" i="14"/>
  <c r="M243" i="14" s="1"/>
  <c r="O243" i="14" s="1"/>
  <c r="P243" i="14" s="1"/>
  <c r="Q243" i="14" s="1"/>
  <c r="O250" i="14"/>
  <c r="P250" i="14" s="1"/>
  <c r="Q250" i="14" s="1"/>
  <c r="O253" i="14"/>
  <c r="P253" i="14" s="1"/>
  <c r="Q253" i="14" s="1"/>
  <c r="O259" i="14"/>
  <c r="P259" i="14" s="1"/>
  <c r="Q259" i="14" s="1"/>
  <c r="O265" i="14"/>
  <c r="P265" i="14" s="1"/>
  <c r="Q265" i="14" s="1"/>
  <c r="O273" i="14"/>
  <c r="P273" i="14" s="1"/>
  <c r="Q273" i="14" s="1"/>
  <c r="N275" i="14"/>
  <c r="M275" i="14" s="1"/>
  <c r="O275" i="14" s="1"/>
  <c r="P275" i="14" s="1"/>
  <c r="Q275" i="14" s="1"/>
  <c r="R286" i="14"/>
  <c r="S286" i="14" s="1"/>
  <c r="S303" i="14"/>
  <c r="R307" i="14"/>
  <c r="S307" i="14" s="1"/>
  <c r="S313" i="14"/>
  <c r="R317" i="14"/>
  <c r="S317" i="14" s="1"/>
  <c r="N247" i="14"/>
  <c r="M247" i="14" s="1"/>
  <c r="O247" i="14" s="1"/>
  <c r="P247" i="14" s="1"/>
  <c r="Q247" i="14" s="1"/>
  <c r="N252" i="14"/>
  <c r="M252" i="14" s="1"/>
  <c r="O252" i="14" s="1"/>
  <c r="P252" i="14" s="1"/>
  <c r="Q252" i="14" s="1"/>
  <c r="N258" i="14"/>
  <c r="M258" i="14" s="1"/>
  <c r="O258" i="14" s="1"/>
  <c r="P258" i="14" s="1"/>
  <c r="Q258" i="14" s="1"/>
  <c r="N264" i="14"/>
  <c r="M264" i="14" s="1"/>
  <c r="O264" i="14" s="1"/>
  <c r="P264" i="14" s="1"/>
  <c r="Q264" i="14" s="1"/>
  <c r="O270" i="14"/>
  <c r="P270" i="14" s="1"/>
  <c r="Q270" i="14" s="1"/>
  <c r="N272" i="14"/>
  <c r="M272" i="14" s="1"/>
  <c r="O272" i="14" s="1"/>
  <c r="P272" i="14" s="1"/>
  <c r="Q272" i="14" s="1"/>
  <c r="N274" i="14"/>
  <c r="M274" i="14" s="1"/>
  <c r="O274" i="14" s="1"/>
  <c r="P274" i="14" s="1"/>
  <c r="Q274" i="14" s="1"/>
  <c r="O283" i="14"/>
  <c r="P283" i="14" s="1"/>
  <c r="Q283" i="14" s="1"/>
  <c r="R298" i="14"/>
  <c r="S298" i="14" s="1"/>
  <c r="R299" i="14"/>
  <c r="S299" i="14" s="1"/>
  <c r="R306" i="14"/>
  <c r="S306" i="14" s="1"/>
  <c r="R316" i="14"/>
  <c r="S316" i="14" s="1"/>
  <c r="R320" i="14"/>
  <c r="S320" i="14" s="1"/>
  <c r="N251" i="14"/>
  <c r="M251" i="14" s="1"/>
  <c r="O251" i="14" s="1"/>
  <c r="P251" i="14" s="1"/>
  <c r="Q251" i="14" s="1"/>
  <c r="N257" i="14"/>
  <c r="M257" i="14" s="1"/>
  <c r="O257" i="14" s="1"/>
  <c r="P257" i="14" s="1"/>
  <c r="Q257" i="14" s="1"/>
  <c r="N261" i="14"/>
  <c r="M261" i="14" s="1"/>
  <c r="O261" i="14" s="1"/>
  <c r="P261" i="14" s="1"/>
  <c r="Q261" i="14" s="1"/>
  <c r="N267" i="14"/>
  <c r="M267" i="14" s="1"/>
  <c r="O267" i="14" s="1"/>
  <c r="P267" i="14" s="1"/>
  <c r="Q267" i="14" s="1"/>
  <c r="N271" i="14"/>
  <c r="M271" i="14" s="1"/>
  <c r="O271" i="14" s="1"/>
  <c r="P271" i="14" s="1"/>
  <c r="Q271" i="14" s="1"/>
  <c r="O276" i="14"/>
  <c r="P276" i="14" s="1"/>
  <c r="Q276" i="14" s="1"/>
  <c r="S308" i="14"/>
  <c r="S318" i="14"/>
  <c r="O284" i="14"/>
  <c r="P284" i="14" s="1"/>
  <c r="Q284" i="14" s="1"/>
  <c r="S288" i="14"/>
  <c r="O293" i="14"/>
  <c r="P293" i="14" s="1"/>
  <c r="Q293" i="14" s="1"/>
  <c r="S304" i="14"/>
  <c r="O309" i="14"/>
  <c r="P309" i="14" s="1"/>
  <c r="Q309" i="14" s="1"/>
  <c r="S314" i="14"/>
  <c r="O289" i="14"/>
  <c r="P289" i="14" s="1"/>
  <c r="Q289" i="14" s="1"/>
  <c r="R297" i="14"/>
  <c r="S297" i="14" s="1"/>
  <c r="S300" i="14"/>
  <c r="O305" i="14"/>
  <c r="P305" i="14" s="1"/>
  <c r="Q305" i="14" s="1"/>
  <c r="O315" i="14"/>
  <c r="P315" i="14" s="1"/>
  <c r="Q315" i="14" s="1"/>
  <c r="S322" i="14"/>
  <c r="R368" i="14" l="1"/>
  <c r="S312" i="14"/>
  <c r="R499" i="14"/>
  <c r="S499" i="14"/>
  <c r="R447" i="14"/>
  <c r="S447" i="14" s="1"/>
  <c r="R439" i="14"/>
  <c r="S439" i="14"/>
  <c r="R477" i="14"/>
  <c r="S477" i="14"/>
  <c r="R166" i="14"/>
  <c r="S166" i="14"/>
  <c r="R515" i="14"/>
  <c r="S515" i="14" s="1"/>
  <c r="R423" i="14"/>
  <c r="S423" i="14" s="1"/>
  <c r="S131" i="14"/>
  <c r="J623" i="14"/>
  <c r="J626" i="14" s="1"/>
  <c r="S292" i="14"/>
  <c r="S77" i="14"/>
  <c r="S406" i="14"/>
  <c r="S407" i="14" s="1"/>
  <c r="S260" i="14"/>
  <c r="S254" i="14"/>
  <c r="R461" i="14"/>
  <c r="S461" i="14" s="1"/>
  <c r="R576" i="14"/>
  <c r="R577" i="14" s="1"/>
  <c r="Q577" i="14"/>
  <c r="R608" i="14"/>
  <c r="S608" i="14" s="1"/>
  <c r="R496" i="14"/>
  <c r="S496" i="14" s="1"/>
  <c r="R519" i="14"/>
  <c r="R520" i="14" s="1"/>
  <c r="Q520" i="14"/>
  <c r="R458" i="14"/>
  <c r="S458" i="14" s="1"/>
  <c r="R503" i="14"/>
  <c r="S503" i="14" s="1"/>
  <c r="R381" i="14"/>
  <c r="S381" i="14" s="1"/>
  <c r="R351" i="14"/>
  <c r="S351" i="14" s="1"/>
  <c r="R613" i="14"/>
  <c r="R614" i="14" s="1"/>
  <c r="Q614" i="14"/>
  <c r="R564" i="14"/>
  <c r="S564" i="14" s="1"/>
  <c r="R598" i="14"/>
  <c r="S598" i="14" s="1"/>
  <c r="R516" i="14"/>
  <c r="S516" i="14" s="1"/>
  <c r="R490" i="14"/>
  <c r="S490" i="14" s="1"/>
  <c r="R380" i="14"/>
  <c r="S380" i="14" s="1"/>
  <c r="R597" i="14"/>
  <c r="S597" i="14" s="1"/>
  <c r="R601" i="14"/>
  <c r="S601" i="14" s="1"/>
  <c r="R542" i="14"/>
  <c r="S542" i="14" s="1"/>
  <c r="R557" i="14"/>
  <c r="S557" i="14" s="1"/>
  <c r="R510" i="14"/>
  <c r="S510" i="14" s="1"/>
  <c r="R482" i="14"/>
  <c r="S482" i="14" s="1"/>
  <c r="R478" i="14"/>
  <c r="S478" i="14" s="1"/>
  <c r="Q485" i="14"/>
  <c r="R417" i="14"/>
  <c r="S417" i="14" s="1"/>
  <c r="R376" i="14"/>
  <c r="Q393" i="14"/>
  <c r="R464" i="14"/>
  <c r="S464" i="14" s="1"/>
  <c r="R419" i="14"/>
  <c r="S419" i="14" s="1"/>
  <c r="R377" i="14"/>
  <c r="S377" i="14" s="1"/>
  <c r="R385" i="14"/>
  <c r="S385" i="14" s="1"/>
  <c r="R596" i="14"/>
  <c r="S596" i="14" s="1"/>
  <c r="R605" i="14"/>
  <c r="S605" i="14" s="1"/>
  <c r="Q610" i="14"/>
  <c r="R585" i="14"/>
  <c r="S585" i="14" s="1"/>
  <c r="R594" i="14"/>
  <c r="S594" i="14" s="1"/>
  <c r="R541" i="14"/>
  <c r="S541" i="14" s="1"/>
  <c r="R556" i="14"/>
  <c r="S556" i="14" s="1"/>
  <c r="Q505" i="14"/>
  <c r="R502" i="14"/>
  <c r="S502" i="14" s="1"/>
  <c r="Q475" i="14"/>
  <c r="Q486" i="14" s="1"/>
  <c r="R472" i="14"/>
  <c r="Q465" i="14"/>
  <c r="R459" i="14"/>
  <c r="S459" i="14" s="1"/>
  <c r="R354" i="14"/>
  <c r="S354" i="14" s="1"/>
  <c r="R353" i="14"/>
  <c r="S353" i="14" s="1"/>
  <c r="Q570" i="14"/>
  <c r="R569" i="14"/>
  <c r="R570" i="14" s="1"/>
  <c r="R593" i="14"/>
  <c r="S593" i="14" s="1"/>
  <c r="R599" i="14"/>
  <c r="S599" i="14"/>
  <c r="R530" i="14"/>
  <c r="S530" i="14" s="1"/>
  <c r="R588" i="14"/>
  <c r="S588" i="14" s="1"/>
  <c r="R555" i="14"/>
  <c r="S555" i="14" s="1"/>
  <c r="R481" i="14"/>
  <c r="S481" i="14" s="1"/>
  <c r="R448" i="14"/>
  <c r="S448" i="14" s="1"/>
  <c r="R403" i="14"/>
  <c r="S403" i="14" s="1"/>
  <c r="R453" i="14"/>
  <c r="S453" i="14" s="1"/>
  <c r="R479" i="14"/>
  <c r="S479" i="14" s="1"/>
  <c r="R421" i="14"/>
  <c r="S421" i="14" s="1"/>
  <c r="R514" i="14"/>
  <c r="Q517" i="14"/>
  <c r="R401" i="14"/>
  <c r="S401" i="14" s="1"/>
  <c r="R437" i="14"/>
  <c r="S437" i="14" s="1"/>
  <c r="R379" i="14"/>
  <c r="S379" i="14" s="1"/>
  <c r="Q369" i="14"/>
  <c r="Q356" i="14"/>
  <c r="R350" i="14"/>
  <c r="R383" i="14"/>
  <c r="S383" i="14" s="1"/>
  <c r="Q360" i="14"/>
  <c r="R358" i="14"/>
  <c r="S358" i="14" s="1"/>
  <c r="R591" i="14"/>
  <c r="S591" i="14"/>
  <c r="R565" i="14"/>
  <c r="S565" i="14" s="1"/>
  <c r="R607" i="14"/>
  <c r="S607" i="14" s="1"/>
  <c r="R592" i="14"/>
  <c r="S592" i="14" s="1"/>
  <c r="Q531" i="14"/>
  <c r="R524" i="14"/>
  <c r="S524" i="14" s="1"/>
  <c r="R537" i="14"/>
  <c r="S537" i="14" s="1"/>
  <c r="R529" i="14"/>
  <c r="S529" i="14" s="1"/>
  <c r="R467" i="14"/>
  <c r="R468" i="14" s="1"/>
  <c r="Q468" i="14"/>
  <c r="Q548" i="14" s="1"/>
  <c r="Q625" i="14" s="1"/>
  <c r="R443" i="14"/>
  <c r="S443" i="14" s="1"/>
  <c r="R402" i="14"/>
  <c r="S402" i="14"/>
  <c r="R420" i="14"/>
  <c r="S420" i="14" s="1"/>
  <c r="R412" i="14"/>
  <c r="S412" i="14" s="1"/>
  <c r="R386" i="14"/>
  <c r="S386" i="14" s="1"/>
  <c r="Q431" i="14"/>
  <c r="Q432" i="14" s="1"/>
  <c r="R411" i="14"/>
  <c r="Q454" i="14"/>
  <c r="Q469" i="14" s="1"/>
  <c r="R435" i="14"/>
  <c r="R397" i="14"/>
  <c r="S397" i="14" s="1"/>
  <c r="S362" i="14"/>
  <c r="S586" i="14"/>
  <c r="R586" i="14"/>
  <c r="R589" i="14"/>
  <c r="S589" i="14" s="1"/>
  <c r="S609" i="14"/>
  <c r="R609" i="14"/>
  <c r="Q493" i="14"/>
  <c r="R489" i="14"/>
  <c r="S489" i="14" s="1"/>
  <c r="R445" i="14"/>
  <c r="S445" i="14" s="1"/>
  <c r="R387" i="14"/>
  <c r="S387" i="14" s="1"/>
  <c r="R428" i="14"/>
  <c r="S428" i="14" s="1"/>
  <c r="R389" i="14"/>
  <c r="S389" i="14" s="1"/>
  <c r="R606" i="14"/>
  <c r="S606" i="14" s="1"/>
  <c r="R540" i="14"/>
  <c r="S540" i="14" s="1"/>
  <c r="Q582" i="14"/>
  <c r="R580" i="14"/>
  <c r="R534" i="14"/>
  <c r="S534" i="14" s="1"/>
  <c r="R526" i="14"/>
  <c r="S526" i="14" s="1"/>
  <c r="S561" i="14"/>
  <c r="R504" i="14"/>
  <c r="S504" i="14" s="1"/>
  <c r="R590" i="14"/>
  <c r="S590" i="14" s="1"/>
  <c r="R511" i="14"/>
  <c r="S511" i="14" s="1"/>
  <c r="R491" i="14"/>
  <c r="S491" i="14" s="1"/>
  <c r="R483" i="14"/>
  <c r="S483" i="14" s="1"/>
  <c r="R473" i="14"/>
  <c r="S473" i="14" s="1"/>
  <c r="R462" i="14"/>
  <c r="S462" i="14" s="1"/>
  <c r="R449" i="14"/>
  <c r="S449" i="14" s="1"/>
  <c r="R438" i="14"/>
  <c r="S438" i="14" s="1"/>
  <c r="R425" i="14"/>
  <c r="S425" i="14" s="1"/>
  <c r="R399" i="14"/>
  <c r="S399" i="14" s="1"/>
  <c r="R497" i="14"/>
  <c r="S497" i="14" s="1"/>
  <c r="R444" i="14"/>
  <c r="S444" i="14" s="1"/>
  <c r="R391" i="14"/>
  <c r="S391" i="14" s="1"/>
  <c r="R384" i="14"/>
  <c r="S384" i="14"/>
  <c r="R436" i="14"/>
  <c r="S436" i="14" s="1"/>
  <c r="R451" i="14"/>
  <c r="S451" i="14" s="1"/>
  <c r="R441" i="14"/>
  <c r="S441" i="14" s="1"/>
  <c r="R427" i="14"/>
  <c r="S427" i="14" s="1"/>
  <c r="R429" i="14"/>
  <c r="S429" i="14" s="1"/>
  <c r="R355" i="14"/>
  <c r="S355" i="14" s="1"/>
  <c r="R359" i="14"/>
  <c r="S359" i="14" s="1"/>
  <c r="R352" i="14"/>
  <c r="S352" i="14"/>
  <c r="Q370" i="14"/>
  <c r="R528" i="14"/>
  <c r="S528" i="14" s="1"/>
  <c r="R558" i="14"/>
  <c r="S558" i="14" s="1"/>
  <c r="R538" i="14"/>
  <c r="S538" i="14" s="1"/>
  <c r="Q512" i="14"/>
  <c r="R509" i="14"/>
  <c r="S509" i="14" s="1"/>
  <c r="R463" i="14"/>
  <c r="S463" i="14" s="1"/>
  <c r="R424" i="14"/>
  <c r="S424" i="14" s="1"/>
  <c r="Q404" i="14"/>
  <c r="R395" i="14"/>
  <c r="Q500" i="14"/>
  <c r="R495" i="14"/>
  <c r="S495" i="14" s="1"/>
  <c r="R413" i="14"/>
  <c r="S413" i="14" s="1"/>
  <c r="R452" i="14"/>
  <c r="S452" i="14" s="1"/>
  <c r="R460" i="14"/>
  <c r="S460" i="14" s="1"/>
  <c r="R440" i="14"/>
  <c r="S440" i="14" s="1"/>
  <c r="Q602" i="14"/>
  <c r="R584" i="14"/>
  <c r="S584" i="14" s="1"/>
  <c r="R600" i="14"/>
  <c r="S600" i="14" s="1"/>
  <c r="R581" i="14"/>
  <c r="S581" i="14" s="1"/>
  <c r="S562" i="14"/>
  <c r="R562" i="14"/>
  <c r="R536" i="14"/>
  <c r="S536" i="14" s="1"/>
  <c r="R566" i="14"/>
  <c r="S566" i="14" s="1"/>
  <c r="Q559" i="14"/>
  <c r="R554" i="14"/>
  <c r="S554" i="14" s="1"/>
  <c r="Q543" i="14"/>
  <c r="R533" i="14"/>
  <c r="S533" i="14" s="1"/>
  <c r="R525" i="14"/>
  <c r="S525" i="14" s="1"/>
  <c r="Q567" i="14"/>
  <c r="R498" i="14"/>
  <c r="S498" i="14" s="1"/>
  <c r="R457" i="14"/>
  <c r="S457" i="14" s="1"/>
  <c r="R430" i="14"/>
  <c r="S430" i="14" s="1"/>
  <c r="R398" i="14"/>
  <c r="S398" i="14" s="1"/>
  <c r="R415" i="14"/>
  <c r="S415" i="14" s="1"/>
  <c r="R416" i="14"/>
  <c r="S416" i="14" s="1"/>
  <c r="R390" i="14"/>
  <c r="S390" i="14" s="1"/>
  <c r="R446" i="14"/>
  <c r="S446" i="14" s="1"/>
  <c r="R242" i="14"/>
  <c r="S242" i="14" s="1"/>
  <c r="R197" i="14"/>
  <c r="S197" i="14" s="1"/>
  <c r="R123" i="14"/>
  <c r="S123" i="14" s="1"/>
  <c r="R154" i="14"/>
  <c r="S154" i="14" s="1"/>
  <c r="R103" i="14"/>
  <c r="S103" i="14" s="1"/>
  <c r="R143" i="14"/>
  <c r="S143" i="14" s="1"/>
  <c r="R39" i="14"/>
  <c r="S39" i="14" s="1"/>
  <c r="R266" i="14"/>
  <c r="S266" i="14" s="1"/>
  <c r="R140" i="14"/>
  <c r="S140" i="14" s="1"/>
  <c r="R136" i="14"/>
  <c r="S136" i="14" s="1"/>
  <c r="S147" i="14"/>
  <c r="S161" i="14"/>
  <c r="Q310" i="14"/>
  <c r="S67" i="14"/>
  <c r="R78" i="14"/>
  <c r="Q70" i="14"/>
  <c r="Q55" i="14"/>
  <c r="Q78" i="14"/>
  <c r="S88" i="14"/>
  <c r="S49" i="14"/>
  <c r="R211" i="14"/>
  <c r="S211" i="14" s="1"/>
  <c r="R146" i="14"/>
  <c r="S146" i="14" s="1"/>
  <c r="R101" i="14"/>
  <c r="S101" i="14" s="1"/>
  <c r="R92" i="14"/>
  <c r="S92" i="14" s="1"/>
  <c r="R216" i="14"/>
  <c r="S216" i="14" s="1"/>
  <c r="R38" i="14"/>
  <c r="S38" i="14" s="1"/>
  <c r="R271" i="14"/>
  <c r="S271" i="14" s="1"/>
  <c r="R207" i="14"/>
  <c r="S207" i="14" s="1"/>
  <c r="R212" i="14"/>
  <c r="S212" i="14" s="1"/>
  <c r="R145" i="14"/>
  <c r="S145" i="14" s="1"/>
  <c r="R100" i="14"/>
  <c r="S100" i="14" s="1"/>
  <c r="R116" i="14"/>
  <c r="S116" i="14" s="1"/>
  <c r="R15" i="14"/>
  <c r="S15" i="14" s="1"/>
  <c r="Q89" i="14"/>
  <c r="R86" i="14"/>
  <c r="R214" i="14"/>
  <c r="S214" i="14" s="1"/>
  <c r="R27" i="14"/>
  <c r="S27" i="14" s="1"/>
  <c r="R132" i="14"/>
  <c r="S132" i="14" s="1"/>
  <c r="Q224" i="14"/>
  <c r="R221" i="14"/>
  <c r="S221" i="14" s="1"/>
  <c r="Q93" i="14"/>
  <c r="R91" i="14"/>
  <c r="S91" i="14" s="1"/>
  <c r="Q30" i="14"/>
  <c r="R11" i="14"/>
  <c r="S11" i="14" s="1"/>
  <c r="R105" i="14"/>
  <c r="S105" i="14" s="1"/>
  <c r="R156" i="14"/>
  <c r="S156" i="14" s="1"/>
  <c r="S128" i="14"/>
  <c r="R128" i="14"/>
  <c r="R37" i="14"/>
  <c r="S37" i="14" s="1"/>
  <c r="R14" i="14"/>
  <c r="S14" i="14" s="1"/>
  <c r="R16" i="14"/>
  <c r="S16" i="14" s="1"/>
  <c r="R22" i="14"/>
  <c r="S22" i="14" s="1"/>
  <c r="R257" i="14"/>
  <c r="S257" i="14" s="1"/>
  <c r="Q262" i="14"/>
  <c r="R195" i="14"/>
  <c r="S195" i="14" s="1"/>
  <c r="R41" i="14"/>
  <c r="S41" i="14" s="1"/>
  <c r="R243" i="14"/>
  <c r="S243" i="14" s="1"/>
  <c r="R203" i="14"/>
  <c r="S203" i="14" s="1"/>
  <c r="R248" i="14"/>
  <c r="S248" i="14" s="1"/>
  <c r="R252" i="14"/>
  <c r="S252" i="14" s="1"/>
  <c r="R268" i="14"/>
  <c r="S268" i="14" s="1"/>
  <c r="R215" i="14"/>
  <c r="S215" i="14" s="1"/>
  <c r="R199" i="14"/>
  <c r="S199" i="14" s="1"/>
  <c r="R40" i="14"/>
  <c r="S40" i="14" s="1"/>
  <c r="R23" i="14"/>
  <c r="S23" i="14" s="1"/>
  <c r="R109" i="14"/>
  <c r="S109" i="14" s="1"/>
  <c r="R125" i="14"/>
  <c r="S125" i="14" s="1"/>
  <c r="R124" i="14"/>
  <c r="S124" i="14" s="1"/>
  <c r="R142" i="14"/>
  <c r="S142" i="14" s="1"/>
  <c r="R112" i="14"/>
  <c r="S112" i="14" s="1"/>
  <c r="R284" i="14"/>
  <c r="S284" i="14" s="1"/>
  <c r="R274" i="14"/>
  <c r="S274" i="14" s="1"/>
  <c r="R251" i="14"/>
  <c r="S251" i="14" s="1"/>
  <c r="R194" i="14"/>
  <c r="S194" i="14" s="1"/>
  <c r="R170" i="14"/>
  <c r="S170" i="14" s="1"/>
  <c r="R191" i="14"/>
  <c r="S191" i="14" s="1"/>
  <c r="R200" i="14"/>
  <c r="S200" i="14" s="1"/>
  <c r="R149" i="14"/>
  <c r="S149" i="14" s="1"/>
  <c r="R121" i="14"/>
  <c r="S121" i="14" s="1"/>
  <c r="R120" i="14"/>
  <c r="S120" i="14" s="1"/>
  <c r="R83" i="14"/>
  <c r="R84" i="14" s="1"/>
  <c r="Q84" i="14"/>
  <c r="R108" i="14"/>
  <c r="S108" i="14" s="1"/>
  <c r="R19" i="14"/>
  <c r="S19" i="14" s="1"/>
  <c r="R12" i="14"/>
  <c r="S12" i="14" s="1"/>
  <c r="R20" i="14"/>
  <c r="S20" i="14" s="1"/>
  <c r="R34" i="14"/>
  <c r="S34" i="14" s="1"/>
  <c r="R18" i="14"/>
  <c r="S18" i="14" s="1"/>
  <c r="R315" i="14"/>
  <c r="S315" i="14" s="1"/>
  <c r="S323" i="14" s="1"/>
  <c r="R259" i="14"/>
  <c r="S259" i="14" s="1"/>
  <c r="R246" i="14"/>
  <c r="S246" i="14" s="1"/>
  <c r="S282" i="14"/>
  <c r="R210" i="14"/>
  <c r="S210" i="14" s="1"/>
  <c r="R192" i="14"/>
  <c r="S192" i="14" s="1"/>
  <c r="R184" i="14"/>
  <c r="S184" i="14" s="1"/>
  <c r="R176" i="14"/>
  <c r="S176" i="14" s="1"/>
  <c r="R162" i="14"/>
  <c r="S162" i="14" s="1"/>
  <c r="R144" i="14"/>
  <c r="S144" i="14" s="1"/>
  <c r="R130" i="14"/>
  <c r="S130" i="14" s="1"/>
  <c r="R114" i="14"/>
  <c r="S114" i="14" s="1"/>
  <c r="R235" i="14"/>
  <c r="R329" i="14" s="1"/>
  <c r="R87" i="14"/>
  <c r="S87" i="14" s="1"/>
  <c r="Q42" i="14"/>
  <c r="R32" i="14"/>
  <c r="S32" i="14" s="1"/>
  <c r="R64" i="14"/>
  <c r="R70" i="14" s="1"/>
  <c r="R17" i="14"/>
  <c r="S17" i="14" s="1"/>
  <c r="R309" i="14"/>
  <c r="S309" i="14" s="1"/>
  <c r="R270" i="14"/>
  <c r="S270" i="14" s="1"/>
  <c r="R267" i="14"/>
  <c r="S267" i="14" s="1"/>
  <c r="R178" i="14"/>
  <c r="S178" i="14" s="1"/>
  <c r="R175" i="14"/>
  <c r="S175" i="14" s="1"/>
  <c r="R167" i="14"/>
  <c r="S167" i="14" s="1"/>
  <c r="R164" i="14"/>
  <c r="S164" i="14" s="1"/>
  <c r="R134" i="14"/>
  <c r="S134" i="14" s="1"/>
  <c r="R104" i="14"/>
  <c r="S104" i="14" s="1"/>
  <c r="R113" i="14"/>
  <c r="S113" i="14" s="1"/>
  <c r="R289" i="14"/>
  <c r="S289" i="14" s="1"/>
  <c r="R272" i="14"/>
  <c r="S272" i="14" s="1"/>
  <c r="R253" i="14"/>
  <c r="S253" i="14" s="1"/>
  <c r="R261" i="14"/>
  <c r="S261" i="14" s="1"/>
  <c r="R222" i="14"/>
  <c r="S222" i="14" s="1"/>
  <c r="R196" i="14"/>
  <c r="S196" i="14" s="1"/>
  <c r="R190" i="14"/>
  <c r="S190" i="14" s="1"/>
  <c r="R174" i="14"/>
  <c r="S174" i="14" s="1"/>
  <c r="R208" i="14"/>
  <c r="S208" i="14" s="1"/>
  <c r="R218" i="14"/>
  <c r="S218" i="14" s="1"/>
  <c r="R202" i="14"/>
  <c r="S202" i="14" s="1"/>
  <c r="R187" i="14"/>
  <c r="S187" i="14" s="1"/>
  <c r="R179" i="14"/>
  <c r="S179" i="14" s="1"/>
  <c r="R171" i="14"/>
  <c r="S171" i="14" s="1"/>
  <c r="R198" i="14"/>
  <c r="S198" i="14" s="1"/>
  <c r="R168" i="14"/>
  <c r="S168" i="14" s="1"/>
  <c r="R148" i="14"/>
  <c r="S148" i="14" s="1"/>
  <c r="R137" i="14"/>
  <c r="S137" i="14" s="1"/>
  <c r="R169" i="14"/>
  <c r="S169" i="14" s="1"/>
  <c r="R163" i="14"/>
  <c r="S163" i="14" s="1"/>
  <c r="R150" i="14"/>
  <c r="S150" i="14" s="1"/>
  <c r="R139" i="14"/>
  <c r="S139" i="14" s="1"/>
  <c r="R126" i="14"/>
  <c r="S126" i="14" s="1"/>
  <c r="R209" i="14"/>
  <c r="S209" i="14" s="1"/>
  <c r="R159" i="14"/>
  <c r="S159" i="14" s="1"/>
  <c r="R28" i="14"/>
  <c r="S28" i="14"/>
  <c r="R133" i="14"/>
  <c r="S133" i="14" s="1"/>
  <c r="R33" i="14"/>
  <c r="S33" i="14" s="1"/>
  <c r="R155" i="14"/>
  <c r="S155" i="14" s="1"/>
  <c r="R129" i="14"/>
  <c r="S129" i="14" s="1"/>
  <c r="R106" i="14"/>
  <c r="S106" i="14" s="1"/>
  <c r="R165" i="14"/>
  <c r="S165" i="14" s="1"/>
  <c r="R135" i="14"/>
  <c r="S135" i="14" s="1"/>
  <c r="S72" i="14"/>
  <c r="S78" i="14" s="1"/>
  <c r="R24" i="14"/>
  <c r="S24" i="14" s="1"/>
  <c r="R25" i="14"/>
  <c r="S25" i="14" s="1"/>
  <c r="R276" i="14"/>
  <c r="S276" i="14" s="1"/>
  <c r="R258" i="14"/>
  <c r="S258" i="14" s="1"/>
  <c r="R265" i="14"/>
  <c r="S265" i="14" s="1"/>
  <c r="R217" i="14"/>
  <c r="S217" i="14" s="1"/>
  <c r="R186" i="14"/>
  <c r="S186" i="14" s="1"/>
  <c r="R206" i="14"/>
  <c r="S206" i="14" s="1"/>
  <c r="R204" i="14"/>
  <c r="S204" i="14" s="1"/>
  <c r="R183" i="14"/>
  <c r="S183" i="14" s="1"/>
  <c r="R138" i="14"/>
  <c r="S138" i="14" s="1"/>
  <c r="Q219" i="14"/>
  <c r="R153" i="14"/>
  <c r="S153" i="14" s="1"/>
  <c r="R118" i="14"/>
  <c r="S118" i="14" s="1"/>
  <c r="R160" i="14"/>
  <c r="S160" i="14" s="1"/>
  <c r="R102" i="14"/>
  <c r="S102" i="14" s="1"/>
  <c r="R36" i="14"/>
  <c r="S36" i="14" s="1"/>
  <c r="R141" i="14"/>
  <c r="S141" i="14" s="1"/>
  <c r="R110" i="14"/>
  <c r="S110" i="14" s="1"/>
  <c r="R117" i="14"/>
  <c r="S117" i="14" s="1"/>
  <c r="R305" i="14"/>
  <c r="S305" i="14" s="1"/>
  <c r="R293" i="14"/>
  <c r="S293" i="14" s="1"/>
  <c r="R283" i="14"/>
  <c r="Q277" i="14"/>
  <c r="R264" i="14"/>
  <c r="S264" i="14" s="1"/>
  <c r="R247" i="14"/>
  <c r="S247" i="14" s="1"/>
  <c r="R275" i="14"/>
  <c r="S275" i="14" s="1"/>
  <c r="Q255" i="14"/>
  <c r="Q278" i="14" s="1"/>
  <c r="R240" i="14"/>
  <c r="S240" i="14" s="1"/>
  <c r="R182" i="14"/>
  <c r="S182" i="14" s="1"/>
  <c r="R249" i="14"/>
  <c r="S249" i="14" s="1"/>
  <c r="R273" i="14"/>
  <c r="S273" i="14" s="1"/>
  <c r="R250" i="14"/>
  <c r="S250" i="14" s="1"/>
  <c r="Q323" i="14"/>
  <c r="Q324" i="14" s="1"/>
  <c r="R245" i="14"/>
  <c r="S245" i="14" s="1"/>
  <c r="R201" i="14"/>
  <c r="S201" i="14" s="1"/>
  <c r="R188" i="14"/>
  <c r="S188" i="14" s="1"/>
  <c r="R180" i="14"/>
  <c r="S180" i="14" s="1"/>
  <c r="R172" i="14"/>
  <c r="S172" i="14" s="1"/>
  <c r="R158" i="14"/>
  <c r="S158" i="14" s="1"/>
  <c r="R122" i="14"/>
  <c r="S122" i="14" s="1"/>
  <c r="S226" i="14"/>
  <c r="S235" i="14" s="1"/>
  <c r="S329" i="14" s="1"/>
  <c r="J330" i="14"/>
  <c r="Q151" i="14"/>
  <c r="R98" i="14"/>
  <c r="R54" i="14"/>
  <c r="R55" i="14" s="1"/>
  <c r="S54" i="14" l="1"/>
  <c r="S55" i="14" s="1"/>
  <c r="Q328" i="14"/>
  <c r="R465" i="14"/>
  <c r="R404" i="14"/>
  <c r="Q521" i="14"/>
  <c r="S493" i="14"/>
  <c r="R517" i="14"/>
  <c r="Q506" i="14"/>
  <c r="R151" i="14"/>
  <c r="R567" i="14"/>
  <c r="S467" i="14"/>
  <c r="S468" i="14" s="1"/>
  <c r="S465" i="14"/>
  <c r="S485" i="14"/>
  <c r="S543" i="14"/>
  <c r="S512" i="14"/>
  <c r="S567" i="14"/>
  <c r="S531" i="14"/>
  <c r="S544" i="14" s="1"/>
  <c r="S360" i="14"/>
  <c r="R543" i="14"/>
  <c r="Q571" i="14"/>
  <c r="R500" i="14"/>
  <c r="Q547" i="14"/>
  <c r="Q624" i="14" s="1"/>
  <c r="R582" i="14"/>
  <c r="Q544" i="14"/>
  <c r="S569" i="14"/>
  <c r="S570" i="14" s="1"/>
  <c r="R505" i="14"/>
  <c r="R548" i="14" s="1"/>
  <c r="R625" i="14" s="1"/>
  <c r="R610" i="14"/>
  <c r="Q546" i="14"/>
  <c r="Q549" i="14" s="1"/>
  <c r="Q408" i="14"/>
  <c r="S613" i="14"/>
  <c r="S614" i="14" s="1"/>
  <c r="Q615" i="14"/>
  <c r="R493" i="14"/>
  <c r="R602" i="14"/>
  <c r="R615" i="14" s="1"/>
  <c r="S500" i="14"/>
  <c r="S395" i="14"/>
  <c r="S404" i="14" s="1"/>
  <c r="S370" i="14"/>
  <c r="S368" i="14"/>
  <c r="R454" i="14"/>
  <c r="R469" i="14" s="1"/>
  <c r="R431" i="14"/>
  <c r="R432" i="14" s="1"/>
  <c r="Q371" i="14"/>
  <c r="R475" i="14"/>
  <c r="S505" i="14"/>
  <c r="S610" i="14"/>
  <c r="R393" i="14"/>
  <c r="S519" i="14"/>
  <c r="S520" i="14" s="1"/>
  <c r="S559" i="14"/>
  <c r="S571" i="14" s="1"/>
  <c r="S602" i="14"/>
  <c r="R356" i="14"/>
  <c r="R369" i="14"/>
  <c r="R559" i="14"/>
  <c r="R571" i="14" s="1"/>
  <c r="R512" i="14"/>
  <c r="R521" i="14" s="1"/>
  <c r="R370" i="14"/>
  <c r="S580" i="14"/>
  <c r="S582" i="14" s="1"/>
  <c r="S435" i="14"/>
  <c r="S454" i="14" s="1"/>
  <c r="S469" i="14" s="1"/>
  <c r="S411" i="14"/>
  <c r="S431" i="14" s="1"/>
  <c r="S432" i="14" s="1"/>
  <c r="R531" i="14"/>
  <c r="R544" i="14" s="1"/>
  <c r="R360" i="14"/>
  <c r="S350" i="14"/>
  <c r="S356" i="14" s="1"/>
  <c r="S514" i="14"/>
  <c r="S517" i="14" s="1"/>
  <c r="S472" i="14"/>
  <c r="S475" i="14" s="1"/>
  <c r="S376" i="14"/>
  <c r="S393" i="14" s="1"/>
  <c r="R485" i="14"/>
  <c r="R547" i="14" s="1"/>
  <c r="S576" i="14"/>
  <c r="S577" i="14" s="1"/>
  <c r="Q79" i="14"/>
  <c r="R310" i="14"/>
  <c r="Q236" i="14"/>
  <c r="S219" i="14"/>
  <c r="R79" i="14"/>
  <c r="S30" i="14"/>
  <c r="S93" i="14"/>
  <c r="S283" i="14"/>
  <c r="S310" i="14" s="1"/>
  <c r="S324" i="14" s="1"/>
  <c r="S64" i="14"/>
  <c r="S70" i="14" s="1"/>
  <c r="S79" i="14" s="1"/>
  <c r="R323" i="14"/>
  <c r="Q94" i="14"/>
  <c r="Q326" i="14"/>
  <c r="Q43" i="14"/>
  <c r="R224" i="14"/>
  <c r="S262" i="14"/>
  <c r="S255" i="14"/>
  <c r="R219" i="14"/>
  <c r="R42" i="14"/>
  <c r="R93" i="14"/>
  <c r="S224" i="14"/>
  <c r="R89" i="14"/>
  <c r="R94" i="14" s="1"/>
  <c r="S277" i="14"/>
  <c r="S42" i="14"/>
  <c r="R277" i="14"/>
  <c r="S98" i="14"/>
  <c r="S151" i="14" s="1"/>
  <c r="R255" i="14"/>
  <c r="Q327" i="14"/>
  <c r="S83" i="14"/>
  <c r="S84" i="14" s="1"/>
  <c r="R262" i="14"/>
  <c r="R30" i="14"/>
  <c r="S86" i="14"/>
  <c r="S89" i="14" s="1"/>
  <c r="R236" i="14" l="1"/>
  <c r="Q545" i="14"/>
  <c r="Q330" i="14"/>
  <c r="S548" i="14"/>
  <c r="S625" i="14" s="1"/>
  <c r="S506" i="14"/>
  <c r="S615" i="14"/>
  <c r="R486" i="14"/>
  <c r="S236" i="14"/>
  <c r="R324" i="14"/>
  <c r="R546" i="14"/>
  <c r="R549" i="14" s="1"/>
  <c r="R408" i="14"/>
  <c r="S547" i="14"/>
  <c r="S624" i="14" s="1"/>
  <c r="S546" i="14"/>
  <c r="S408" i="14"/>
  <c r="R371" i="14"/>
  <c r="Q623" i="14"/>
  <c r="Q626" i="14" s="1"/>
  <c r="S369" i="14"/>
  <c r="S521" i="14"/>
  <c r="S486" i="14"/>
  <c r="R624" i="14"/>
  <c r="R506" i="14"/>
  <c r="R545" i="14" s="1"/>
  <c r="S328" i="14"/>
  <c r="S278" i="14"/>
  <c r="S94" i="14"/>
  <c r="R327" i="14"/>
  <c r="S327" i="14"/>
  <c r="S326" i="14"/>
  <c r="S43" i="14"/>
  <c r="R326" i="14"/>
  <c r="R43" i="14"/>
  <c r="R278" i="14"/>
  <c r="R328" i="14"/>
  <c r="R330" i="14" l="1"/>
  <c r="S330" i="14"/>
  <c r="S336" i="14" s="1"/>
  <c r="S545" i="14"/>
  <c r="R623" i="14"/>
  <c r="R626" i="14" s="1"/>
  <c r="S623" i="14"/>
  <c r="S626" i="14" s="1"/>
  <c r="S628" i="14" s="1"/>
  <c r="S371" i="14"/>
  <c r="S549" i="14"/>
  <c r="M62" i="21" l="1"/>
  <c r="N62" i="21" s="1"/>
  <c r="K62" i="21"/>
  <c r="L62" i="21" s="1"/>
  <c r="J62" i="21"/>
  <c r="H62" i="21"/>
  <c r="G62" i="21"/>
  <c r="M61" i="21"/>
  <c r="N61" i="21" s="1"/>
  <c r="K61" i="21"/>
  <c r="L61" i="21" s="1"/>
  <c r="J61" i="21"/>
  <c r="H61" i="21"/>
  <c r="G61" i="21"/>
  <c r="K60" i="21"/>
  <c r="L60" i="21" s="1"/>
  <c r="H60" i="21"/>
  <c r="M60" i="21" s="1"/>
  <c r="N60" i="21" s="1"/>
  <c r="G60" i="21"/>
  <c r="K59" i="21"/>
  <c r="L59" i="21" s="1"/>
  <c r="H59" i="21"/>
  <c r="I59" i="21" s="1"/>
  <c r="J59" i="21" s="1"/>
  <c r="G59" i="21"/>
  <c r="K58" i="21"/>
  <c r="L58" i="21" s="1"/>
  <c r="H58" i="21"/>
  <c r="M58" i="21" s="1"/>
  <c r="N58" i="21" s="1"/>
  <c r="G58" i="21"/>
  <c r="K57" i="21"/>
  <c r="L57" i="21" s="1"/>
  <c r="H57" i="21"/>
  <c r="M57" i="21" s="1"/>
  <c r="N57" i="21" s="1"/>
  <c r="G57" i="21"/>
  <c r="M56" i="21"/>
  <c r="N56" i="21" s="1"/>
  <c r="K56" i="21"/>
  <c r="L56" i="21" s="1"/>
  <c r="J56" i="21"/>
  <c r="H56" i="21"/>
  <c r="G56" i="21"/>
  <c r="M55" i="21"/>
  <c r="N55" i="21" s="1"/>
  <c r="L55" i="21"/>
  <c r="K55" i="21"/>
  <c r="J55" i="21"/>
  <c r="H55" i="21"/>
  <c r="G55" i="21"/>
  <c r="K54" i="21"/>
  <c r="L54" i="21" s="1"/>
  <c r="H54" i="21"/>
  <c r="M54" i="21" s="1"/>
  <c r="N54" i="21" s="1"/>
  <c r="O54" i="21" s="1"/>
  <c r="G54" i="21"/>
  <c r="K53" i="21"/>
  <c r="L53" i="21" s="1"/>
  <c r="H53" i="21"/>
  <c r="M53" i="21" s="1"/>
  <c r="N53" i="21" s="1"/>
  <c r="G53" i="21"/>
  <c r="M52" i="21"/>
  <c r="N52" i="21" s="1"/>
  <c r="K52" i="21"/>
  <c r="L52" i="21" s="1"/>
  <c r="J52" i="21"/>
  <c r="H52" i="21"/>
  <c r="G52" i="21"/>
  <c r="K51" i="21"/>
  <c r="L51" i="21" s="1"/>
  <c r="H51" i="21"/>
  <c r="M51" i="21" s="1"/>
  <c r="N51" i="21" s="1"/>
  <c r="G51" i="21"/>
  <c r="K50" i="21"/>
  <c r="L50" i="21" s="1"/>
  <c r="H50" i="21"/>
  <c r="M50" i="21" s="1"/>
  <c r="N50" i="21" s="1"/>
  <c r="G50" i="21"/>
  <c r="M49" i="21"/>
  <c r="N49" i="21" s="1"/>
  <c r="K49" i="21"/>
  <c r="L49" i="21" s="1"/>
  <c r="J49" i="21"/>
  <c r="H49" i="21"/>
  <c r="G49" i="21"/>
  <c r="K48" i="21"/>
  <c r="L48" i="21" s="1"/>
  <c r="H48" i="21"/>
  <c r="M48" i="21" s="1"/>
  <c r="N48" i="21" s="1"/>
  <c r="G48" i="21"/>
  <c r="K47" i="21"/>
  <c r="L47" i="21" s="1"/>
  <c r="H47" i="21"/>
  <c r="M47" i="21" s="1"/>
  <c r="N47" i="21" s="1"/>
  <c r="G47" i="21"/>
  <c r="K46" i="21"/>
  <c r="L46" i="21" s="1"/>
  <c r="H46" i="21"/>
  <c r="M46" i="21" s="1"/>
  <c r="N46" i="21" s="1"/>
  <c r="G46" i="21"/>
  <c r="B41" i="21"/>
  <c r="J40" i="21"/>
  <c r="K40" i="21" s="1"/>
  <c r="L40" i="21" s="1"/>
  <c r="J39" i="21"/>
  <c r="K39" i="21" s="1"/>
  <c r="L39" i="21" s="1"/>
  <c r="J38" i="21"/>
  <c r="K38" i="21" s="1"/>
  <c r="L38" i="21" s="1"/>
  <c r="J37" i="21"/>
  <c r="K37" i="21" s="1"/>
  <c r="L37" i="21" s="1"/>
  <c r="J36" i="21"/>
  <c r="K36" i="21" s="1"/>
  <c r="L36" i="21" s="1"/>
  <c r="J35" i="21"/>
  <c r="K35" i="21" s="1"/>
  <c r="L35" i="21" s="1"/>
  <c r="J34" i="21"/>
  <c r="K34" i="21" s="1"/>
  <c r="L34" i="21" s="1"/>
  <c r="J33" i="21"/>
  <c r="K33" i="21" s="1"/>
  <c r="L33" i="21" s="1"/>
  <c r="J32" i="21"/>
  <c r="K32" i="21" s="1"/>
  <c r="L32" i="21" s="1"/>
  <c r="J31" i="21"/>
  <c r="K31" i="21" s="1"/>
  <c r="L31" i="21" s="1"/>
  <c r="J30" i="21"/>
  <c r="K30" i="21" s="1"/>
  <c r="L30" i="21" s="1"/>
  <c r="J29" i="21"/>
  <c r="K29" i="21" s="1"/>
  <c r="L29" i="21" s="1"/>
  <c r="J28" i="21"/>
  <c r="K28" i="21" s="1"/>
  <c r="L28" i="21" s="1"/>
  <c r="J27" i="21"/>
  <c r="K27" i="21" s="1"/>
  <c r="L27" i="21" s="1"/>
  <c r="J26" i="21"/>
  <c r="K26" i="21" s="1"/>
  <c r="L26" i="21" s="1"/>
  <c r="J25" i="21"/>
  <c r="K25" i="21" s="1"/>
  <c r="L25" i="21" s="1"/>
  <c r="J24" i="21"/>
  <c r="K24" i="21" s="1"/>
  <c r="L24" i="21" s="1"/>
  <c r="J23" i="21"/>
  <c r="K23" i="21" s="1"/>
  <c r="L23" i="21" s="1"/>
  <c r="J22" i="21"/>
  <c r="K22" i="21" s="1"/>
  <c r="L22" i="21" s="1"/>
  <c r="J21" i="21"/>
  <c r="K21" i="21" s="1"/>
  <c r="L21" i="21" s="1"/>
  <c r="J20" i="21"/>
  <c r="K20" i="21" s="1"/>
  <c r="L20" i="21" s="1"/>
  <c r="J19" i="21"/>
  <c r="K19" i="21" s="1"/>
  <c r="L19" i="21" s="1"/>
  <c r="J18" i="21"/>
  <c r="K18" i="21" s="1"/>
  <c r="L18" i="21" s="1"/>
  <c r="J17" i="21"/>
  <c r="K17" i="21" s="1"/>
  <c r="L17" i="21" s="1"/>
  <c r="J16" i="21"/>
  <c r="K16" i="21" s="1"/>
  <c r="L16" i="21" s="1"/>
  <c r="J15" i="21"/>
  <c r="K15" i="21" s="1"/>
  <c r="L15" i="21" s="1"/>
  <c r="K14" i="21"/>
  <c r="L14" i="21" s="1"/>
  <c r="J14" i="21"/>
  <c r="J13" i="21"/>
  <c r="K13" i="21" s="1"/>
  <c r="L13" i="21" s="1"/>
  <c r="J12" i="21"/>
  <c r="K12" i="21" s="1"/>
  <c r="L12" i="21" s="1"/>
  <c r="J11" i="21"/>
  <c r="K11" i="21" s="1"/>
  <c r="L11" i="21" s="1"/>
  <c r="J10" i="21"/>
  <c r="K10" i="21" s="1"/>
  <c r="L10" i="21" s="1"/>
  <c r="J9" i="21"/>
  <c r="K9" i="21" s="1"/>
  <c r="L9" i="21" s="1"/>
  <c r="J8" i="21"/>
  <c r="K8" i="21" s="1"/>
  <c r="L8" i="21" s="1"/>
  <c r="J7" i="21"/>
  <c r="K7" i="21" s="1"/>
  <c r="L7" i="21" s="1"/>
  <c r="J6" i="21"/>
  <c r="K6" i="21" s="1"/>
  <c r="L6" i="21" s="1"/>
  <c r="J5" i="21"/>
  <c r="O48" i="21" l="1"/>
  <c r="O53" i="21"/>
  <c r="O60" i="21"/>
  <c r="J41" i="21"/>
  <c r="I48" i="21"/>
  <c r="J48" i="21" s="1"/>
  <c r="I54" i="21"/>
  <c r="J54" i="21" s="1"/>
  <c r="I60" i="21"/>
  <c r="J60" i="21" s="1"/>
  <c r="M59" i="21"/>
  <c r="N59" i="21" s="1"/>
  <c r="O59" i="21" s="1"/>
  <c r="I47" i="21"/>
  <c r="J47" i="21" s="1"/>
  <c r="O49" i="21"/>
  <c r="I53" i="21"/>
  <c r="J53" i="21" s="1"/>
  <c r="O55" i="21"/>
  <c r="O57" i="21"/>
  <c r="O58" i="21"/>
  <c r="O61" i="21"/>
  <c r="O52" i="21"/>
  <c r="O50" i="21"/>
  <c r="O56" i="21"/>
  <c r="O62" i="21"/>
  <c r="N63" i="21"/>
  <c r="O46" i="21"/>
  <c r="O47" i="21"/>
  <c r="L63" i="21"/>
  <c r="O51" i="21"/>
  <c r="I50" i="21"/>
  <c r="J50" i="21" s="1"/>
  <c r="I57" i="21"/>
  <c r="J57" i="21" s="1"/>
  <c r="I46" i="21"/>
  <c r="J46" i="21" s="1"/>
  <c r="J63" i="21" s="1"/>
  <c r="I51" i="21"/>
  <c r="J51" i="21" s="1"/>
  <c r="I58" i="21"/>
  <c r="J58" i="21" s="1"/>
  <c r="K5" i="21"/>
  <c r="O63" i="21" l="1"/>
  <c r="O64" i="21" s="1"/>
  <c r="K41" i="21"/>
  <c r="L5" i="21"/>
  <c r="L41" i="21" s="1"/>
  <c r="O66" i="21" l="1"/>
  <c r="E47" i="18"/>
  <c r="E46" i="18"/>
  <c r="E45" i="18" s="1"/>
  <c r="D45" i="18"/>
  <c r="E44" i="18"/>
  <c r="E43" i="18"/>
  <c r="D42" i="18"/>
  <c r="E41" i="18"/>
  <c r="E40" i="18"/>
  <c r="D39" i="18"/>
  <c r="E36" i="18"/>
  <c r="E35" i="18"/>
  <c r="E34" i="18"/>
  <c r="D33" i="18"/>
  <c r="D32" i="18" s="1"/>
  <c r="E30" i="18"/>
  <c r="D38" i="18" l="1"/>
  <c r="D37" i="18" s="1"/>
  <c r="E39" i="18"/>
  <c r="E33" i="18"/>
  <c r="E32" i="18" s="1"/>
  <c r="D31" i="18"/>
  <c r="E54" i="18" s="1"/>
  <c r="E42" i="18"/>
  <c r="E53" i="18"/>
  <c r="E38" i="18" l="1"/>
  <c r="E37" i="18" s="1"/>
  <c r="E31" i="18" s="1"/>
  <c r="E29" i="18" s="1"/>
  <c r="D29" i="18"/>
  <c r="E55" i="18"/>
  <c r="F22" i="18" l="1"/>
  <c r="H22" i="18" s="1"/>
  <c r="I20" i="18"/>
  <c r="E20" i="18"/>
  <c r="E19" i="18" s="1"/>
  <c r="J19" i="18"/>
  <c r="D19" i="18"/>
  <c r="B19" i="18"/>
  <c r="I17" i="18"/>
  <c r="E17" i="18"/>
  <c r="I16" i="18"/>
  <c r="E16" i="18"/>
  <c r="D15" i="18"/>
  <c r="I15" i="18" s="1"/>
  <c r="I14" i="18" s="1"/>
  <c r="J14" i="18"/>
  <c r="B14" i="18"/>
  <c r="I12" i="18"/>
  <c r="E12" i="18"/>
  <c r="I11" i="18"/>
  <c r="E11" i="18"/>
  <c r="I10" i="18"/>
  <c r="E10" i="18"/>
  <c r="E9" i="18" s="1"/>
  <c r="J9" i="18"/>
  <c r="D9" i="18"/>
  <c r="B9" i="18"/>
  <c r="I9" i="18" l="1"/>
  <c r="F9" i="18" s="1"/>
  <c r="G9" i="18" s="1"/>
  <c r="B21" i="18"/>
  <c r="B23" i="18" s="1"/>
  <c r="D14" i="18"/>
  <c r="E15" i="18"/>
  <c r="E14" i="18" s="1"/>
  <c r="I19" i="18"/>
  <c r="F19" i="18" s="1"/>
  <c r="G19" i="18" s="1"/>
  <c r="H19" i="18" s="1"/>
  <c r="F14" i="18"/>
  <c r="G14" i="18" s="1"/>
  <c r="H14" i="18" s="1"/>
  <c r="F21" i="18" l="1"/>
  <c r="G21" i="18"/>
  <c r="H9" i="18"/>
  <c r="H21" i="18" s="1"/>
  <c r="G57" i="18" l="1"/>
  <c r="G59" i="18" s="1"/>
  <c r="H23" i="18"/>
</calcChain>
</file>

<file path=xl/sharedStrings.xml><?xml version="1.0" encoding="utf-8"?>
<sst xmlns="http://schemas.openxmlformats.org/spreadsheetml/2006/main" count="2199" uniqueCount="541">
  <si>
    <t>Valsts sporta medicīnas centrs</t>
  </si>
  <si>
    <t>Valsts asinsdonoru centrs</t>
  </si>
  <si>
    <t>Neatliekamās medicīniskās palīdzības dienests</t>
  </si>
  <si>
    <t>Veselības inspekcija</t>
  </si>
  <si>
    <t>Aktualizēta informācija par ārstniecības personām (2017.gada oktobris)</t>
  </si>
  <si>
    <t>Aprēķins atalgojuma palielinājumam 2018.gadā pret 2017.gadu</t>
  </si>
  <si>
    <t>amata nosaukums</t>
  </si>
  <si>
    <t>saime, apakš-saime</t>
  </si>
  <si>
    <t>līmenis</t>
  </si>
  <si>
    <t>mēneš-algu grupa</t>
  </si>
  <si>
    <t>kvalifi-kācijas katego-rija 
(1 - 3)</t>
  </si>
  <si>
    <t>amata vietas (slodzes)</t>
  </si>
  <si>
    <t>pieaugums regulārai piemaksai</t>
  </si>
  <si>
    <t>regulārā piemaksa 
ar pieau-gumu</t>
  </si>
  <si>
    <t>kopā pieaugums uz vienu slodzi (ievērojot MK not.)</t>
  </si>
  <si>
    <t>kopā pieaugums uz visām slodzēm mēnesī</t>
  </si>
  <si>
    <t>papildus līdzekļi atalgojumam  
(1100 kods) gadā</t>
  </si>
  <si>
    <t>darba devēja VSAOI 
24,09%
(1200 kods)
gadā</t>
  </si>
  <si>
    <t>papildus līdzekļi atlīdzībai (1000 kods) 
gadā</t>
  </si>
  <si>
    <t>Ārsti un funkcionālie speciālisti</t>
  </si>
  <si>
    <t>Sporta medicīnas departamenta direktors - Ārstniecības nodaļas vadītājs</t>
  </si>
  <si>
    <t>IV A</t>
  </si>
  <si>
    <t xml:space="preserve">sporta ārsts </t>
  </si>
  <si>
    <t>5.1</t>
  </si>
  <si>
    <t>III</t>
  </si>
  <si>
    <t>II</t>
  </si>
  <si>
    <t>ārsts (stažieris)</t>
  </si>
  <si>
    <t>bērnu kardiologs</t>
  </si>
  <si>
    <t>traumatologs, ortopēds</t>
  </si>
  <si>
    <t>bērnu neirologs</t>
  </si>
  <si>
    <t>otolaringologs</t>
  </si>
  <si>
    <t>fizikālās un rehabilitācijas medicīnas ārsts</t>
  </si>
  <si>
    <t>Funkcionālās nodaļas vadītājs - sporta ārsts</t>
  </si>
  <si>
    <t>sertificēts  ārsts pamatspecialitātē ar sertifikātu elektrokardiogrāfijas metodē vai fiziskās slodzes tests ar elektrokardiogrāfiju metodē</t>
  </si>
  <si>
    <t>sporta ārsts darbam Funkcionālās diagnostikas nodaļā</t>
  </si>
  <si>
    <t>sporta ārsts ehokardiogrāfijas metodē</t>
  </si>
  <si>
    <t>ārsts ar sertifikātu elektrokardiogrāfijas metodē</t>
  </si>
  <si>
    <t>fizioterapeits</t>
  </si>
  <si>
    <t>IIB</t>
  </si>
  <si>
    <t>Kopā</t>
  </si>
  <si>
    <t>Ārstniecības un pacientu aprūpes personas</t>
  </si>
  <si>
    <t>Sportistu aprūpes departamenta direktors - KAN vadītājs - galvenā māsa</t>
  </si>
  <si>
    <t>5.2</t>
  </si>
  <si>
    <t>V</t>
  </si>
  <si>
    <t>Nodaļas vadītāja - virsmāsa</t>
  </si>
  <si>
    <t>IV</t>
  </si>
  <si>
    <t>sertificēta māsa funkcionālās diagnostikas metodē māsu praksē</t>
  </si>
  <si>
    <t>sertificēta māsa</t>
  </si>
  <si>
    <t>nesertificēta māsa</t>
  </si>
  <si>
    <t>fizikālās terapijas māsa</t>
  </si>
  <si>
    <t>biomedicīnas laborants</t>
  </si>
  <si>
    <t>IE</t>
  </si>
  <si>
    <t xml:space="preserve">masieris </t>
  </si>
  <si>
    <t>pacientu reģistrators</t>
  </si>
  <si>
    <t>I</t>
  </si>
  <si>
    <t>KOPĀ  IESTĀDE</t>
  </si>
  <si>
    <t>Transfuzioloģiskā departamenta direktors</t>
  </si>
  <si>
    <t>35</t>
  </si>
  <si>
    <t>3</t>
  </si>
  <si>
    <t>Laboratoriju departamenta direktors</t>
  </si>
  <si>
    <t>Nodaļas vadītājs (virsārsts)</t>
  </si>
  <si>
    <t>5.1.</t>
  </si>
  <si>
    <t>IVB</t>
  </si>
  <si>
    <t>12</t>
  </si>
  <si>
    <t>Laboratorijas vadītājs</t>
  </si>
  <si>
    <t>10</t>
  </si>
  <si>
    <t>Nodaļas vadītājs (virsārsts) - krājuma nodaļa</t>
  </si>
  <si>
    <t>11</t>
  </si>
  <si>
    <t>Galvenā medicīnas māsa</t>
  </si>
  <si>
    <t>5.2.</t>
  </si>
  <si>
    <t>Donoru nodaļas vadītājs</t>
  </si>
  <si>
    <t>23</t>
  </si>
  <si>
    <t xml:space="preserve">Ārsts </t>
  </si>
  <si>
    <t>Vecākais biomedicīnas laborants</t>
  </si>
  <si>
    <t>9</t>
  </si>
  <si>
    <t xml:space="preserve">Biomedicīnas laborants </t>
  </si>
  <si>
    <t>Medicīnas laborants</t>
  </si>
  <si>
    <t>Virsmāsa</t>
  </si>
  <si>
    <t>8</t>
  </si>
  <si>
    <t>vecākais ārsta palīgs (feldšeris)</t>
  </si>
  <si>
    <t>IA</t>
  </si>
  <si>
    <t>Ārsta palīgs (feldšeris)</t>
  </si>
  <si>
    <t>Ārsta palīgs (feldšeris) - nesertificēts</t>
  </si>
  <si>
    <t>7</t>
  </si>
  <si>
    <t>Izbraukumu projektu vadītājs (izbrau-kumu organizators) - medicīnas māsa</t>
  </si>
  <si>
    <t>32</t>
  </si>
  <si>
    <t>Medicīnas māsa</t>
  </si>
  <si>
    <t>Autobusa vadītājs - izbraukumos (pielīdzīnāts medicīnas māsai)</t>
  </si>
  <si>
    <t>41</t>
  </si>
  <si>
    <t>māsa (medicīnas māsa) - nesertificēta</t>
  </si>
  <si>
    <t>6</t>
  </si>
  <si>
    <t>2</t>
  </si>
  <si>
    <t>Klientu apkalpošanas speciālists</t>
  </si>
  <si>
    <t>IIA</t>
  </si>
  <si>
    <t>Ārstniecības un pacientu aprūpes atbalsta personas</t>
  </si>
  <si>
    <t>Māsas palīgs</t>
  </si>
  <si>
    <t>5</t>
  </si>
  <si>
    <t>klientu un pacientu reģistrators</t>
  </si>
  <si>
    <t>centrbēdzes separatora operators</t>
  </si>
  <si>
    <t>13</t>
  </si>
  <si>
    <t>sanitārs</t>
  </si>
  <si>
    <t>Valsts asinsdonoru centrs - slimnīcu Asins sagatavošanas nodaļās strādājošie</t>
  </si>
  <si>
    <t>1. Ārsti un funkcionālie speciālisti</t>
  </si>
  <si>
    <t>2. Ārstniecības un pacientu aprūpes personas</t>
  </si>
  <si>
    <t>3. Ārstniecības un pacientu aprūpes atbalsta personas</t>
  </si>
  <si>
    <t>Kopā iestādei</t>
  </si>
  <si>
    <t>OVC vadītājs</t>
  </si>
  <si>
    <t>5.4</t>
  </si>
  <si>
    <t>VID</t>
  </si>
  <si>
    <t>15</t>
  </si>
  <si>
    <t>MKMC vadītājs</t>
  </si>
  <si>
    <t>VIB</t>
  </si>
  <si>
    <t>14</t>
  </si>
  <si>
    <t>OVC vadītāja vietnieks</t>
  </si>
  <si>
    <t>VIA</t>
  </si>
  <si>
    <t>Liela BAC vadītājs (Rīga)</t>
  </si>
  <si>
    <t>VA</t>
  </si>
  <si>
    <t>Ļoti liela BAC vadītājs (Rīga)</t>
  </si>
  <si>
    <t>VB</t>
  </si>
  <si>
    <t>Operatīvais dežurants (vadības ārsts)</t>
  </si>
  <si>
    <t>Vadības ārsts (Operatīvais dežurants)</t>
  </si>
  <si>
    <t>SMC vadītājs</t>
  </si>
  <si>
    <t>IVA</t>
  </si>
  <si>
    <t>SMC vadītāja vietnieks</t>
  </si>
  <si>
    <t xml:space="preserve">Ārsts - eksperts </t>
  </si>
  <si>
    <t>Kardiologs - koordinators</t>
  </si>
  <si>
    <t>Ārsts (sertificēts)  - praktisko treniņu vadītājs</t>
  </si>
  <si>
    <t>IIIB</t>
  </si>
  <si>
    <t>Galvenais speciālists medicīniskās evakuācijas jautājumos</t>
  </si>
  <si>
    <t xml:space="preserve">Ārsts stažieris </t>
  </si>
  <si>
    <t>IIIA</t>
  </si>
  <si>
    <t>Ārsts stažieris</t>
  </si>
  <si>
    <t>Ārsts stažieris, nesertificēts ārsts</t>
  </si>
  <si>
    <t>Ārsts (sertificēts radniecīgā specialitātē)</t>
  </si>
  <si>
    <t>Ārsts stažieris; Ārsts (sertificēts citā specialitātē)</t>
  </si>
  <si>
    <t>Nesertificēts ārsts</t>
  </si>
  <si>
    <t>Ārsts (sertificēts citā specialitātē)</t>
  </si>
  <si>
    <t>NM ārsts</t>
  </si>
  <si>
    <t>Specializētās brigādes ārsts, sertificēts</t>
  </si>
  <si>
    <t>IIIC</t>
  </si>
  <si>
    <t>Specializētās brigādes ārsts - eksperts</t>
  </si>
  <si>
    <t>OVC galvenais dežūrārsts</t>
  </si>
  <si>
    <t xml:space="preserve">OVC ārsts konsultants </t>
  </si>
  <si>
    <t>OVC ārsts konsultants (ģimenes ārsts)</t>
  </si>
  <si>
    <t>OVC vecākais dežūrārsts</t>
  </si>
  <si>
    <t>Anesteziologs - reanimatologs</t>
  </si>
  <si>
    <t>Bērnu IT brigādes anesteziologs-reanimatologs</t>
  </si>
  <si>
    <t>Neonatologs</t>
  </si>
  <si>
    <t>Anesteziologs - reanimatologs*</t>
  </si>
  <si>
    <t>Apdegumu traumatologs*</t>
  </si>
  <si>
    <t>Asinsvadu ķirurgs*</t>
  </si>
  <si>
    <t>Bērnu ķirurgs*</t>
  </si>
  <si>
    <t>Bērnu neiroķirurgs*</t>
  </si>
  <si>
    <t>Bronhologs*</t>
  </si>
  <si>
    <t>Gastroenterologs - endoskopists*</t>
  </si>
  <si>
    <t>Ginekologs un dzemdību speciālists*</t>
  </si>
  <si>
    <t>Infektologs*</t>
  </si>
  <si>
    <t>Kardiologs*</t>
  </si>
  <si>
    <t>Ķirurgs*</t>
  </si>
  <si>
    <t>Neirologs*</t>
  </si>
  <si>
    <t>Neiroķirurgs*</t>
  </si>
  <si>
    <t>Otolaringologs*</t>
  </si>
  <si>
    <t>Sejas, mutes, žokļu ķirurgs*</t>
  </si>
  <si>
    <t>Torakālais ķirurgs*</t>
  </si>
  <si>
    <t>Traumatologs - ortopēds*</t>
  </si>
  <si>
    <t>Vertebrologs*</t>
  </si>
  <si>
    <t>Medicīnas māsa (nesertificēta)</t>
  </si>
  <si>
    <t>Medicīnas māsa (sertificēta)</t>
  </si>
  <si>
    <t>Ārsta palīgs (nesertificēts)</t>
  </si>
  <si>
    <t>Ārsta palīgs (sertificēts)</t>
  </si>
  <si>
    <t xml:space="preserve">Vecākais ārsta palīgs (sertificēts) </t>
  </si>
  <si>
    <t>IIC</t>
  </si>
  <si>
    <t>Atbrīvotais NMP punkta vecākais ārsta palīgs</t>
  </si>
  <si>
    <t xml:space="preserve">Liela BAC galvenais ārsta palīgs (sertificēts)                                          </t>
  </si>
  <si>
    <t xml:space="preserve">Ļoti liela BAC galvenais ārsta palīgs (sertificēts)                                     </t>
  </si>
  <si>
    <t>Liela BAC vecākais ārsta palīgs (Rīga, Kuldīga, Liepāja, Ventspils, Jēkabpils, Rēzekne, Valmiera, Cēsis, Gulbene)</t>
  </si>
  <si>
    <t>Ļoti liela BAC vecākais ārsta palīgs (Rīga, Jelgava, Daugavpils)</t>
  </si>
  <si>
    <t>Vidēja lieluma BAC galvenais ārsta palīgs (sertificēts) (Madona)</t>
  </si>
  <si>
    <t>Ārsta palīgs (sertificēts) - praktisko treniņu vadītājs</t>
  </si>
  <si>
    <t>MMSTD ( aptiekas) vadītājs</t>
  </si>
  <si>
    <t>MMSTD ( aptiekas) vadītāja vietnieks</t>
  </si>
  <si>
    <t>5.3</t>
  </si>
  <si>
    <t>Farmaceits</t>
  </si>
  <si>
    <t>Galvenais speciālists NMP medicīniskā nodrošinājuma jautājumos</t>
  </si>
  <si>
    <t>NMP medicīniskā nodrošinājuma un aprites nodaļas vadītājs</t>
  </si>
  <si>
    <t>Medicīnisko maksas pakalpojumu nodaļas vadītājs</t>
  </si>
  <si>
    <t>Galvenais ārsta palīgs (sertificēts) RC</t>
  </si>
  <si>
    <t>Vecākais ārsta palīgs (sertificēts) RC (VRC)</t>
  </si>
  <si>
    <t>DISP dežūrējošais ārsta palīgs</t>
  </si>
  <si>
    <t>DISP ārsta palīgs (nesertificēts) - dispečers</t>
  </si>
  <si>
    <t>IB</t>
  </si>
  <si>
    <t>DISP ārsta palīgs (sertificēts) - dispečers</t>
  </si>
  <si>
    <t>DISP vadības dispečers LRC</t>
  </si>
  <si>
    <t>IC</t>
  </si>
  <si>
    <t>DISP BAC ārsta palīgs (nesertificēts) - dispečers</t>
  </si>
  <si>
    <t>DISP BAC ārsta palīgs (sertificēts) - dispečers</t>
  </si>
  <si>
    <t>OVC galvenais dispečers</t>
  </si>
  <si>
    <t>OVC vadības dispečers (ārsta palīgs sertificēts)</t>
  </si>
  <si>
    <t>OVC  vecākais dispečers (ārsta palīgs sertificēts)</t>
  </si>
  <si>
    <t>OVC izsaukumu pieņemšanas dispečers (ārsta palīgs nesertificēts)</t>
  </si>
  <si>
    <t>OVC izsaukumu pieņemšanas dispečers (ārsta palīgs sertificēts)</t>
  </si>
  <si>
    <t>OVC  vecākais dispečers LRC (ārsta palīgs sertificēts)</t>
  </si>
  <si>
    <t>OVC izsaukumu pieņemšanas dispečers LRC (ārsta palīgs nesertificēts)</t>
  </si>
  <si>
    <t>OVC izsaukumu pieņemšanas dispečers LRC (ārsta palīgs sertificēts)</t>
  </si>
  <si>
    <t>SMC vadības dispečers</t>
  </si>
  <si>
    <t xml:space="preserve">SMC Ārsta palīgs </t>
  </si>
  <si>
    <t>SMC Medicīnas māsa bērnu IT brigādē</t>
  </si>
  <si>
    <t>SMC Medicīnas māsa neonatologu brigādē</t>
  </si>
  <si>
    <t>SMC Medicīnas māsa</t>
  </si>
  <si>
    <t>SMC operāciju māsa</t>
  </si>
  <si>
    <t>1</t>
  </si>
  <si>
    <t>NM Sanitārs</t>
  </si>
  <si>
    <t xml:space="preserve">NM Sanitārs </t>
  </si>
  <si>
    <t>OMT autovadītāji</t>
  </si>
  <si>
    <t>OMT vadītājs</t>
  </si>
  <si>
    <t xml:space="preserve">vecākais OMT vadītājs </t>
  </si>
  <si>
    <t>SMC OMT vadītāji</t>
  </si>
  <si>
    <t>Valsts tiesu medicīnas ekspertīzes centrs</t>
  </si>
  <si>
    <t xml:space="preserve">Direktora vietnieks, Ekspertīzes un izpētes departamenta vadītājs </t>
  </si>
  <si>
    <t>Ekspertīzes un izpētes departamenta vadītāja vietnieks</t>
  </si>
  <si>
    <t>Reģionālās nodaļas vadītājs, vecākais tiesu medicīnas eksperts</t>
  </si>
  <si>
    <t>Nodaļas vadītājs, vecākais tiesu medicīnas eksperts</t>
  </si>
  <si>
    <t>Laboratorijas vadītājs, vecākais tiesu medicīnas eksperts</t>
  </si>
  <si>
    <t>Laboratorijas vadītājs, vecākais speciālists - tiesu medicīnas eksperts</t>
  </si>
  <si>
    <t xml:space="preserve">Nodaļas vadītāja vietnieks, vecākais tiesu medicīnas eksperts </t>
  </si>
  <si>
    <t xml:space="preserve">Vecākais tiesu medicīnas eksperts </t>
  </si>
  <si>
    <t>Vecākais speciālists - tiesu medicīnas eksperts</t>
  </si>
  <si>
    <t>Ārsts patologs</t>
  </si>
  <si>
    <t>Tiesu medicīnas eksperts</t>
  </si>
  <si>
    <t>Speciālists - tiesu medicīnas eksperts</t>
  </si>
  <si>
    <t>Galvenā  māsa</t>
  </si>
  <si>
    <t>Biomedicīnas laborants</t>
  </si>
  <si>
    <t>Eksperta palīgs</t>
  </si>
  <si>
    <t xml:space="preserve">Sanitārs </t>
  </si>
  <si>
    <t>Reģistrators</t>
  </si>
  <si>
    <t>Nodaļas vadītājs</t>
  </si>
  <si>
    <t>10.</t>
  </si>
  <si>
    <t>Vecākais ārsts eksperts</t>
  </si>
  <si>
    <t>Ārsts eksperts</t>
  </si>
  <si>
    <t>Ārsts - stažieris</t>
  </si>
  <si>
    <t>35.</t>
  </si>
  <si>
    <t>Veselības aprūpes  analītiķis</t>
  </si>
  <si>
    <t>Vecākais higiēnas ārsts</t>
  </si>
  <si>
    <t>Higiēnas ārsts</t>
  </si>
  <si>
    <t>26.3.</t>
  </si>
  <si>
    <t>Vecākais inspektors</t>
  </si>
  <si>
    <t>Vecākais inspektors veselības aprūpes jomā</t>
  </si>
  <si>
    <t>Inspektors</t>
  </si>
  <si>
    <t>Inspektors veselības aprūpes jomā</t>
  </si>
  <si>
    <t>KOPĀ</t>
  </si>
  <si>
    <t>Inspekcijas vadītāja vietnieks, departamenta vadītājs</t>
  </si>
  <si>
    <t>Higiēnas ārsta palīgs</t>
  </si>
  <si>
    <t xml:space="preserve">II </t>
  </si>
  <si>
    <t xml:space="preserve">Ārstniecības un pacientu aprūpes atbalsta personas </t>
  </si>
  <si>
    <t>PAVISAM  BUDŽETA IESTĀDES (plus slimnīcu ASN)</t>
  </si>
  <si>
    <t>Aktualizēta informācija par ārstniecības personām</t>
  </si>
  <si>
    <t>Aprēķins atlīdzības palielinājumam pret 2017.gadu</t>
  </si>
  <si>
    <t>Amata nosaukums</t>
  </si>
  <si>
    <t>Līmenis</t>
  </si>
  <si>
    <t>14. Iekšlietu ministrija</t>
  </si>
  <si>
    <t>06.01.00"Valsts policija"</t>
  </si>
  <si>
    <t>Ārsts</t>
  </si>
  <si>
    <t>Kopā 06.01.00</t>
  </si>
  <si>
    <t>10.00.00"Valsts robežsardzes darbība"</t>
  </si>
  <si>
    <t>Kopā 10.00.00</t>
  </si>
  <si>
    <t>38.05.00 "Veselības aprūpe un fiziskā sagatavošana"*</t>
  </si>
  <si>
    <t>Radiologa asistents</t>
  </si>
  <si>
    <t>Kopā 38.05.00</t>
  </si>
  <si>
    <t>KOPĀ  IeM</t>
  </si>
  <si>
    <t>*VSIA Iekšlietu ministrijas poliklīnikas ārstniecības personu darba samaksa (Centrālā medicīniskās ekspertīzes komisija - deleģētais valsts pārvaldes uzdevums, kura izpildei Iekšlietu ministrija (IeM veselības un sporta centrs piešķir dotāciju))</t>
  </si>
  <si>
    <t>18. Labklājības ministrija</t>
  </si>
  <si>
    <t>05.37.00 "Sociālās integrācijas valsts aģentūras administrēšana un profesionālās un sociālās rehabilitācijas pakalpojumu nodrošināšana"</t>
  </si>
  <si>
    <t>Vecākais ārsts</t>
  </si>
  <si>
    <t>Ārsts (nesertificēts)</t>
  </si>
  <si>
    <t>Ārsts -psihiatrs</t>
  </si>
  <si>
    <t xml:space="preserve">Dežūrārsts </t>
  </si>
  <si>
    <t>Vecākais fizioterapeits</t>
  </si>
  <si>
    <t>Fizioterapeits</t>
  </si>
  <si>
    <t>Fizioterapeits (nesertificēts)</t>
  </si>
  <si>
    <t>Vecākais ergoterapeits</t>
  </si>
  <si>
    <t>Ergoterapeits</t>
  </si>
  <si>
    <t>Ergoterapeits (nesertificēts)</t>
  </si>
  <si>
    <t xml:space="preserve">Nodaļas vadītāja vietnieks </t>
  </si>
  <si>
    <t>Veselības veicināšanas koordinētājs</t>
  </si>
  <si>
    <t>Ārsta palīgs</t>
  </si>
  <si>
    <t>Vecākā medicīnas māsa</t>
  </si>
  <si>
    <t>Medicīnas māsa (dežūrmāsa)</t>
  </si>
  <si>
    <t>Trenažieru zāles instruktors</t>
  </si>
  <si>
    <t>Masieris</t>
  </si>
  <si>
    <t>Masieris (nesertificēts)</t>
  </si>
  <si>
    <t>Aprūpētājs</t>
  </si>
  <si>
    <t>Kopā 05.37.00</t>
  </si>
  <si>
    <t>05.62.00 "Invaliditātes ekspertīžu nodrošināšana" (Veselības un darbspēju ekspertīzes ārstu valsts komisija)</t>
  </si>
  <si>
    <t>Vecākais ārsts eksperts - nodaļas vadītājs</t>
  </si>
  <si>
    <t xml:space="preserve">Vecākais ārsts eksperts </t>
  </si>
  <si>
    <t>Kopā 05.62.00</t>
  </si>
  <si>
    <t xml:space="preserve"> 05.03.00 "Aprūpe valsts sociālās aprūpes institūcijās" (VSAC "Rīga")</t>
  </si>
  <si>
    <t>Veselības aprūpes sektora vadītājs līdz 50 darbiniekiem</t>
  </si>
  <si>
    <t xml:space="preserve">5.1 </t>
  </si>
  <si>
    <t>Oftalmologs</t>
  </si>
  <si>
    <t>Pediatrs</t>
  </si>
  <si>
    <t>Psihiatrs</t>
  </si>
  <si>
    <t>Rehabilitologs</t>
  </si>
  <si>
    <t>Internists</t>
  </si>
  <si>
    <t xml:space="preserve">Zobārsts </t>
  </si>
  <si>
    <t>Zobu higiēnists</t>
  </si>
  <si>
    <t>Reitterapeits</t>
  </si>
  <si>
    <t>Mākslas terapeits (Deju un kustību terapeits, Mūzikas terapeits)</t>
  </si>
  <si>
    <t>Mākslas terapeits (Mūzikas terapeits)</t>
  </si>
  <si>
    <t>Podologs</t>
  </si>
  <si>
    <t>Fizioterapeita asistents</t>
  </si>
  <si>
    <t>Uztura speciālists</t>
  </si>
  <si>
    <t xml:space="preserve">5.2 </t>
  </si>
  <si>
    <t>Diētas māsa</t>
  </si>
  <si>
    <t>Fizikālās terapijas māsa</t>
  </si>
  <si>
    <t>Dezinfektors</t>
  </si>
  <si>
    <t>Kopā VSAC "Rīga"</t>
  </si>
  <si>
    <t xml:space="preserve"> 05.03.00 "Aprūpe valsts sociālās aprūpes institūcijās" (VSAC "Kurzeme")</t>
  </si>
  <si>
    <t>Ārsts - psihiatrs</t>
  </si>
  <si>
    <t>Ārsts - pediatrs</t>
  </si>
  <si>
    <t>Psihiatrijas māsa</t>
  </si>
  <si>
    <t>Bērnu aprūpes māsa</t>
  </si>
  <si>
    <t>Kopā VSAC "Kurzeme</t>
  </si>
  <si>
    <t xml:space="preserve"> 05.03.00 "Aprūpe valsts sociālās aprūpes institūcijās" (VSAC "Vidzeme")</t>
  </si>
  <si>
    <t>Zobārsts</t>
  </si>
  <si>
    <t>Ginekologs</t>
  </si>
  <si>
    <t>Garīgās veselības aprūpes māsa</t>
  </si>
  <si>
    <t>Internās aprūpes māsa</t>
  </si>
  <si>
    <t>Kopā VSAC "Vidzeme"</t>
  </si>
  <si>
    <t xml:space="preserve"> 05.03.00 "Aprūpe valsts sociālās aprūpes institūcijās" (VSAC "Zemgale")</t>
  </si>
  <si>
    <t>Veselības aprūpes sektora vadītājs - vecākā medicīnas māsa</t>
  </si>
  <si>
    <t>39</t>
  </si>
  <si>
    <t>Kopā VSAC "Zemgale"</t>
  </si>
  <si>
    <t xml:space="preserve"> 05.03.00 "Aprūpe valsts sociālās aprūpes institūcijās" (VSAC "Latgale")</t>
  </si>
  <si>
    <t xml:space="preserve">Fizioterapeits </t>
  </si>
  <si>
    <t xml:space="preserve">III </t>
  </si>
  <si>
    <t>5.5</t>
  </si>
  <si>
    <t>Kopā - VSAC "Latgale</t>
  </si>
  <si>
    <t>Kopā 05.03.00</t>
  </si>
  <si>
    <t>Ārsti un funkcionālie speciālisti - kopā</t>
  </si>
  <si>
    <t>KOPĀ  LM</t>
  </si>
  <si>
    <t>19. Tieslietu ministrija</t>
  </si>
  <si>
    <t>04.01.00 Ieslodzījuma vietas</t>
  </si>
  <si>
    <t>Virsārsts</t>
  </si>
  <si>
    <t>Daļas vadītājs</t>
  </si>
  <si>
    <t xml:space="preserve">Ārsta palīgs </t>
  </si>
  <si>
    <t>KOPĀ  TM</t>
  </si>
  <si>
    <t xml:space="preserve">15. Izglītības un zinātnes  ministrija </t>
  </si>
  <si>
    <t>01.03.00 Sociālās korekcijas izglītības iestāde</t>
  </si>
  <si>
    <t>I A</t>
  </si>
  <si>
    <t>02.01.00 Profesionālās izglītības programmu īstenošana</t>
  </si>
  <si>
    <t>I C</t>
  </si>
  <si>
    <t>09.10.00 Murjāņu sporta ģimnāzija</t>
  </si>
  <si>
    <t>Kopā  IZM</t>
  </si>
  <si>
    <t>KOPĀ  62.resors</t>
  </si>
  <si>
    <t>KOPĀ  -  CITAS MINISTRIJAS</t>
  </si>
  <si>
    <t>Novirzāmais finansējums no rezervētā  finansējuma 85 302 674 euro - 1 %  no sociālajām iemaksām</t>
  </si>
  <si>
    <t>Piešķirtais finansējums pagarinātajam normālam darba laikam - NMPD</t>
  </si>
  <si>
    <t>Piešķirtais finansējums minimālās algas palielināšanai  līdz 430 euro</t>
  </si>
  <si>
    <t>Piešķirtais finansējums VSAOI likmes palielināšanai līdz 24,09%</t>
  </si>
  <si>
    <t>Resursi izdevumu segšanai (kopā)</t>
  </si>
  <si>
    <t>Resursi izdevumu segšanai (Novirzāmais finansējums no rezervētā  finansējuma 85 302 674 euro - 1 %  no sociālajām iemaksām)</t>
  </si>
  <si>
    <t xml:space="preserve">Ministru kabineta rīkojuma “Par apropriācijas pārdali no budžeta resora “74.Gadskārtējā valsts budžeta izpildes procesā pārdalāmais finansējums” 08.00.00 programmas “Veselības aprūpes sistēmas reformas ieviešanas finansējums” uz budžeta resoru “29.Veselības ministrija”” projekta sākotnējās ietekmes novērtējuma ziņojumam (anotācijai)
</t>
  </si>
  <si>
    <t>Veselības ministre</t>
  </si>
  <si>
    <t>Anda Čakša</t>
  </si>
  <si>
    <t xml:space="preserve">S.Kasparenko, 67876147 </t>
  </si>
  <si>
    <t>Sandra.Kasparenko@vm.gov.lv</t>
  </si>
  <si>
    <t>Pielikums</t>
  </si>
  <si>
    <t>Plānotie izdevumi kopā:</t>
  </si>
  <si>
    <t>Nacionālais veselības dienesta plānotie izdevumu atlīdzības palielināšanai</t>
  </si>
  <si>
    <t>Veselības ministrijas plānotie izdevumu atlīdzības palielināšanai</t>
  </si>
  <si>
    <t xml:space="preserve">Vīza: Valsts sekretārs                                                                                      </t>
  </si>
  <si>
    <t>Aivars Lapiņš</t>
  </si>
  <si>
    <t>Ārstniecības personu darba samaksas pieauguma 2018.gadā aprēķins 14.Iekšlietu ministrijai, 15.Izglītības un zinātnes ministrijai, 18.Labklājības ministrijai, 19.Tieslietu ministrijai un 62.Mērķdotācijas pašvaldībām</t>
  </si>
  <si>
    <t>2018.gada jaunā amatalga ar  pieaugumu (ievērojot MK not. Nr.66 max)</t>
  </si>
  <si>
    <t>jaunā amatalga  
ar pieaugumu (indikatīvais novērtējums pieaugumam, lai noteiktu vienādu pieauguma procentu)</t>
  </si>
  <si>
    <t xml:space="preserve">regulārā piemaksa </t>
  </si>
  <si>
    <t>amatalga (par pilnu slodzi)</t>
  </si>
  <si>
    <t>max pēc MK not. Nr.66 (3.piel.)</t>
  </si>
  <si>
    <t>EUR</t>
  </si>
  <si>
    <t>Nr.p.k.</t>
  </si>
  <si>
    <t>2018.gadā</t>
  </si>
  <si>
    <t>1.</t>
  </si>
  <si>
    <t>Augstskolas izdevumi</t>
  </si>
  <si>
    <t>2.</t>
  </si>
  <si>
    <t>Ārstniecības iestādes izdevumi</t>
  </si>
  <si>
    <t>2.1.</t>
  </si>
  <si>
    <t>Rezidenta atlīdzība</t>
  </si>
  <si>
    <t>2.1.1.</t>
  </si>
  <si>
    <t>Atalgojums</t>
  </si>
  <si>
    <t>2.1.1.1.</t>
  </si>
  <si>
    <t>t.sk. amatalga</t>
  </si>
  <si>
    <t>2.1.1.2.</t>
  </si>
  <si>
    <t>t.sk. pārējie izdevumi rezidentu atlīdzībai - samaksa par dežūru stundām virs normālā darba laika (24 h mēnesī), piemaksas par nakts dežūrām, svētku dienām, mājas dežūrām un darba samaksas mainīgajai daļai</t>
  </si>
  <si>
    <t>2.1.2.</t>
  </si>
  <si>
    <t>VSAOI</t>
  </si>
  <si>
    <t>2.2.</t>
  </si>
  <si>
    <t>Rezidentu teorētisko un praktisko apmācību saistīto izdevumu apmaksai ārstniecības iestādē</t>
  </si>
  <si>
    <t>2.2.1.</t>
  </si>
  <si>
    <t xml:space="preserve">Ārstu un cita mācību personāla atlīdzībai </t>
  </si>
  <si>
    <t>2.2.1.1.</t>
  </si>
  <si>
    <t xml:space="preserve">Ārstu un cita mācību personāla atlīdzībai par rezidentu teorētisko un praktisko apmācību </t>
  </si>
  <si>
    <t>2.2.1.1.1.</t>
  </si>
  <si>
    <t>t.sk. atalgojums</t>
  </si>
  <si>
    <t>2.2.1.1.2.</t>
  </si>
  <si>
    <t>t.sk. VSAOI</t>
  </si>
  <si>
    <t>2.2.1.2.</t>
  </si>
  <si>
    <t xml:space="preserve">Ārstu atlīdzībai, kas atbildīgi par rezidentūras organizāciju </t>
  </si>
  <si>
    <t>2.2.1.2.1.</t>
  </si>
  <si>
    <t>2.2.1.2.2.</t>
  </si>
  <si>
    <t>2.2.2.</t>
  </si>
  <si>
    <t xml:space="preserve">Ar rezidentūras organizēšanu saistīto izdevumu segšanai </t>
  </si>
  <si>
    <t>2.2.2.1.</t>
  </si>
  <si>
    <t>t.sk.ar rezidenta pašizglītību saistītie izdevumi (izdevumi  medicīniskās literatūras, datu bāžu, grāmatu, u.c. iegādei bibliotēkai, aprīkojuma, datoru iegādei, u.tml., kas paliek ārstniecības iestādes īpašumā)</t>
  </si>
  <si>
    <t>2.2.2.2.</t>
  </si>
  <si>
    <t>t.sk.ar rezidentūras organizēšanu  saistīto izdevumu segšanai saimniecisko, komunālo un ārstniecības iestādes citu kārtējo izdevumu segšanai, kas attiecas uz rezidentūras organizēšanu ārstniecības iestādē, t.sk. rezidentu telpu iekārtošanas, identifikācijas  karšu iegādes, vienotas e-adreses nodrošināšanai, zīmogu izgatavošanas izdevumi u.tml.))</t>
  </si>
  <si>
    <t>mēnešu skaits 
mācību gadā</t>
  </si>
  <si>
    <t>2018.gads</t>
  </si>
  <si>
    <t>gada vidējais rezidentu skaits</t>
  </si>
  <si>
    <t>papildus rezidentu algām, EUR</t>
  </si>
  <si>
    <t>Atlīdzības pieaugums esošajam rezidentu skaitam</t>
  </si>
  <si>
    <t>Atlīdzības pieaugums 2018.g. uzņemtiem 40 rezidentiem:  1.gads</t>
  </si>
  <si>
    <t>-</t>
  </si>
  <si>
    <t>Ārstniecības personas amata kvalifikācijas kategorija</t>
  </si>
  <si>
    <t>Slodzes (strādājošo skaits normālā darba laika ietvaros</t>
  </si>
  <si>
    <t>Zemākā mēnešalgas likme par slodzi (atbilstoši MK not. Nr.595)</t>
  </si>
  <si>
    <t>Amatalga pēc izmaiņām</t>
  </si>
  <si>
    <t>Starpība, EUR</t>
  </si>
  <si>
    <t>Darba samaksa atbilstoši slodzēm</t>
  </si>
  <si>
    <t>Plus 19% piemaksām</t>
  </si>
  <si>
    <t>Kopā ar Sociālo nodokli</t>
  </si>
  <si>
    <t>Vidējā darba samaksa 2018.gadam</t>
  </si>
  <si>
    <t>Vidējā darba samaksa 2017.gadam</t>
  </si>
  <si>
    <t>Ārsti un funkcio-nālie speciālisti</t>
  </si>
  <si>
    <t>1 (6)</t>
  </si>
  <si>
    <t>2 (7)</t>
  </si>
  <si>
    <t>3 (8)</t>
  </si>
  <si>
    <t>4 (9)</t>
  </si>
  <si>
    <t>5 (11)</t>
  </si>
  <si>
    <t>6 (13)</t>
  </si>
  <si>
    <t>KOPĀ Ārstniecības personas</t>
  </si>
  <si>
    <t xml:space="preserve">Pārējam personālam </t>
  </si>
  <si>
    <t xml:space="preserve">KOPĀ </t>
  </si>
  <si>
    <t>Darba samaksas pieaugums ārstniecības personām (t.sk. rezidentiem)</t>
  </si>
  <si>
    <t>Darba samaksas pieaugums pārējam personālam</t>
  </si>
  <si>
    <t>I. Aprēķins par papildus nepieciešamo finansējumu ārstniecības personu zemāko mēnešalgu likmju par slodzi palielināšanai atbilstoši ārstniecības personu kvalifikācijas kategorijām, EUR</t>
  </si>
  <si>
    <t>II. Aprēķins par papildus nepieciešamo finansējumu rezidentu darba samaksas pieaugumam, EUR</t>
  </si>
  <si>
    <t>Viena rezidenta izmaksas ārstniecības iestādēs 
2017.gadā</t>
  </si>
  <si>
    <t>Pieaugums rezidentu darba samaksai</t>
  </si>
  <si>
    <t>Plānotā viena rezidenta izmaksa kopā ar pieaugumu 2018.gadā</t>
  </si>
  <si>
    <t>Nacionālā veselības dienesta plānotais mēnešalgas palielinājums (izlīdzināšana) no 2018.gada 1.janvāra</t>
  </si>
  <si>
    <t>Amatu skaits</t>
  </si>
  <si>
    <t>Statuss</t>
  </si>
  <si>
    <t>Saime</t>
  </si>
  <si>
    <t>Mēnešalgu grupa</t>
  </si>
  <si>
    <t>Vidējā mēnešalga, EUR</t>
  </si>
  <si>
    <t>Pieaugums mēnesī uz  slodzi, EUR</t>
  </si>
  <si>
    <t>Mēnešalga ar plānoto pieaugumu kopā, EUR</t>
  </si>
  <si>
    <t>Kopējais pieaugums  mēnesī, EUR</t>
  </si>
  <si>
    <t>Kopējais pieaugums  gadā, EUR</t>
  </si>
  <si>
    <t>Kopējais pieaugums  gadā kopā ar VSAOI 
24,09%, EUR</t>
  </si>
  <si>
    <t>Iepirkumu speciālists</t>
  </si>
  <si>
    <t>D</t>
  </si>
  <si>
    <t>Vecākais eksperts</t>
  </si>
  <si>
    <t>Nodaļas vadītāja vietnieks</t>
  </si>
  <si>
    <t>Vecākais grāmatvedis</t>
  </si>
  <si>
    <t>Auditors</t>
  </si>
  <si>
    <t>Informācijas sistēmu drošības pārvaldnieks</t>
  </si>
  <si>
    <t>Klientu apkalpošanas centra vadītājs</t>
  </si>
  <si>
    <t>Eksperts</t>
  </si>
  <si>
    <t>Nodaļas vadītāja</t>
  </si>
  <si>
    <t>Līgumpartneru departamenta direktore - Nodaļas vadītāja</t>
  </si>
  <si>
    <t>Galvenais ekonomists</t>
  </si>
  <si>
    <t>12.1</t>
  </si>
  <si>
    <t>Vecākais ekonomists</t>
  </si>
  <si>
    <t>18.6</t>
  </si>
  <si>
    <t>19.2</t>
  </si>
  <si>
    <t>Informācijas sistēmu pakalpojumu pārvaldības procesu vadītājs</t>
  </si>
  <si>
    <t>19.3</t>
  </si>
  <si>
    <t>Sistēmanalītiķis</t>
  </si>
  <si>
    <t>19.4</t>
  </si>
  <si>
    <t>Sistēmanalītiķis-testētājs</t>
  </si>
  <si>
    <t>Vecākais sistēmanalītiķis</t>
  </si>
  <si>
    <t xml:space="preserve">Projektu vadītājs </t>
  </si>
  <si>
    <t>19.5</t>
  </si>
  <si>
    <t>Informācijas tehnoloģiju administrators</t>
  </si>
  <si>
    <t>Informācijas sistēmu administrators</t>
  </si>
  <si>
    <t>Vecākais datortīklu administrators</t>
  </si>
  <si>
    <t>Vecākais informācijas sistēmu administrators</t>
  </si>
  <si>
    <t>19.6</t>
  </si>
  <si>
    <t>21</t>
  </si>
  <si>
    <t>Amats</t>
  </si>
  <si>
    <t xml:space="preserve">Mēnešalgu grupa </t>
  </si>
  <si>
    <t>Kategorija</t>
  </si>
  <si>
    <t>Darbinieku skaits</t>
  </si>
  <si>
    <t>VM vidējā mēnešalga euro</t>
  </si>
  <si>
    <t xml:space="preserve">Noteiktais mēnešalgas  maksimums euro </t>
  </si>
  <si>
    <t>Esošais nodrošinājums %</t>
  </si>
  <si>
    <r>
      <t>VM vidējā mēnešalga euro l</t>
    </r>
    <r>
      <rPr>
        <b/>
        <sz val="10"/>
        <color theme="1"/>
        <rFont val="Times New Roman"/>
        <family val="1"/>
        <charset val="186"/>
      </rPr>
      <t>īdz 94 %</t>
    </r>
    <r>
      <rPr>
        <sz val="10"/>
        <color theme="1"/>
        <rFont val="Times New Roman"/>
        <family val="1"/>
        <charset val="186"/>
      </rPr>
      <t xml:space="preserve"> no noteiktā  maksimuma</t>
    </r>
  </si>
  <si>
    <t>Mēnešalgas pieaugums  euro</t>
  </si>
  <si>
    <t>Nepieciešamais finansējums mēnešalgu pieauguma nodrošināšanai euro</t>
  </si>
  <si>
    <t>VM atvaļinājuma pabalsts 20 % apmērā euro</t>
  </si>
  <si>
    <t>VM finansējums avaļinājuma pabalstu nodrošināšanai 20 % apmērā euro</t>
  </si>
  <si>
    <r>
      <t>Atvaļinājuma pabalsts</t>
    </r>
    <r>
      <rPr>
        <b/>
        <sz val="10"/>
        <color theme="1"/>
        <rFont val="Times New Roman"/>
        <family val="1"/>
        <charset val="186"/>
      </rPr>
      <t xml:space="preserve"> 40 % apmērā</t>
    </r>
    <r>
      <rPr>
        <sz val="10"/>
        <color theme="1"/>
        <rFont val="Times New Roman"/>
        <family val="1"/>
        <charset val="186"/>
      </rPr>
      <t xml:space="preserve"> euro</t>
    </r>
  </si>
  <si>
    <t>Finansējums atvaļinājuma pabalstam 40 % apmērā euro</t>
  </si>
  <si>
    <t>Nepieciešamais finansējums atvaļinājuma pabalstu nodrošināšanai 40 % apmērā euro</t>
  </si>
  <si>
    <t>Automobiļa vadītājs</t>
  </si>
  <si>
    <t>Vadības palīgs, vecākais referents</t>
  </si>
  <si>
    <t>Vecākais lietvedis</t>
  </si>
  <si>
    <t>Vecākais referents</t>
  </si>
  <si>
    <t>Vecākais referents, eksperts, grāmatvedis</t>
  </si>
  <si>
    <t>Vecākais eksperts, referents, grāmatvedis, nodaļas vadītāja vietnieks, datorsistēmu un datortīkla administrators, kvalitātes vadītājs</t>
  </si>
  <si>
    <t>Ministra padomnieks, vecākais referents, nodaļas projektu vadītājs, preses sekretārs, sabiedrisko attiecību preses sekretārs</t>
  </si>
  <si>
    <t>Vecākais eksperts, juriskonsults</t>
  </si>
  <si>
    <t>Departamenta direktors, direktora vietnieks, vecākais eksperts, referents, nodaļas vadītājs</t>
  </si>
  <si>
    <t>Nodaļas vadītāja vietnieks, vecākais eksperts</t>
  </si>
  <si>
    <t>Departamenta direktors, vietnieks, nodaļas vadītājs</t>
  </si>
  <si>
    <t xml:space="preserve">Departamenta direktors, ministra biroja vadītājs </t>
  </si>
  <si>
    <t>Valsts sekretāra vietnieks</t>
  </si>
  <si>
    <t>Valsts sekretārs</t>
  </si>
  <si>
    <t xml:space="preserve">Kopā: </t>
  </si>
  <si>
    <t>Nepieciešamais finansējums mēnešalgu un atvaļinājuma pabalstu pieaugumam:</t>
  </si>
  <si>
    <t>Kopā darba samaksas izmaiņām nepieciešams finansējums - plānotie izdevumi kopā:</t>
  </si>
  <si>
    <t>Veselības ministrijai piešķirtā finansējuma 10 milj. euro apmērā valsts un pašvaldību ārstniecības iestādēs nodarbināto ārstniecības personu un pārējo valsts un pašvaldību ārstniecības iestādēs nodarbināto darba samaksas paaugstināšanai  integrēšana tarifos</t>
  </si>
  <si>
    <t>Piešķirtais finansējums minimālās algas palielināšanai  līdz 430 euro - finansējums valsts apmaksāto veselības aprūpes pakalpojumu sniegšanai</t>
  </si>
  <si>
    <t>Piešķirtais finansējums pagarinātajam darba laikam euro - integrēšanai tarifos</t>
  </si>
  <si>
    <t>Veselības ministrijas padotības iestādēs strādājošo atlīdzības palielinājuma aprēķins</t>
  </si>
  <si>
    <t>Ārstniecības personu un pārējā personāla zemāko mēnešalgu izmaiņas</t>
  </si>
  <si>
    <t xml:space="preserve">Veselības ministrijas plānotais mēnešalgas palielinājums (izlīdzināšana) un atvaļinājuma pabalsta pieaugums līdz 40 % no mēnešalgas no 2018.gada 1.janvāra </t>
  </si>
  <si>
    <t>Aktuālā informācija par ārstniecības personām</t>
  </si>
  <si>
    <t>Slodzes (strādājošo skaits normālā darba laika ietvaros)</t>
  </si>
  <si>
    <r>
      <t xml:space="preserve">Faktiskā mēnešalgas likme par           </t>
    </r>
    <r>
      <rPr>
        <u/>
        <sz val="9"/>
        <color indexed="8"/>
        <rFont val="Times New Roman"/>
        <family val="1"/>
      </rPr>
      <t>1 (vienu)</t>
    </r>
    <r>
      <rPr>
        <sz val="9"/>
        <color indexed="8"/>
        <rFont val="Times New Roman"/>
        <family val="1"/>
      </rPr>
      <t xml:space="preserve"> 
slodzi </t>
    </r>
  </si>
  <si>
    <t>Piemaksas</t>
  </si>
  <si>
    <r>
      <t>Faktiskā darba samaksa</t>
    </r>
    <r>
      <rPr>
        <sz val="9"/>
        <color indexed="8"/>
        <rFont val="Times New Roman"/>
        <family val="1"/>
      </rPr>
      <t xml:space="preserve"> (atalgojums par slodzi) mēnesī</t>
    </r>
  </si>
  <si>
    <t>Papildus līdzekļi darba samaksas pieaugumam visām slodzēm gadā, EUR</t>
  </si>
  <si>
    <t>Kopā ar 
sociālo nodokli 24,09%, 
EUR</t>
  </si>
  <si>
    <t>X</t>
  </si>
  <si>
    <t>Pašvaldību speciālajās pirmsskolas izglītības iestādēs, internātskolās, Izglītības iestāžu reģistrā reģistrētajos attīstības un rehabilitācijas centros un speciālajās internātskolās bērniem ar fiziskās un garīgās attīstības traucējumiem nodarbināto ārstniecības personu faktiskā darba samaksa par slodzi 2017.gadā un aprēķins algu pieaugumam 2018.gadā</t>
  </si>
  <si>
    <t xml:space="preserve">Darba samaksas pieaugums mēnesī 
</t>
  </si>
  <si>
    <t>62. Mērķdotācijas pašvaldībām (papildus aprēķins - pielikuma turpinājumā)</t>
  </si>
  <si>
    <t>62.resors_Pašvaldības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</si>
</sst>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000"/>
    <numFmt numFmtId="167" formatCode="_-* #,##0_-;\-* #,##0_-;_-* &quot;-&quot;??_-;_-@_-"/>
    <numFmt numFmtId="168" formatCode="#,##0.000"/>
  </numFmts>
  <fonts count="57" x14ac:knownFonts="1">
    <font>
      <sz val="11"/>
      <color theme="1"/>
      <name val="Calibri"/>
      <family val="2"/>
      <charset val="186"/>
      <scheme val="minor"/>
    </font>
    <font>
      <sz val="11"/>
      <color theme="1"/>
      <name val="Calibri"/>
      <family val="2"/>
      <charset val="186"/>
      <scheme val="minor"/>
    </font>
    <font>
      <sz val="11"/>
      <color theme="1"/>
      <name val="Calibri"/>
      <family val="2"/>
      <charset val="186"/>
    </font>
    <font>
      <sz val="10"/>
      <name val="Arial"/>
      <family val="2"/>
      <charset val="186"/>
    </font>
    <font>
      <sz val="10"/>
      <name val="Times New Roman"/>
      <family val="1"/>
      <charset val="186"/>
    </font>
    <font>
      <b/>
      <sz val="10"/>
      <name val="Times New Roman"/>
      <family val="1"/>
      <charset val="186"/>
    </font>
    <font>
      <sz val="12"/>
      <color theme="1"/>
      <name val="Times New Roman"/>
      <family val="2"/>
      <charset val="186"/>
    </font>
    <font>
      <sz val="11"/>
      <color indexed="8"/>
      <name val="Calibri"/>
      <family val="2"/>
      <charset val="186"/>
    </font>
    <font>
      <sz val="10"/>
      <color theme="1"/>
      <name val="Times New Roman"/>
      <family val="1"/>
    </font>
    <font>
      <b/>
      <sz val="12"/>
      <name val="Times New Roman"/>
      <family val="1"/>
    </font>
    <font>
      <b/>
      <sz val="11"/>
      <name val="Times New Roman"/>
      <family val="1"/>
    </font>
    <font>
      <sz val="11"/>
      <name val="Times New Roman"/>
      <family val="1"/>
    </font>
    <font>
      <b/>
      <sz val="10"/>
      <name val="Times New Roman"/>
      <family val="1"/>
    </font>
    <font>
      <sz val="10"/>
      <color indexed="8"/>
      <name val="MS Sans Serif"/>
      <family val="2"/>
      <charset val="186"/>
    </font>
    <font>
      <sz val="11"/>
      <color theme="1"/>
      <name val="Times New Roman"/>
      <family val="1"/>
    </font>
    <font>
      <sz val="9"/>
      <name val="Times New Roman"/>
      <family val="1"/>
      <charset val="186"/>
    </font>
    <font>
      <i/>
      <sz val="10"/>
      <name val="Times New Roman"/>
      <family val="1"/>
    </font>
    <font>
      <sz val="10"/>
      <name val="Times New Roman"/>
      <family val="1"/>
    </font>
    <font>
      <sz val="10"/>
      <name val="Arial"/>
      <family val="2"/>
    </font>
    <font>
      <sz val="8"/>
      <name val="Times New Roman"/>
      <family val="1"/>
      <charset val="186"/>
    </font>
    <font>
      <sz val="9"/>
      <name val="Times New Roman"/>
      <family val="1"/>
    </font>
    <font>
      <b/>
      <sz val="9"/>
      <name val="Times New Roman"/>
      <family val="1"/>
    </font>
    <font>
      <b/>
      <i/>
      <sz val="10"/>
      <name val="Times New Roman"/>
      <family val="1"/>
    </font>
    <font>
      <sz val="10"/>
      <name val="Calibri"/>
      <family val="2"/>
      <charset val="186"/>
      <scheme val="minor"/>
    </font>
    <font>
      <u/>
      <sz val="11"/>
      <color theme="10"/>
      <name val="Calibri"/>
      <family val="2"/>
      <charset val="186"/>
      <scheme val="minor"/>
    </font>
    <font>
      <sz val="14"/>
      <color theme="1"/>
      <name val="Times New Roman"/>
      <family val="1"/>
    </font>
    <font>
      <sz val="12"/>
      <name val="Times New Roman"/>
      <family val="1"/>
    </font>
    <font>
      <sz val="8"/>
      <name val="Times New Roman"/>
      <family val="1"/>
    </font>
    <font>
      <i/>
      <sz val="11"/>
      <name val="Times New Roman"/>
      <family val="1"/>
    </font>
    <font>
      <b/>
      <i/>
      <sz val="11"/>
      <name val="Times New Roman"/>
      <family val="1"/>
    </font>
    <font>
      <b/>
      <sz val="9"/>
      <name val="Times New Roman"/>
      <family val="1"/>
      <charset val="186"/>
    </font>
    <font>
      <sz val="10"/>
      <color theme="1"/>
      <name val="Times New Roman"/>
      <family val="1"/>
      <charset val="186"/>
    </font>
    <font>
      <sz val="12"/>
      <name val="Times New Roman"/>
      <family val="1"/>
      <charset val="186"/>
    </font>
    <font>
      <sz val="11"/>
      <color theme="1"/>
      <name val="Times New Roman"/>
      <family val="1"/>
      <charset val="186"/>
    </font>
    <font>
      <sz val="11"/>
      <name val="Times New Roman"/>
      <family val="1"/>
      <charset val="186"/>
    </font>
    <font>
      <i/>
      <sz val="10"/>
      <name val="Times New Roman"/>
      <family val="1"/>
      <charset val="186"/>
    </font>
    <font>
      <i/>
      <sz val="11"/>
      <name val="Times New Roman"/>
      <family val="1"/>
      <charset val="186"/>
    </font>
    <font>
      <i/>
      <sz val="10"/>
      <color theme="1"/>
      <name val="Times New Roman"/>
      <family val="1"/>
      <charset val="186"/>
    </font>
    <font>
      <sz val="9"/>
      <color theme="1"/>
      <name val="Times New Roman"/>
      <family val="1"/>
      <charset val="186"/>
    </font>
    <font>
      <b/>
      <sz val="12"/>
      <name val="Times New Roman"/>
      <family val="1"/>
      <charset val="186"/>
    </font>
    <font>
      <b/>
      <sz val="11"/>
      <name val="Times New Roman"/>
      <family val="1"/>
      <charset val="186"/>
    </font>
    <font>
      <b/>
      <sz val="7"/>
      <name val="Times New Roman"/>
      <family val="1"/>
      <charset val="186"/>
    </font>
    <font>
      <sz val="11"/>
      <name val="Calibri"/>
      <family val="2"/>
      <charset val="186"/>
      <scheme val="minor"/>
    </font>
    <font>
      <b/>
      <u/>
      <sz val="11"/>
      <name val="Times New Roman"/>
      <family val="1"/>
      <charset val="186"/>
    </font>
    <font>
      <b/>
      <sz val="11"/>
      <color theme="1"/>
      <name val="Times New Roman"/>
      <family val="1"/>
      <charset val="186"/>
    </font>
    <font>
      <b/>
      <sz val="10"/>
      <color theme="1"/>
      <name val="Times New Roman"/>
      <family val="1"/>
      <charset val="186"/>
    </font>
    <font>
      <b/>
      <i/>
      <sz val="12"/>
      <name val="Times New Roman"/>
      <family val="1"/>
    </font>
    <font>
      <sz val="12"/>
      <color theme="1"/>
      <name val="Calibri"/>
      <family val="2"/>
      <charset val="186"/>
      <scheme val="minor"/>
    </font>
    <font>
      <b/>
      <u/>
      <sz val="12"/>
      <name val="Times New Roman"/>
      <family val="1"/>
      <charset val="186"/>
    </font>
    <font>
      <b/>
      <sz val="12"/>
      <color theme="1"/>
      <name val="Times New Roman"/>
      <family val="1"/>
      <charset val="186"/>
    </font>
    <font>
      <b/>
      <u/>
      <sz val="12"/>
      <color theme="1"/>
      <name val="Times New Roman"/>
      <family val="1"/>
      <charset val="186"/>
    </font>
    <font>
      <b/>
      <u/>
      <sz val="12"/>
      <name val="Times New Roman"/>
      <family val="1"/>
    </font>
    <font>
      <sz val="9"/>
      <color theme="1"/>
      <name val="Times New Roman"/>
      <family val="1"/>
    </font>
    <font>
      <u/>
      <sz val="9"/>
      <color indexed="8"/>
      <name val="Times New Roman"/>
      <family val="1"/>
    </font>
    <font>
      <sz val="9"/>
      <color indexed="8"/>
      <name val="Times New Roman"/>
      <family val="1"/>
    </font>
    <font>
      <sz val="8"/>
      <color theme="1"/>
      <name val="Times New Roman"/>
      <family val="1"/>
    </font>
    <font>
      <b/>
      <sz val="11"/>
      <color theme="1"/>
      <name val="Times New Roman"/>
      <family val="1"/>
    </font>
  </fonts>
  <fills count="2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indexed="13"/>
        <bgColor indexed="34"/>
      </patternFill>
    </fill>
    <fill>
      <patternFill patternType="solid">
        <fgColor indexed="22"/>
        <bgColor indexed="31"/>
      </patternFill>
    </fill>
    <fill>
      <patternFill patternType="solid">
        <fgColor theme="0" tint="-0.249977111117893"/>
        <bgColor indexed="64"/>
      </patternFill>
    </fill>
    <fill>
      <patternFill patternType="solid">
        <fgColor theme="5" tint="0.79998168889431442"/>
        <bgColor indexed="26"/>
      </patternFill>
    </fill>
    <fill>
      <patternFill patternType="solid">
        <fgColor indexed="9"/>
        <bgColor indexed="26"/>
      </patternFill>
    </fill>
    <fill>
      <patternFill patternType="solid">
        <fgColor theme="4" tint="0.79998168889431442"/>
        <bgColor indexed="26"/>
      </patternFill>
    </fill>
    <fill>
      <patternFill patternType="solid">
        <fgColor theme="4" tint="0.59999389629810485"/>
        <bgColor indexed="26"/>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D685"/>
        <bgColor indexed="64"/>
      </patternFill>
    </fill>
    <fill>
      <patternFill patternType="solid">
        <fgColor rgb="FFFFCC66"/>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FF"/>
        <bgColor indexed="64"/>
      </patternFill>
    </fill>
  </fills>
  <borders count="117">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top style="thin">
        <color indexed="64"/>
      </top>
      <bottom style="thin">
        <color indexed="64"/>
      </bottom>
      <diagonal/>
    </border>
    <border>
      <left/>
      <right style="medium">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right style="medium">
        <color indexed="64"/>
      </right>
      <top/>
      <bottom style="thin">
        <color indexed="8"/>
      </bottom>
      <diagonal/>
    </border>
    <border>
      <left/>
      <right style="medium">
        <color indexed="64"/>
      </right>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right style="thin">
        <color indexed="8"/>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8"/>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bottom/>
      <diagonal/>
    </border>
    <border>
      <left style="thin">
        <color indexed="8"/>
      </left>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8"/>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style="thin">
        <color indexed="8"/>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2">
    <xf numFmtId="0" fontId="0" fillId="0" borderId="0"/>
    <xf numFmtId="0" fontId="2" fillId="0" borderId="0"/>
    <xf numFmtId="0" fontId="3" fillId="0" borderId="0"/>
    <xf numFmtId="0" fontId="2"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6" fillId="0" borderId="0"/>
    <xf numFmtId="0" fontId="1" fillId="0" borderId="0"/>
    <xf numFmtId="0" fontId="1" fillId="0" borderId="0"/>
    <xf numFmtId="0" fontId="7" fillId="0" borderId="0"/>
    <xf numFmtId="0" fontId="13" fillId="0" borderId="0"/>
    <xf numFmtId="0" fontId="18" fillId="0" borderId="0"/>
    <xf numFmtId="0" fontId="24" fillId="0" borderId="0" applyNumberFormat="0" applyFill="0" applyBorder="0" applyAlignment="0" applyProtection="0"/>
    <xf numFmtId="43" fontId="1" fillId="0" borderId="0" applyFont="0" applyFill="0" applyBorder="0" applyAlignment="0" applyProtection="0"/>
  </cellStyleXfs>
  <cellXfs count="1057">
    <xf numFmtId="0" fontId="0" fillId="0" borderId="0" xfId="0"/>
    <xf numFmtId="0" fontId="8"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center" vertical="center"/>
    </xf>
    <xf numFmtId="2" fontId="4" fillId="0" borderId="20" xfId="0" applyNumberFormat="1" applyFont="1" applyFill="1" applyBorder="1" applyAlignment="1">
      <alignment horizontal="center" vertical="center"/>
    </xf>
    <xf numFmtId="2" fontId="12" fillId="14" borderId="20" xfId="17" applyNumberFormat="1" applyFont="1" applyFill="1" applyBorder="1" applyAlignment="1">
      <alignment horizontal="center" vertical="center"/>
    </xf>
    <xf numFmtId="2" fontId="12" fillId="2" borderId="20" xfId="0" applyNumberFormat="1" applyFont="1" applyFill="1" applyBorder="1" applyAlignment="1">
      <alignment horizontal="center" vertical="center"/>
    </xf>
    <xf numFmtId="2" fontId="4" fillId="0" borderId="34" xfId="0" applyNumberFormat="1" applyFont="1" applyFill="1" applyBorder="1" applyAlignment="1">
      <alignment horizontal="center" vertical="center"/>
    </xf>
    <xf numFmtId="2" fontId="12" fillId="14" borderId="1" xfId="17" applyNumberFormat="1" applyFont="1" applyFill="1" applyBorder="1" applyAlignment="1">
      <alignment horizontal="center" vertical="center"/>
    </xf>
    <xf numFmtId="2" fontId="12" fillId="2" borderId="1" xfId="0" applyNumberFormat="1" applyFont="1" applyFill="1" applyBorder="1" applyAlignment="1">
      <alignment horizontal="center" vertical="center"/>
    </xf>
    <xf numFmtId="0" fontId="8" fillId="0" borderId="0" xfId="0" applyFont="1" applyAlignment="1">
      <alignment vertical="center"/>
    </xf>
    <xf numFmtId="2" fontId="16" fillId="0" borderId="73" xfId="0" applyNumberFormat="1" applyFont="1" applyFill="1" applyBorder="1" applyAlignment="1">
      <alignment horizontal="center" vertical="center"/>
    </xf>
    <xf numFmtId="1" fontId="5" fillId="10" borderId="0" xfId="17" applyNumberFormat="1" applyFont="1" applyFill="1" applyBorder="1" applyAlignment="1">
      <alignment horizontal="center" vertical="center"/>
    </xf>
    <xf numFmtId="2" fontId="17" fillId="0" borderId="20" xfId="0" applyNumberFormat="1" applyFont="1" applyBorder="1" applyAlignment="1">
      <alignment horizontal="center" vertical="center"/>
    </xf>
    <xf numFmtId="2" fontId="16" fillId="0" borderId="20" xfId="0" applyNumberFormat="1" applyFont="1" applyFill="1" applyBorder="1" applyAlignment="1">
      <alignment horizontal="center" vertical="center"/>
    </xf>
    <xf numFmtId="2" fontId="12" fillId="0" borderId="36" xfId="0" applyNumberFormat="1" applyFont="1" applyFill="1" applyBorder="1" applyAlignment="1">
      <alignment horizontal="center" vertical="center"/>
    </xf>
    <xf numFmtId="2" fontId="12" fillId="0" borderId="20"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17" fillId="0" borderId="34" xfId="0" applyFont="1" applyFill="1" applyBorder="1" applyAlignment="1">
      <alignment vertical="center"/>
    </xf>
    <xf numFmtId="0" fontId="17" fillId="0" borderId="20" xfId="0" applyFont="1" applyFill="1" applyBorder="1" applyAlignment="1">
      <alignment horizontal="center" vertical="center"/>
    </xf>
    <xf numFmtId="2" fontId="17" fillId="0" borderId="20" xfId="0" applyNumberFormat="1" applyFont="1" applyFill="1" applyBorder="1" applyAlignment="1">
      <alignment horizontal="center" vertical="center"/>
    </xf>
    <xf numFmtId="0" fontId="17" fillId="0" borderId="20" xfId="0" applyFont="1" applyBorder="1" applyAlignment="1">
      <alignment horizontal="center" vertical="center"/>
    </xf>
    <xf numFmtId="0" fontId="17" fillId="0" borderId="34" xfId="0" applyFont="1" applyBorder="1" applyAlignment="1">
      <alignment vertical="center" wrapText="1"/>
    </xf>
    <xf numFmtId="0" fontId="17" fillId="0" borderId="34" xfId="0" applyFont="1" applyBorder="1" applyAlignment="1">
      <alignment vertical="center"/>
    </xf>
    <xf numFmtId="0" fontId="17" fillId="18" borderId="34" xfId="0" applyFont="1" applyFill="1" applyBorder="1" applyAlignment="1">
      <alignment vertical="center"/>
    </xf>
    <xf numFmtId="0" fontId="17" fillId="0" borderId="34" xfId="0" applyFont="1" applyFill="1" applyBorder="1" applyAlignment="1">
      <alignment vertical="center" wrapText="1"/>
    </xf>
    <xf numFmtId="0" fontId="17" fillId="18" borderId="34" xfId="0" applyFont="1" applyFill="1" applyBorder="1" applyAlignment="1">
      <alignment vertical="center" wrapText="1"/>
    </xf>
    <xf numFmtId="0" fontId="12" fillId="0" borderId="68" xfId="0" applyFont="1" applyBorder="1" applyAlignment="1">
      <alignment horizontal="center" vertical="center"/>
    </xf>
    <xf numFmtId="16" fontId="12" fillId="0" borderId="69" xfId="0" quotePrefix="1" applyNumberFormat="1" applyFont="1" applyBorder="1" applyAlignment="1">
      <alignment horizontal="center" vertical="center"/>
    </xf>
    <xf numFmtId="0" fontId="12" fillId="0" borderId="69" xfId="0" applyFont="1" applyBorder="1" applyAlignment="1">
      <alignment horizontal="center" vertical="center"/>
    </xf>
    <xf numFmtId="1" fontId="12" fillId="0" borderId="69" xfId="0" applyNumberFormat="1" applyFont="1" applyBorder="1" applyAlignment="1">
      <alignment horizontal="center" vertical="center"/>
    </xf>
    <xf numFmtId="2" fontId="12" fillId="0" borderId="69" xfId="0" applyNumberFormat="1" applyFont="1" applyBorder="1" applyAlignment="1">
      <alignment horizontal="center" vertical="center"/>
    </xf>
    <xf numFmtId="2" fontId="16" fillId="0" borderId="40" xfId="0" applyNumberFormat="1" applyFont="1" applyFill="1" applyBorder="1" applyAlignment="1">
      <alignment horizontal="center" vertical="center"/>
    </xf>
    <xf numFmtId="1" fontId="5" fillId="10" borderId="14" xfId="17" applyNumberFormat="1" applyFont="1" applyFill="1" applyBorder="1" applyAlignment="1">
      <alignment horizontal="center" vertical="center"/>
    </xf>
    <xf numFmtId="2" fontId="16" fillId="0" borderId="82" xfId="0" applyNumberFormat="1" applyFont="1" applyFill="1" applyBorder="1" applyAlignment="1">
      <alignment horizontal="center" vertical="center"/>
    </xf>
    <xf numFmtId="0" fontId="17" fillId="0" borderId="34" xfId="0" applyFont="1" applyFill="1" applyBorder="1" applyAlignment="1" applyProtection="1">
      <alignment vertical="center" wrapText="1"/>
      <protection locked="0"/>
    </xf>
    <xf numFmtId="49" fontId="17" fillId="0" borderId="20" xfId="0" applyNumberFormat="1" applyFont="1" applyFill="1" applyBorder="1" applyAlignment="1" applyProtection="1">
      <alignment horizontal="center" vertical="center"/>
      <protection locked="0"/>
    </xf>
    <xf numFmtId="1" fontId="17" fillId="0" borderId="20" xfId="0" applyNumberFormat="1" applyFont="1" applyFill="1" applyBorder="1" applyAlignment="1" applyProtection="1">
      <alignment horizontal="center" vertical="center"/>
      <protection locked="0"/>
    </xf>
    <xf numFmtId="0" fontId="17" fillId="0" borderId="34" xfId="0" applyFont="1" applyFill="1" applyBorder="1" applyAlignment="1" applyProtection="1">
      <alignment vertical="center"/>
      <protection locked="0"/>
    </xf>
    <xf numFmtId="3" fontId="17" fillId="0" borderId="20" xfId="0" applyNumberFormat="1" applyFont="1" applyFill="1" applyBorder="1" applyAlignment="1" applyProtection="1">
      <alignment horizontal="center" vertical="center"/>
      <protection locked="0"/>
    </xf>
    <xf numFmtId="0" fontId="17" fillId="0" borderId="20" xfId="0" quotePrefix="1" applyFont="1" applyBorder="1" applyAlignment="1">
      <alignment horizontal="center" vertical="center"/>
    </xf>
    <xf numFmtId="1" fontId="17" fillId="5" borderId="20" xfId="0" applyNumberFormat="1" applyFont="1" applyFill="1" applyBorder="1" applyAlignment="1">
      <alignment horizontal="center" vertical="center"/>
    </xf>
    <xf numFmtId="2" fontId="16" fillId="0" borderId="14" xfId="0" applyNumberFormat="1" applyFont="1" applyFill="1" applyBorder="1" applyAlignment="1">
      <alignment horizontal="center" vertical="center"/>
    </xf>
    <xf numFmtId="1" fontId="5" fillId="10" borderId="40" xfId="17" applyNumberFormat="1" applyFont="1" applyFill="1" applyBorder="1" applyAlignment="1">
      <alignment horizontal="center" vertical="center"/>
    </xf>
    <xf numFmtId="2" fontId="16" fillId="0" borderId="72"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5" fillId="10" borderId="14" xfId="17" applyNumberFormat="1" applyFont="1" applyFill="1" applyBorder="1" applyAlignment="1">
      <alignment horizontal="center" vertical="center"/>
    </xf>
    <xf numFmtId="2" fontId="12" fillId="14" borderId="69" xfId="17" applyNumberFormat="1" applyFont="1" applyFill="1" applyBorder="1" applyAlignment="1">
      <alignment horizontal="center" vertical="center"/>
    </xf>
    <xf numFmtId="2" fontId="12" fillId="2" borderId="69" xfId="0" applyNumberFormat="1" applyFont="1" applyFill="1" applyBorder="1" applyAlignment="1">
      <alignment horizontal="center" vertical="center"/>
    </xf>
    <xf numFmtId="0" fontId="17" fillId="0" borderId="0" xfId="0" applyFont="1" applyAlignment="1">
      <alignment vertical="center"/>
    </xf>
    <xf numFmtId="0" fontId="17" fillId="0" borderId="0" xfId="0" applyFont="1" applyFill="1" applyBorder="1" applyAlignment="1">
      <alignment vertical="center"/>
    </xf>
    <xf numFmtId="0" fontId="12" fillId="0" borderId="0" xfId="0" applyFont="1" applyAlignment="1">
      <alignment vertical="center"/>
    </xf>
    <xf numFmtId="0" fontId="12" fillId="2" borderId="34" xfId="17" applyFont="1" applyFill="1" applyBorder="1" applyAlignment="1">
      <alignment horizontal="right" vertical="center" wrapText="1"/>
    </xf>
    <xf numFmtId="49" fontId="12" fillId="2" borderId="20" xfId="17" applyNumberFormat="1" applyFont="1" applyFill="1" applyBorder="1" applyAlignment="1">
      <alignment horizontal="center" vertical="center"/>
    </xf>
    <xf numFmtId="49" fontId="12" fillId="2" borderId="35" xfId="17" applyNumberFormat="1" applyFont="1" applyFill="1" applyBorder="1" applyAlignment="1">
      <alignment horizontal="center" vertical="center"/>
    </xf>
    <xf numFmtId="1" fontId="12" fillId="14" borderId="20" xfId="17" applyNumberFormat="1" applyFont="1" applyFill="1" applyBorder="1" applyAlignment="1">
      <alignment horizontal="center" vertical="center"/>
    </xf>
    <xf numFmtId="4" fontId="12" fillId="2" borderId="20" xfId="0" applyNumberFormat="1" applyFont="1" applyFill="1" applyBorder="1" applyAlignment="1">
      <alignment horizontal="center" vertical="center"/>
    </xf>
    <xf numFmtId="4" fontId="12" fillId="2" borderId="36" xfId="17" applyNumberFormat="1" applyFont="1" applyFill="1" applyBorder="1" applyAlignment="1">
      <alignment horizontal="center" vertical="center"/>
    </xf>
    <xf numFmtId="4" fontId="12" fillId="2" borderId="20" xfId="17" applyNumberFormat="1" applyFont="1" applyFill="1" applyBorder="1" applyAlignment="1">
      <alignment horizontal="center" vertical="center"/>
    </xf>
    <xf numFmtId="3" fontId="12" fillId="2" borderId="20" xfId="0" applyNumberFormat="1" applyFont="1" applyFill="1" applyBorder="1" applyAlignment="1">
      <alignment horizontal="right" vertical="center"/>
    </xf>
    <xf numFmtId="3" fontId="12" fillId="2" borderId="22" xfId="0" applyNumberFormat="1" applyFont="1" applyFill="1" applyBorder="1" applyAlignment="1">
      <alignment horizontal="right" vertical="center"/>
    </xf>
    <xf numFmtId="0" fontId="17" fillId="0" borderId="0" xfId="0" applyFont="1" applyBorder="1" applyAlignment="1">
      <alignment vertical="center"/>
    </xf>
    <xf numFmtId="49" fontId="17" fillId="0" borderId="20" xfId="0" applyNumberFormat="1" applyFont="1" applyBorder="1" applyAlignment="1">
      <alignment horizontal="center" vertical="center"/>
    </xf>
    <xf numFmtId="0" fontId="17" fillId="0" borderId="0" xfId="0" applyFont="1"/>
    <xf numFmtId="4" fontId="12" fillId="2" borderId="34" xfId="17" applyNumberFormat="1" applyFont="1" applyFill="1" applyBorder="1" applyAlignment="1">
      <alignment horizontal="center" vertical="center"/>
    </xf>
    <xf numFmtId="0" fontId="12" fillId="0" borderId="0" xfId="0" applyFont="1" applyAlignment="1">
      <alignment horizontal="center"/>
    </xf>
    <xf numFmtId="165" fontId="12" fillId="2" borderId="22" xfId="17" applyNumberFormat="1" applyFont="1" applyFill="1" applyBorder="1" applyAlignment="1">
      <alignment horizontal="center" vertical="center"/>
    </xf>
    <xf numFmtId="49" fontId="12" fillId="2" borderId="1" xfId="17" applyNumberFormat="1" applyFont="1" applyFill="1" applyBorder="1" applyAlignment="1">
      <alignment horizontal="center" vertical="center"/>
    </xf>
    <xf numFmtId="1" fontId="12" fillId="14" borderId="1" xfId="17"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4" fontId="12" fillId="2" borderId="67" xfId="17" applyNumberFormat="1" applyFont="1" applyFill="1" applyBorder="1" applyAlignment="1">
      <alignment horizontal="center" vertical="center"/>
    </xf>
    <xf numFmtId="4" fontId="12" fillId="2" borderId="1" xfId="17" applyNumberFormat="1" applyFont="1" applyFill="1" applyBorder="1" applyAlignment="1">
      <alignment horizontal="center" vertical="center"/>
    </xf>
    <xf numFmtId="3" fontId="12" fillId="2" borderId="1" xfId="0" applyNumberFormat="1" applyFont="1" applyFill="1" applyBorder="1" applyAlignment="1">
      <alignment horizontal="right" vertical="center"/>
    </xf>
    <xf numFmtId="3" fontId="12" fillId="2" borderId="64" xfId="0" applyNumberFormat="1" applyFont="1" applyFill="1" applyBorder="1" applyAlignment="1">
      <alignment horizontal="right" vertical="center"/>
    </xf>
    <xf numFmtId="1" fontId="12" fillId="17" borderId="69" xfId="0" applyNumberFormat="1" applyFont="1" applyFill="1" applyBorder="1" applyAlignment="1">
      <alignment horizontal="center" vertical="center"/>
    </xf>
    <xf numFmtId="2" fontId="12" fillId="17" borderId="69" xfId="0" applyNumberFormat="1" applyFont="1" applyFill="1" applyBorder="1" applyAlignment="1">
      <alignment horizontal="center" vertical="center"/>
    </xf>
    <xf numFmtId="3" fontId="12" fillId="17" borderId="69" xfId="0" applyNumberFormat="1" applyFont="1" applyFill="1" applyBorder="1" applyAlignment="1">
      <alignment horizontal="right" vertical="center"/>
    </xf>
    <xf numFmtId="3" fontId="12" fillId="17" borderId="70" xfId="0" applyNumberFormat="1" applyFont="1" applyFill="1" applyBorder="1" applyAlignment="1">
      <alignment horizontal="right" vertical="center"/>
    </xf>
    <xf numFmtId="1" fontId="17" fillId="0" borderId="0" xfId="0" applyNumberFormat="1" applyFont="1" applyAlignment="1">
      <alignment vertical="center"/>
    </xf>
    <xf numFmtId="2" fontId="17" fillId="0" borderId="0" xfId="0" applyNumberFormat="1" applyFont="1" applyAlignment="1">
      <alignment vertical="center"/>
    </xf>
    <xf numFmtId="165" fontId="17" fillId="0" borderId="0" xfId="0" applyNumberFormat="1" applyFont="1" applyAlignment="1">
      <alignment vertical="center"/>
    </xf>
    <xf numFmtId="0" fontId="12" fillId="0" borderId="0" xfId="0" applyFont="1" applyAlignment="1">
      <alignment horizontal="right"/>
    </xf>
    <xf numFmtId="0" fontId="9" fillId="0" borderId="0" xfId="0" applyFont="1"/>
    <xf numFmtId="0" fontId="9" fillId="0" borderId="0" xfId="0" applyFont="1" applyAlignment="1">
      <alignment horizontal="right"/>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20" fillId="0" borderId="0" xfId="0" applyFont="1" applyAlignment="1">
      <alignment horizontal="center"/>
    </xf>
    <xf numFmtId="0" fontId="20" fillId="8" borderId="5" xfId="0" applyFont="1" applyFill="1" applyBorder="1" applyAlignment="1">
      <alignment horizontal="center" vertical="center"/>
    </xf>
    <xf numFmtId="0" fontId="20" fillId="8" borderId="6" xfId="0" applyFont="1" applyFill="1" applyBorder="1" applyAlignment="1">
      <alignment horizontal="center" vertical="center" wrapText="1"/>
    </xf>
    <xf numFmtId="1" fontId="20" fillId="5" borderId="6" xfId="0" applyNumberFormat="1" applyFont="1" applyFill="1" applyBorder="1" applyAlignment="1">
      <alignment horizontal="center" vertical="center" wrapText="1"/>
    </xf>
    <xf numFmtId="2" fontId="20" fillId="8" borderId="6" xfId="0" applyNumberFormat="1" applyFont="1" applyFill="1" applyBorder="1" applyAlignment="1">
      <alignment horizontal="center" vertical="center" wrapText="1"/>
    </xf>
    <xf numFmtId="165" fontId="20" fillId="8" borderId="7" xfId="0" applyNumberFormat="1" applyFont="1" applyFill="1" applyBorder="1" applyAlignment="1">
      <alignment horizontal="center" vertical="center" wrapText="1"/>
    </xf>
    <xf numFmtId="3" fontId="20" fillId="8" borderId="6" xfId="0" applyNumberFormat="1" applyFont="1" applyFill="1" applyBorder="1" applyAlignment="1">
      <alignment horizontal="center" vertical="center" wrapText="1"/>
    </xf>
    <xf numFmtId="3" fontId="20" fillId="8" borderId="7" xfId="0" applyNumberFormat="1" applyFont="1" applyFill="1" applyBorder="1" applyAlignment="1">
      <alignment horizontal="center" vertical="center" wrapText="1"/>
    </xf>
    <xf numFmtId="0" fontId="21" fillId="0" borderId="0" xfId="0" applyFont="1" applyAlignment="1">
      <alignment horizontal="right"/>
    </xf>
    <xf numFmtId="0" fontId="17" fillId="21" borderId="3" xfId="0" applyFont="1" applyFill="1" applyBorder="1" applyAlignment="1">
      <alignment horizontal="left" vertical="center" indent="1"/>
    </xf>
    <xf numFmtId="0" fontId="17" fillId="21" borderId="4" xfId="0" applyFont="1" applyFill="1" applyBorder="1" applyAlignment="1">
      <alignment horizontal="left" vertical="center" indent="1"/>
    </xf>
    <xf numFmtId="0" fontId="16" fillId="0" borderId="0" xfId="0" applyFont="1"/>
    <xf numFmtId="0" fontId="22" fillId="16" borderId="72" xfId="0" applyFont="1" applyFill="1" applyBorder="1" applyAlignment="1">
      <alignment horizontal="left" vertical="center"/>
    </xf>
    <xf numFmtId="0" fontId="22" fillId="16" borderId="73" xfId="0" applyFont="1" applyFill="1" applyBorder="1" applyAlignment="1">
      <alignment horizontal="center" vertical="center" wrapText="1"/>
    </xf>
    <xf numFmtId="1" fontId="22" fillId="16" borderId="73" xfId="0" applyNumberFormat="1" applyFont="1" applyFill="1" applyBorder="1" applyAlignment="1">
      <alignment horizontal="center" vertical="center" wrapText="1"/>
    </xf>
    <xf numFmtId="2" fontId="22" fillId="16" borderId="73" xfId="0" applyNumberFormat="1" applyFont="1" applyFill="1" applyBorder="1" applyAlignment="1">
      <alignment horizontal="center" vertical="center" wrapText="1"/>
    </xf>
    <xf numFmtId="165" fontId="22" fillId="16" borderId="74" xfId="0" applyNumberFormat="1" applyFont="1" applyFill="1" applyBorder="1" applyAlignment="1">
      <alignment horizontal="center" vertical="center" wrapText="1"/>
    </xf>
    <xf numFmtId="4" fontId="16" fillId="0" borderId="78" xfId="17" applyNumberFormat="1" applyFont="1" applyFill="1" applyBorder="1" applyAlignment="1">
      <alignment horizontal="center" vertical="center"/>
    </xf>
    <xf numFmtId="4" fontId="16" fillId="0" borderId="73" xfId="0" applyNumberFormat="1" applyFont="1" applyFill="1" applyBorder="1" applyAlignment="1">
      <alignment horizontal="center" vertical="center"/>
    </xf>
    <xf numFmtId="3" fontId="16" fillId="0" borderId="73" xfId="0" applyNumberFormat="1" applyFont="1" applyFill="1" applyBorder="1" applyAlignment="1">
      <alignment horizontal="right" vertical="center"/>
    </xf>
    <xf numFmtId="3" fontId="16" fillId="0" borderId="74" xfId="0" applyNumberFormat="1" applyFont="1" applyFill="1" applyBorder="1" applyAlignment="1">
      <alignment horizontal="right" vertical="center"/>
    </xf>
    <xf numFmtId="0" fontId="22" fillId="0" borderId="0" xfId="0" applyFont="1" applyAlignment="1">
      <alignment horizontal="right"/>
    </xf>
    <xf numFmtId="0" fontId="4" fillId="0" borderId="0" xfId="0" applyFont="1" applyAlignment="1">
      <alignment vertical="center"/>
    </xf>
    <xf numFmtId="0" fontId="5" fillId="10" borderId="37" xfId="17" applyFont="1" applyFill="1" applyBorder="1" applyAlignment="1">
      <alignment vertical="center"/>
    </xf>
    <xf numFmtId="0" fontId="5" fillId="10" borderId="38" xfId="17" applyFont="1" applyFill="1" applyBorder="1" applyAlignment="1">
      <alignment horizontal="center" vertical="center"/>
    </xf>
    <xf numFmtId="2" fontId="5" fillId="10" borderId="38" xfId="17" applyNumberFormat="1" applyFont="1" applyFill="1" applyBorder="1" applyAlignment="1">
      <alignment horizontal="center" vertical="center"/>
    </xf>
    <xf numFmtId="2" fontId="4" fillId="10" borderId="39" xfId="17" applyNumberFormat="1" applyFont="1" applyFill="1" applyBorder="1" applyAlignment="1">
      <alignment horizontal="center" vertical="center"/>
    </xf>
    <xf numFmtId="165" fontId="5" fillId="11" borderId="79" xfId="0" applyNumberFormat="1" applyFont="1" applyFill="1" applyBorder="1" applyAlignment="1">
      <alignment horizontal="center" vertical="center"/>
    </xf>
    <xf numFmtId="2" fontId="5" fillId="10" borderId="67" xfId="17" applyNumberFormat="1" applyFont="1" applyFill="1" applyBorder="1" applyAlignment="1">
      <alignment horizontal="center" vertical="center"/>
    </xf>
    <xf numFmtId="0" fontId="4" fillId="10" borderId="39" xfId="17" applyFont="1" applyFill="1" applyBorder="1" applyAlignment="1">
      <alignment horizontal="center" vertical="center"/>
    </xf>
    <xf numFmtId="0" fontId="5" fillId="11" borderId="40" xfId="0" applyFont="1" applyFill="1" applyBorder="1" applyAlignment="1">
      <alignment horizontal="center" vertical="center"/>
    </xf>
    <xf numFmtId="0" fontId="4" fillId="10" borderId="29" xfId="17" applyFont="1" applyFill="1" applyBorder="1" applyAlignment="1">
      <alignment horizontal="center" vertical="center"/>
    </xf>
    <xf numFmtId="3" fontId="5" fillId="11" borderId="40" xfId="0" applyNumberFormat="1" applyFont="1" applyFill="1" applyBorder="1" applyAlignment="1">
      <alignment horizontal="right" vertical="center"/>
    </xf>
    <xf numFmtId="3" fontId="5" fillId="11" borderId="42" xfId="0" applyNumberFormat="1" applyFont="1" applyFill="1" applyBorder="1" applyAlignment="1">
      <alignment horizontal="right" vertical="center"/>
    </xf>
    <xf numFmtId="165" fontId="17" fillId="0" borderId="22" xfId="0" applyNumberFormat="1" applyFont="1" applyBorder="1" applyAlignment="1">
      <alignment horizontal="center" vertical="center"/>
    </xf>
    <xf numFmtId="4" fontId="4" fillId="0" borderId="80" xfId="17" applyNumberFormat="1" applyFont="1" applyFill="1" applyBorder="1" applyAlignment="1">
      <alignment horizontal="center" vertical="center"/>
    </xf>
    <xf numFmtId="4" fontId="4" fillId="0" borderId="20" xfId="0" applyNumberFormat="1" applyFont="1" applyFill="1" applyBorder="1" applyAlignment="1">
      <alignment horizontal="center" vertical="center"/>
    </xf>
    <xf numFmtId="3" fontId="4" fillId="0" borderId="20"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0" fontId="12" fillId="2" borderId="34" xfId="17" applyFont="1" applyFill="1" applyBorder="1" applyAlignment="1">
      <alignment horizontal="center" vertical="center" wrapText="1"/>
    </xf>
    <xf numFmtId="0" fontId="12" fillId="0" borderId="0" xfId="0" applyFont="1" applyAlignment="1">
      <alignment horizontal="right" vertical="center"/>
    </xf>
    <xf numFmtId="16" fontId="17" fillId="0" borderId="20" xfId="0" quotePrefix="1" applyNumberFormat="1" applyFont="1" applyBorder="1" applyAlignment="1">
      <alignment horizontal="center" vertical="center"/>
    </xf>
    <xf numFmtId="0" fontId="12" fillId="17" borderId="68" xfId="0" applyFont="1" applyFill="1" applyBorder="1" applyAlignment="1">
      <alignment horizontal="center" vertical="center"/>
    </xf>
    <xf numFmtId="0" fontId="12" fillId="17" borderId="69" xfId="0" applyFont="1" applyFill="1" applyBorder="1" applyAlignment="1">
      <alignment horizontal="center" vertical="center"/>
    </xf>
    <xf numFmtId="165" fontId="12" fillId="17" borderId="70" xfId="0" applyNumberFormat="1" applyFont="1" applyFill="1" applyBorder="1" applyAlignment="1">
      <alignment horizontal="center" vertical="center"/>
    </xf>
    <xf numFmtId="0" fontId="12" fillId="0" borderId="0" xfId="0" applyFont="1" applyFill="1" applyBorder="1" applyAlignment="1">
      <alignment horizontal="left" vertical="center"/>
    </xf>
    <xf numFmtId="4" fontId="16" fillId="0" borderId="80" xfId="17" applyNumberFormat="1" applyFont="1" applyFill="1" applyBorder="1" applyAlignment="1">
      <alignment horizontal="center" vertical="center"/>
    </xf>
    <xf numFmtId="4" fontId="16" fillId="0" borderId="20" xfId="0" applyNumberFormat="1" applyFont="1" applyFill="1" applyBorder="1" applyAlignment="1">
      <alignment horizontal="center" vertical="center"/>
    </xf>
    <xf numFmtId="3" fontId="16" fillId="0" borderId="20" xfId="0" applyNumberFormat="1" applyFont="1" applyFill="1" applyBorder="1" applyAlignment="1">
      <alignment horizontal="right" vertical="center"/>
    </xf>
    <xf numFmtId="3" fontId="16" fillId="0" borderId="22" xfId="0" applyNumberFormat="1" applyFont="1" applyFill="1" applyBorder="1" applyAlignment="1">
      <alignment horizontal="right" vertical="center"/>
    </xf>
    <xf numFmtId="0" fontId="17" fillId="0" borderId="63" xfId="0" applyFont="1" applyBorder="1" applyAlignment="1">
      <alignment vertical="center"/>
    </xf>
    <xf numFmtId="16" fontId="17" fillId="0" borderId="1" xfId="0" quotePrefix="1" applyNumberFormat="1" applyFont="1" applyBorder="1" applyAlignment="1">
      <alignment horizontal="center" vertical="center"/>
    </xf>
    <xf numFmtId="0" fontId="17" fillId="0" borderId="1" xfId="0" applyFont="1" applyBorder="1" applyAlignment="1">
      <alignment horizontal="center" vertical="center"/>
    </xf>
    <xf numFmtId="1" fontId="17" fillId="5" borderId="1" xfId="0" applyNumberFormat="1" applyFont="1" applyFill="1" applyBorder="1" applyAlignment="1">
      <alignment horizontal="center" vertical="center"/>
    </xf>
    <xf numFmtId="2" fontId="17" fillId="0" borderId="1" xfId="0" applyNumberFormat="1" applyFont="1" applyBorder="1" applyAlignment="1">
      <alignment horizontal="center" vertical="center"/>
    </xf>
    <xf numFmtId="165" fontId="17" fillId="0" borderId="64" xfId="0" applyNumberFormat="1" applyFont="1" applyBorder="1" applyAlignment="1">
      <alignment horizontal="center" vertical="center"/>
    </xf>
    <xf numFmtId="165" fontId="12" fillId="0" borderId="0" xfId="0" applyNumberFormat="1" applyFont="1" applyAlignment="1">
      <alignment horizontal="right"/>
    </xf>
    <xf numFmtId="0" fontId="12" fillId="0" borderId="0" xfId="0" applyFont="1"/>
    <xf numFmtId="0" fontId="12" fillId="0" borderId="34" xfId="0" applyFont="1" applyBorder="1" applyAlignment="1">
      <alignment horizontal="right" vertical="center"/>
    </xf>
    <xf numFmtId="0" fontId="12" fillId="0" borderId="20" xfId="0" quotePrefix="1" applyFont="1" applyBorder="1" applyAlignment="1">
      <alignment horizontal="center" vertical="center"/>
    </xf>
    <xf numFmtId="0" fontId="12" fillId="0" borderId="20" xfId="0" applyFont="1" applyBorder="1" applyAlignment="1">
      <alignment horizontal="center" vertical="center"/>
    </xf>
    <xf numFmtId="0" fontId="12" fillId="0" borderId="35" xfId="0" applyFont="1" applyBorder="1" applyAlignment="1">
      <alignment horizontal="center" vertical="center"/>
    </xf>
    <xf numFmtId="1" fontId="12" fillId="0" borderId="20" xfId="0" applyNumberFormat="1" applyFont="1" applyFill="1" applyBorder="1" applyAlignment="1">
      <alignment horizontal="center" vertical="center"/>
    </xf>
    <xf numFmtId="2" fontId="12" fillId="0" borderId="20" xfId="0" applyNumberFormat="1" applyFont="1" applyBorder="1" applyAlignment="1">
      <alignment horizontal="center" vertical="center"/>
    </xf>
    <xf numFmtId="165" fontId="12" fillId="0" borderId="22" xfId="0" applyNumberFormat="1" applyFont="1" applyBorder="1" applyAlignment="1">
      <alignment horizontal="center" vertical="center"/>
    </xf>
    <xf numFmtId="4" fontId="12" fillId="0" borderId="0" xfId="17" applyNumberFormat="1" applyFont="1" applyFill="1" applyBorder="1" applyAlignment="1">
      <alignment horizontal="center" vertical="center"/>
    </xf>
    <xf numFmtId="4" fontId="12" fillId="0" borderId="20" xfId="0" applyNumberFormat="1" applyFont="1" applyFill="1" applyBorder="1" applyAlignment="1">
      <alignment horizontal="center" vertical="center"/>
    </xf>
    <xf numFmtId="3" fontId="12" fillId="0" borderId="20" xfId="0" applyNumberFormat="1" applyFont="1" applyFill="1" applyBorder="1" applyAlignment="1">
      <alignment horizontal="right" vertical="center"/>
    </xf>
    <xf numFmtId="3" fontId="12" fillId="0" borderId="22" xfId="0" applyNumberFormat="1" applyFont="1" applyFill="1" applyBorder="1" applyAlignment="1">
      <alignment horizontal="right" vertical="center"/>
    </xf>
    <xf numFmtId="0" fontId="22" fillId="0" borderId="34" xfId="0" applyFont="1" applyBorder="1" applyAlignment="1">
      <alignment vertical="center"/>
    </xf>
    <xf numFmtId="16" fontId="16" fillId="0" borderId="20" xfId="0" quotePrefix="1" applyNumberFormat="1" applyFont="1" applyBorder="1" applyAlignment="1">
      <alignment horizontal="center" vertical="center"/>
    </xf>
    <xf numFmtId="0" fontId="16" fillId="0" borderId="20" xfId="0" applyFont="1" applyBorder="1" applyAlignment="1">
      <alignment horizontal="center" vertical="center"/>
    </xf>
    <xf numFmtId="1" fontId="16" fillId="0" borderId="20" xfId="0" applyNumberFormat="1" applyFont="1" applyFill="1" applyBorder="1" applyAlignment="1">
      <alignment horizontal="center" vertical="center"/>
    </xf>
    <xf numFmtId="2" fontId="16" fillId="0" borderId="20" xfId="0" applyNumberFormat="1" applyFont="1" applyBorder="1" applyAlignment="1">
      <alignment horizontal="center" vertical="center"/>
    </xf>
    <xf numFmtId="165" fontId="16" fillId="0" borderId="22" xfId="0" applyNumberFormat="1" applyFont="1" applyBorder="1" applyAlignment="1">
      <alignment horizontal="center" vertical="center"/>
    </xf>
    <xf numFmtId="0" fontId="16" fillId="0" borderId="20" xfId="0" quotePrefix="1" applyFont="1" applyBorder="1" applyAlignment="1">
      <alignment horizontal="center" vertical="center"/>
    </xf>
    <xf numFmtId="1" fontId="17" fillId="0" borderId="20" xfId="0" applyNumberFormat="1" applyFont="1" applyFill="1" applyBorder="1" applyAlignment="1">
      <alignment horizontal="center" vertical="center"/>
    </xf>
    <xf numFmtId="164" fontId="12" fillId="0" borderId="0" xfId="0" applyNumberFormat="1" applyFont="1" applyAlignment="1">
      <alignment horizontal="right"/>
    </xf>
    <xf numFmtId="0" fontId="12" fillId="2" borderId="34" xfId="17" applyFont="1" applyFill="1" applyBorder="1" applyAlignment="1">
      <alignment horizontal="left" vertical="center"/>
    </xf>
    <xf numFmtId="0" fontId="19" fillId="0" borderId="0" xfId="17" applyFont="1" applyBorder="1" applyAlignment="1">
      <alignment horizontal="left" vertical="center"/>
    </xf>
    <xf numFmtId="0" fontId="19" fillId="0" borderId="0" xfId="17" applyFont="1" applyBorder="1" applyAlignment="1">
      <alignment vertical="center" wrapText="1"/>
    </xf>
    <xf numFmtId="1" fontId="19" fillId="0" borderId="0" xfId="17" applyNumberFormat="1" applyFont="1" applyBorder="1" applyAlignment="1">
      <alignment vertical="center" wrapText="1"/>
    </xf>
    <xf numFmtId="2" fontId="19" fillId="0" borderId="0" xfId="17" applyNumberFormat="1" applyFont="1" applyBorder="1" applyAlignment="1">
      <alignment vertical="center" wrapText="1"/>
    </xf>
    <xf numFmtId="165" fontId="19" fillId="0" borderId="0" xfId="17" applyNumberFormat="1" applyFont="1" applyBorder="1" applyAlignment="1">
      <alignment vertical="center" wrapText="1"/>
    </xf>
    <xf numFmtId="0" fontId="22" fillId="0" borderId="63" xfId="0" applyFont="1" applyBorder="1" applyAlignment="1">
      <alignment vertical="center"/>
    </xf>
    <xf numFmtId="0" fontId="16" fillId="0" borderId="73" xfId="0" quotePrefix="1" applyFont="1" applyBorder="1" applyAlignment="1">
      <alignment horizontal="center" vertical="center"/>
    </xf>
    <xf numFmtId="0" fontId="16" fillId="0" borderId="73" xfId="0" applyFont="1" applyBorder="1" applyAlignment="1">
      <alignment horizontal="center" vertical="center"/>
    </xf>
    <xf numFmtId="1" fontId="16" fillId="0" borderId="73" xfId="0" applyNumberFormat="1" applyFont="1" applyFill="1" applyBorder="1" applyAlignment="1">
      <alignment horizontal="center" vertical="center"/>
    </xf>
    <xf numFmtId="2" fontId="16" fillId="0" borderId="73" xfId="0" applyNumberFormat="1" applyFont="1" applyBorder="1" applyAlignment="1">
      <alignment horizontal="center" vertical="center"/>
    </xf>
    <xf numFmtId="165" fontId="16" fillId="0" borderId="74" xfId="0" applyNumberFormat="1" applyFont="1" applyBorder="1" applyAlignment="1">
      <alignment horizontal="center" vertical="center"/>
    </xf>
    <xf numFmtId="0" fontId="16" fillId="0" borderId="10" xfId="0" applyFont="1" applyBorder="1"/>
    <xf numFmtId="4" fontId="16" fillId="0" borderId="1" xfId="0" applyNumberFormat="1" applyFont="1" applyFill="1" applyBorder="1" applyAlignment="1">
      <alignment horizontal="center" vertical="center"/>
    </xf>
    <xf numFmtId="3" fontId="16" fillId="0" borderId="1" xfId="0" applyNumberFormat="1" applyFont="1" applyFill="1" applyBorder="1" applyAlignment="1">
      <alignment horizontal="right" vertical="center"/>
    </xf>
    <xf numFmtId="3" fontId="16" fillId="0" borderId="64" xfId="0" applyNumberFormat="1" applyFont="1" applyFill="1" applyBorder="1" applyAlignment="1">
      <alignment horizontal="right" vertical="center"/>
    </xf>
    <xf numFmtId="166" fontId="12" fillId="0" borderId="0" xfId="0" applyNumberFormat="1" applyFont="1" applyAlignment="1">
      <alignment horizontal="right"/>
    </xf>
    <xf numFmtId="49" fontId="17" fillId="0" borderId="20" xfId="0" applyNumberFormat="1" applyFont="1" applyFill="1" applyBorder="1" applyAlignment="1">
      <alignment horizontal="center" vertical="center"/>
    </xf>
    <xf numFmtId="165" fontId="12" fillId="0" borderId="70" xfId="0" applyNumberFormat="1" applyFont="1" applyBorder="1" applyAlignment="1">
      <alignment horizontal="center" vertical="center"/>
    </xf>
    <xf numFmtId="0" fontId="23" fillId="0" borderId="69" xfId="0" applyFont="1" applyBorder="1"/>
    <xf numFmtId="0" fontId="17" fillId="0" borderId="69" xfId="0" applyFont="1" applyBorder="1"/>
    <xf numFmtId="3" fontId="12" fillId="0" borderId="69" xfId="0" applyNumberFormat="1" applyFont="1" applyBorder="1"/>
    <xf numFmtId="3" fontId="12" fillId="0" borderId="70" xfId="0" applyNumberFormat="1" applyFont="1" applyFill="1" applyBorder="1" applyAlignment="1">
      <alignment horizontal="right" vertical="center"/>
    </xf>
    <xf numFmtId="0" fontId="16" fillId="0" borderId="1" xfId="0" quotePrefix="1" applyFont="1" applyBorder="1" applyAlignment="1">
      <alignment horizontal="center" vertical="center"/>
    </xf>
    <xf numFmtId="0" fontId="16" fillId="0" borderId="1" xfId="0" applyFont="1" applyBorder="1" applyAlignment="1">
      <alignment horizontal="center" vertical="center"/>
    </xf>
    <xf numFmtId="1" fontId="16" fillId="0" borderId="1" xfId="0" applyNumberFormat="1" applyFont="1" applyFill="1" applyBorder="1" applyAlignment="1">
      <alignment horizontal="center" vertical="center"/>
    </xf>
    <xf numFmtId="2" fontId="16" fillId="0" borderId="1" xfId="0" applyNumberFormat="1" applyFont="1" applyBorder="1" applyAlignment="1">
      <alignment horizontal="center" vertical="center"/>
    </xf>
    <xf numFmtId="165" fontId="16" fillId="0" borderId="64" xfId="0" applyNumberFormat="1" applyFont="1" applyBorder="1" applyAlignment="1">
      <alignment horizontal="center" vertical="center"/>
    </xf>
    <xf numFmtId="0" fontId="16" fillId="0" borderId="40" xfId="0" applyFont="1" applyBorder="1"/>
    <xf numFmtId="4" fontId="16" fillId="0" borderId="40" xfId="0" applyNumberFormat="1" applyFont="1" applyFill="1" applyBorder="1" applyAlignment="1">
      <alignment horizontal="center" vertical="center"/>
    </xf>
    <xf numFmtId="3" fontId="16" fillId="0" borderId="40" xfId="0" applyNumberFormat="1" applyFont="1" applyFill="1" applyBorder="1" applyAlignment="1">
      <alignment horizontal="right" vertical="center"/>
    </xf>
    <xf numFmtId="3" fontId="16" fillId="0" borderId="42" xfId="0" applyNumberFormat="1" applyFont="1" applyFill="1" applyBorder="1" applyAlignment="1">
      <alignment horizontal="right" vertical="center"/>
    </xf>
    <xf numFmtId="0" fontId="17" fillId="0" borderId="63" xfId="0" applyFont="1" applyBorder="1" applyAlignment="1">
      <alignment vertical="center" wrapText="1"/>
    </xf>
    <xf numFmtId="0" fontId="22" fillId="0" borderId="56" xfId="0" applyFont="1" applyBorder="1" applyAlignment="1">
      <alignment horizontal="center" vertical="center"/>
    </xf>
    <xf numFmtId="16" fontId="12" fillId="0" borderId="57" xfId="0" quotePrefix="1" applyNumberFormat="1" applyFont="1" applyBorder="1" applyAlignment="1">
      <alignment horizontal="center" vertical="center"/>
    </xf>
    <xf numFmtId="0" fontId="12" fillId="0" borderId="57" xfId="0" applyFont="1" applyBorder="1" applyAlignment="1">
      <alignment horizontal="center" vertical="center"/>
    </xf>
    <xf numFmtId="1" fontId="12" fillId="0" borderId="57" xfId="0" applyNumberFormat="1" applyFont="1" applyBorder="1" applyAlignment="1">
      <alignment horizontal="center" vertical="center"/>
    </xf>
    <xf numFmtId="2" fontId="12" fillId="0" borderId="57" xfId="0" applyNumberFormat="1" applyFont="1" applyBorder="1" applyAlignment="1">
      <alignment horizontal="center" vertical="center"/>
    </xf>
    <xf numFmtId="165" fontId="12" fillId="0" borderId="58" xfId="0" applyNumberFormat="1" applyFont="1" applyBorder="1" applyAlignment="1">
      <alignment horizontal="center" vertical="center"/>
    </xf>
    <xf numFmtId="0" fontId="23" fillId="0" borderId="57" xfId="0" applyFont="1" applyBorder="1"/>
    <xf numFmtId="0" fontId="17" fillId="0" borderId="57" xfId="0" applyFont="1" applyBorder="1"/>
    <xf numFmtId="3" fontId="12" fillId="0" borderId="57" xfId="0" applyNumberFormat="1" applyFont="1" applyBorder="1"/>
    <xf numFmtId="3" fontId="12" fillId="0" borderId="58" xfId="0" applyNumberFormat="1" applyFont="1" applyFill="1" applyBorder="1" applyAlignment="1">
      <alignment horizontal="right" vertical="center"/>
    </xf>
    <xf numFmtId="0" fontId="22" fillId="0" borderId="83" xfId="0" applyFont="1" applyBorder="1" applyAlignment="1">
      <alignment horizontal="center" vertical="center"/>
    </xf>
    <xf numFmtId="16" fontId="12" fillId="0" borderId="84" xfId="0" quotePrefix="1" applyNumberFormat="1" applyFont="1" applyBorder="1" applyAlignment="1">
      <alignment horizontal="center" vertical="center"/>
    </xf>
    <xf numFmtId="0" fontId="12" fillId="0" borderId="84" xfId="0" applyFont="1" applyBorder="1" applyAlignment="1">
      <alignment horizontal="center" vertical="center"/>
    </xf>
    <xf numFmtId="1" fontId="12" fillId="0" borderId="84" xfId="0" applyNumberFormat="1" applyFont="1" applyBorder="1" applyAlignment="1">
      <alignment horizontal="center" vertical="center"/>
    </xf>
    <xf numFmtId="2" fontId="12" fillId="0" borderId="84" xfId="0" applyNumberFormat="1" applyFont="1" applyBorder="1" applyAlignment="1">
      <alignment horizontal="center" vertical="center"/>
    </xf>
    <xf numFmtId="165" fontId="12" fillId="0" borderId="85" xfId="0" applyNumberFormat="1" applyFont="1" applyBorder="1" applyAlignment="1">
      <alignment horizontal="center" vertical="center"/>
    </xf>
    <xf numFmtId="3" fontId="12" fillId="0" borderId="85" xfId="0" applyNumberFormat="1" applyFont="1" applyFill="1" applyBorder="1" applyAlignment="1">
      <alignment horizontal="right" vertical="center"/>
    </xf>
    <xf numFmtId="165" fontId="4" fillId="0" borderId="22" xfId="0" applyNumberFormat="1" applyFont="1" applyBorder="1" applyAlignment="1">
      <alignment horizontal="center" vertical="center"/>
    </xf>
    <xf numFmtId="0" fontId="16" fillId="0" borderId="14" xfId="0" applyFont="1" applyBorder="1"/>
    <xf numFmtId="4" fontId="16" fillId="0" borderId="14" xfId="0" applyNumberFormat="1" applyFont="1" applyFill="1" applyBorder="1" applyAlignment="1">
      <alignment horizontal="center" vertical="center"/>
    </xf>
    <xf numFmtId="3" fontId="16" fillId="0" borderId="14" xfId="0" applyNumberFormat="1" applyFont="1" applyFill="1" applyBorder="1" applyAlignment="1">
      <alignment horizontal="right" vertical="center"/>
    </xf>
    <xf numFmtId="3" fontId="16" fillId="0" borderId="17" xfId="0" applyNumberFormat="1" applyFont="1" applyFill="1" applyBorder="1" applyAlignment="1">
      <alignment horizontal="right" vertical="center"/>
    </xf>
    <xf numFmtId="0" fontId="17" fillId="16" borderId="18" xfId="0" applyFont="1" applyFill="1" applyBorder="1" applyAlignment="1" applyProtection="1">
      <alignment vertical="center"/>
      <protection locked="0"/>
    </xf>
    <xf numFmtId="0" fontId="17" fillId="16" borderId="86" xfId="0" applyFont="1" applyFill="1" applyBorder="1" applyAlignment="1">
      <alignment horizontal="center" vertical="center"/>
    </xf>
    <xf numFmtId="49" fontId="17" fillId="0" borderId="80" xfId="0" applyNumberFormat="1" applyFont="1" applyFill="1" applyBorder="1" applyAlignment="1" applyProtection="1">
      <alignment horizontal="center" vertical="center"/>
      <protection locked="0"/>
    </xf>
    <xf numFmtId="49" fontId="17" fillId="0" borderId="87" xfId="0" applyNumberFormat="1" applyFont="1" applyFill="1" applyBorder="1" applyAlignment="1" applyProtection="1">
      <alignment horizontal="center" vertical="center"/>
      <protection locked="0"/>
    </xf>
    <xf numFmtId="49" fontId="17" fillId="16" borderId="80" xfId="0" applyNumberFormat="1" applyFont="1" applyFill="1" applyBorder="1" applyAlignment="1" applyProtection="1">
      <alignment horizontal="center" vertical="center"/>
      <protection locked="0"/>
    </xf>
    <xf numFmtId="0" fontId="17" fillId="16" borderId="88" xfId="0" applyFont="1" applyFill="1" applyBorder="1" applyAlignment="1" applyProtection="1">
      <alignment vertical="center"/>
      <protection locked="0"/>
    </xf>
    <xf numFmtId="49" fontId="17" fillId="0" borderId="89" xfId="0" applyNumberFormat="1" applyFont="1" applyFill="1" applyBorder="1" applyAlignment="1" applyProtection="1">
      <alignment horizontal="center" vertical="center"/>
      <protection locked="0"/>
    </xf>
    <xf numFmtId="49" fontId="17" fillId="16" borderId="89" xfId="0" applyNumberFormat="1" applyFont="1" applyFill="1" applyBorder="1" applyAlignment="1" applyProtection="1">
      <alignment horizontal="center" vertical="center"/>
      <protection locked="0"/>
    </xf>
    <xf numFmtId="0" fontId="17" fillId="0" borderId="18" xfId="0" applyFont="1" applyFill="1" applyBorder="1" applyAlignment="1">
      <alignment horizontal="left" vertical="center"/>
    </xf>
    <xf numFmtId="49" fontId="17" fillId="0" borderId="80" xfId="0" applyNumberFormat="1" applyFont="1" applyFill="1" applyBorder="1" applyAlignment="1">
      <alignment horizontal="center" vertical="center"/>
    </xf>
    <xf numFmtId="49" fontId="17" fillId="16" borderId="80" xfId="0" applyNumberFormat="1" applyFont="1" applyFill="1" applyBorder="1" applyAlignment="1">
      <alignment horizontal="center" vertical="center"/>
    </xf>
    <xf numFmtId="0" fontId="17" fillId="16" borderId="90" xfId="0" applyFont="1" applyFill="1" applyBorder="1" applyAlignment="1" applyProtection="1">
      <alignment vertical="center"/>
      <protection locked="0"/>
    </xf>
    <xf numFmtId="0" fontId="17" fillId="16" borderId="91" xfId="0" applyFont="1" applyFill="1" applyBorder="1" applyAlignment="1">
      <alignment horizontal="center" vertical="center"/>
    </xf>
    <xf numFmtId="49" fontId="17" fillId="16" borderId="92" xfId="0" applyNumberFormat="1" applyFont="1" applyFill="1" applyBorder="1" applyAlignment="1" applyProtection="1">
      <alignment horizontal="center" vertical="center"/>
      <protection locked="0"/>
    </xf>
    <xf numFmtId="0" fontId="17" fillId="16" borderId="18" xfId="0" applyFont="1" applyFill="1" applyBorder="1" applyAlignment="1" applyProtection="1">
      <alignment vertical="center" wrapText="1"/>
      <protection locked="0"/>
    </xf>
    <xf numFmtId="49" fontId="17" fillId="0" borderId="86" xfId="0" applyNumberFormat="1" applyFont="1" applyFill="1" applyBorder="1" applyAlignment="1" applyProtection="1">
      <alignment horizontal="center" vertical="center"/>
      <protection locked="0"/>
    </xf>
    <xf numFmtId="0" fontId="17" fillId="16" borderId="23" xfId="0" applyFont="1" applyFill="1" applyBorder="1" applyAlignment="1" applyProtection="1">
      <alignment vertical="center"/>
      <protection locked="0"/>
    </xf>
    <xf numFmtId="49" fontId="17" fillId="0" borderId="24" xfId="0" applyNumberFormat="1" applyFont="1" applyFill="1" applyBorder="1" applyAlignment="1" applyProtection="1">
      <alignment horizontal="center" vertical="center"/>
      <protection locked="0"/>
    </xf>
    <xf numFmtId="49" fontId="17" fillId="16" borderId="24" xfId="0" applyNumberFormat="1" applyFont="1" applyFill="1" applyBorder="1" applyAlignment="1" applyProtection="1">
      <alignment horizontal="center" vertical="center"/>
      <protection locked="0"/>
    </xf>
    <xf numFmtId="0" fontId="12" fillId="2" borderId="63" xfId="17" applyFont="1" applyFill="1" applyBorder="1" applyAlignment="1">
      <alignment horizontal="left" vertical="center"/>
    </xf>
    <xf numFmtId="49" fontId="12" fillId="2" borderId="81" xfId="17" applyNumberFormat="1" applyFont="1" applyFill="1" applyBorder="1" applyAlignment="1">
      <alignment horizontal="center" vertical="center"/>
    </xf>
    <xf numFmtId="165" fontId="12" fillId="2" borderId="64" xfId="17" applyNumberFormat="1" applyFont="1" applyFill="1" applyBorder="1" applyAlignment="1">
      <alignment horizontal="center" vertical="center"/>
    </xf>
    <xf numFmtId="0" fontId="5" fillId="10" borderId="82" xfId="17" applyFont="1" applyFill="1" applyBorder="1" applyAlignment="1">
      <alignment vertical="center"/>
    </xf>
    <xf numFmtId="0" fontId="5" fillId="10" borderId="40" xfId="17" applyFont="1" applyFill="1" applyBorder="1" applyAlignment="1">
      <alignment horizontal="center" vertical="center"/>
    </xf>
    <xf numFmtId="2" fontId="5" fillId="10" borderId="40" xfId="17" applyNumberFormat="1" applyFont="1" applyFill="1" applyBorder="1" applyAlignment="1">
      <alignment horizontal="center" vertical="center"/>
    </xf>
    <xf numFmtId="2" fontId="4" fillId="10" borderId="93" xfId="17" applyNumberFormat="1" applyFont="1" applyFill="1" applyBorder="1" applyAlignment="1">
      <alignment horizontal="center" vertical="center"/>
    </xf>
    <xf numFmtId="0" fontId="4" fillId="10" borderId="94" xfId="17" applyFont="1" applyFill="1" applyBorder="1" applyAlignment="1">
      <alignment horizontal="center" vertical="center"/>
    </xf>
    <xf numFmtId="0" fontId="17" fillId="0" borderId="63" xfId="0" applyFont="1" applyFill="1" applyBorder="1" applyAlignment="1">
      <alignment horizontal="left" vertical="center"/>
    </xf>
    <xf numFmtId="49" fontId="17" fillId="0" borderId="1" xfId="0" quotePrefix="1" applyNumberFormat="1" applyFont="1" applyBorder="1" applyAlignment="1">
      <alignment horizontal="center" vertical="center"/>
    </xf>
    <xf numFmtId="0" fontId="17" fillId="0" borderId="1" xfId="0" applyFont="1" applyFill="1" applyBorder="1" applyAlignment="1">
      <alignment horizontal="center" vertical="center" wrapText="1"/>
    </xf>
    <xf numFmtId="1" fontId="17" fillId="5"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4" fontId="12" fillId="0" borderId="0" xfId="0" applyNumberFormat="1" applyFont="1" applyAlignment="1">
      <alignment horizontal="right"/>
    </xf>
    <xf numFmtId="0" fontId="17" fillId="21" borderId="2" xfId="0" applyFont="1" applyFill="1" applyBorder="1" applyAlignment="1">
      <alignment horizontal="left" vertical="center" indent="1"/>
    </xf>
    <xf numFmtId="0" fontId="22" fillId="0" borderId="72" xfId="0" applyFont="1" applyFill="1" applyBorder="1" applyAlignment="1">
      <alignment horizontal="left" vertical="center"/>
    </xf>
    <xf numFmtId="0" fontId="12" fillId="0" borderId="73" xfId="0" applyFont="1" applyFill="1" applyBorder="1" applyAlignment="1">
      <alignment horizontal="center" vertical="center" wrapText="1"/>
    </xf>
    <xf numFmtId="1" fontId="12" fillId="0" borderId="73" xfId="0" applyNumberFormat="1" applyFont="1" applyFill="1" applyBorder="1" applyAlignment="1">
      <alignment horizontal="center" vertical="center" wrapText="1"/>
    </xf>
    <xf numFmtId="2" fontId="12" fillId="0" borderId="73" xfId="0" applyNumberFormat="1" applyFont="1" applyFill="1" applyBorder="1" applyAlignment="1">
      <alignment horizontal="center" vertical="center" wrapText="1"/>
    </xf>
    <xf numFmtId="165" fontId="12" fillId="0" borderId="74" xfId="0" applyNumberFormat="1" applyFont="1" applyFill="1" applyBorder="1" applyAlignment="1">
      <alignment horizontal="center" vertical="center" wrapText="1"/>
    </xf>
    <xf numFmtId="165" fontId="5" fillId="11" borderId="95" xfId="0" applyNumberFormat="1" applyFont="1" applyFill="1" applyBorder="1" applyAlignment="1">
      <alignment horizontal="center" vertical="center"/>
    </xf>
    <xf numFmtId="2" fontId="5" fillId="10" borderId="63" xfId="17" applyNumberFormat="1" applyFont="1" applyFill="1" applyBorder="1" applyAlignment="1">
      <alignment horizontal="center" vertical="center"/>
    </xf>
    <xf numFmtId="0" fontId="17" fillId="0" borderId="63" xfId="0" applyFont="1" applyBorder="1"/>
    <xf numFmtId="49" fontId="17" fillId="0" borderId="1" xfId="0" quotePrefix="1" applyNumberFormat="1" applyFont="1" applyBorder="1" applyAlignment="1">
      <alignment horizontal="center"/>
    </xf>
    <xf numFmtId="0" fontId="17" fillId="0" borderId="1" xfId="0" applyFont="1" applyBorder="1" applyAlignment="1">
      <alignment horizontal="center"/>
    </xf>
    <xf numFmtId="1" fontId="17" fillId="5" borderId="1" xfId="0" applyNumberFormat="1" applyFont="1" applyFill="1" applyBorder="1" applyAlignment="1">
      <alignment horizontal="center"/>
    </xf>
    <xf numFmtId="2" fontId="17" fillId="0" borderId="1" xfId="0" applyNumberFormat="1" applyFont="1" applyBorder="1" applyAlignment="1">
      <alignment horizontal="center"/>
    </xf>
    <xf numFmtId="165" fontId="17" fillId="0" borderId="64" xfId="0" applyNumberFormat="1" applyFont="1" applyBorder="1" applyAlignment="1">
      <alignment horizontal="center"/>
    </xf>
    <xf numFmtId="4" fontId="4" fillId="0" borderId="28" xfId="17"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0" fontId="12" fillId="2" borderId="34" xfId="0" applyFont="1" applyFill="1" applyBorder="1" applyAlignment="1">
      <alignment horizontal="center" vertical="center"/>
    </xf>
    <xf numFmtId="0" fontId="12" fillId="2" borderId="20" xfId="0" applyFont="1" applyFill="1" applyBorder="1" applyAlignment="1">
      <alignment horizontal="center" vertical="center"/>
    </xf>
    <xf numFmtId="1" fontId="12" fillId="2" borderId="20" xfId="0" applyNumberFormat="1" applyFont="1" applyFill="1" applyBorder="1" applyAlignment="1">
      <alignment horizontal="center" vertical="center"/>
    </xf>
    <xf numFmtId="165" fontId="12" fillId="2" borderId="22" xfId="0" applyNumberFormat="1" applyFont="1" applyFill="1" applyBorder="1" applyAlignment="1">
      <alignment horizontal="center" vertical="center"/>
    </xf>
    <xf numFmtId="0" fontId="12" fillId="0" borderId="0" xfId="0" applyFont="1" applyFill="1" applyAlignment="1">
      <alignment horizontal="center"/>
    </xf>
    <xf numFmtId="0" fontId="22" fillId="0" borderId="63" xfId="0" applyFont="1" applyFill="1" applyBorder="1" applyAlignment="1">
      <alignment horizontal="left" vertical="center"/>
    </xf>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65" fontId="12" fillId="0" borderId="64" xfId="0" applyNumberFormat="1" applyFont="1" applyFill="1" applyBorder="1" applyAlignment="1">
      <alignment horizontal="center" vertical="center" wrapText="1"/>
    </xf>
    <xf numFmtId="0" fontId="12" fillId="0" borderId="34" xfId="0" applyFont="1" applyFill="1" applyBorder="1" applyAlignment="1">
      <alignment horizontal="center"/>
    </xf>
    <xf numFmtId="0" fontId="12" fillId="0" borderId="20" xfId="0" applyFont="1" applyFill="1" applyBorder="1" applyAlignment="1">
      <alignment horizontal="center"/>
    </xf>
    <xf numFmtId="0" fontId="12" fillId="0" borderId="22" xfId="0" applyFont="1" applyFill="1" applyBorder="1" applyAlignment="1">
      <alignment horizontal="center"/>
    </xf>
    <xf numFmtId="2" fontId="5" fillId="10" borderId="48" xfId="17" applyNumberFormat="1" applyFont="1" applyFill="1" applyBorder="1" applyAlignment="1">
      <alignment horizontal="center" vertical="center"/>
    </xf>
    <xf numFmtId="0" fontId="5" fillId="11" borderId="14" xfId="0" applyFont="1" applyFill="1" applyBorder="1" applyAlignment="1">
      <alignment horizontal="center" vertical="center"/>
    </xf>
    <xf numFmtId="0" fontId="4" fillId="10" borderId="14" xfId="17" applyFont="1" applyFill="1" applyBorder="1" applyAlignment="1">
      <alignment horizontal="center" vertical="center"/>
    </xf>
    <xf numFmtId="0" fontId="5" fillId="11" borderId="0" xfId="0" applyFont="1" applyFill="1" applyBorder="1" applyAlignment="1">
      <alignment horizontal="center" vertical="center"/>
    </xf>
    <xf numFmtId="3" fontId="5" fillId="11" borderId="0" xfId="0" applyNumberFormat="1" applyFont="1" applyFill="1" applyBorder="1" applyAlignment="1">
      <alignment horizontal="right" vertical="center"/>
    </xf>
    <xf numFmtId="3" fontId="5" fillId="11" borderId="50" xfId="0" applyNumberFormat="1" applyFont="1" applyFill="1" applyBorder="1" applyAlignment="1">
      <alignment horizontal="right" vertical="center"/>
    </xf>
    <xf numFmtId="0" fontId="17" fillId="0" borderId="34" xfId="0" applyFont="1" applyBorder="1"/>
    <xf numFmtId="0" fontId="17" fillId="0" borderId="20" xfId="0" applyFont="1" applyBorder="1" applyAlignment="1">
      <alignment horizontal="center"/>
    </xf>
    <xf numFmtId="1" fontId="17" fillId="5" borderId="20" xfId="0" applyNumberFormat="1" applyFont="1" applyFill="1" applyBorder="1" applyAlignment="1">
      <alignment horizontal="center"/>
    </xf>
    <xf numFmtId="2" fontId="17" fillId="0" borderId="20" xfId="0" applyNumberFormat="1" applyFont="1" applyBorder="1" applyAlignment="1">
      <alignment horizontal="center"/>
    </xf>
    <xf numFmtId="165" fontId="17" fillId="0" borderId="22" xfId="0" applyNumberFormat="1" applyFont="1" applyBorder="1" applyAlignment="1">
      <alignment horizontal="center"/>
    </xf>
    <xf numFmtId="2" fontId="5" fillId="10" borderId="82" xfId="17" applyNumberFormat="1" applyFont="1" applyFill="1" applyBorder="1" applyAlignment="1">
      <alignment horizontal="center" vertical="center"/>
    </xf>
    <xf numFmtId="0" fontId="4" fillId="10" borderId="40" xfId="17" applyFont="1" applyFill="1" applyBorder="1" applyAlignment="1">
      <alignment horizontal="center" vertical="center"/>
    </xf>
    <xf numFmtId="49" fontId="17" fillId="0" borderId="20" xfId="0" quotePrefix="1" applyNumberFormat="1" applyFont="1" applyBorder="1" applyAlignment="1">
      <alignment horizontal="center"/>
    </xf>
    <xf numFmtId="0" fontId="22" fillId="0" borderId="0" xfId="0" applyFont="1" applyFill="1" applyAlignment="1">
      <alignment horizontal="center"/>
    </xf>
    <xf numFmtId="0" fontId="22" fillId="0" borderId="34" xfId="0" applyFont="1" applyFill="1" applyBorder="1" applyAlignment="1">
      <alignment horizontal="left" vertical="center"/>
    </xf>
    <xf numFmtId="0" fontId="22" fillId="0" borderId="20" xfId="0" applyFont="1" applyFill="1" applyBorder="1" applyAlignment="1">
      <alignment horizontal="center" vertical="center" wrapText="1"/>
    </xf>
    <xf numFmtId="1" fontId="22" fillId="0" borderId="20" xfId="0" applyNumberFormat="1" applyFont="1" applyFill="1" applyBorder="1" applyAlignment="1">
      <alignment horizontal="center" vertical="center" wrapText="1"/>
    </xf>
    <xf numFmtId="2" fontId="22" fillId="0" borderId="20" xfId="0" applyNumberFormat="1" applyFont="1" applyFill="1" applyBorder="1" applyAlignment="1">
      <alignment horizontal="center" vertical="center" wrapText="1"/>
    </xf>
    <xf numFmtId="165" fontId="22" fillId="0" borderId="22" xfId="0" applyNumberFormat="1" applyFont="1" applyFill="1" applyBorder="1" applyAlignment="1">
      <alignment horizontal="center" vertical="center" wrapText="1"/>
    </xf>
    <xf numFmtId="0" fontId="22" fillId="0" borderId="51" xfId="0" applyFont="1" applyFill="1" applyBorder="1" applyAlignment="1">
      <alignment horizontal="center"/>
    </xf>
    <xf numFmtId="0" fontId="22" fillId="0" borderId="14" xfId="0" applyFont="1" applyFill="1" applyBorder="1" applyAlignment="1">
      <alignment horizontal="center"/>
    </xf>
    <xf numFmtId="0" fontId="22" fillId="0" borderId="17" xfId="0" applyFont="1" applyFill="1" applyBorder="1" applyAlignment="1">
      <alignment horizontal="center"/>
    </xf>
    <xf numFmtId="2" fontId="5" fillId="10" borderId="51" xfId="17" applyNumberFormat="1" applyFont="1" applyFill="1" applyBorder="1" applyAlignment="1">
      <alignment horizontal="center" vertical="center"/>
    </xf>
    <xf numFmtId="3" fontId="5" fillId="11" borderId="14" xfId="0" applyNumberFormat="1" applyFont="1" applyFill="1" applyBorder="1" applyAlignment="1">
      <alignment horizontal="right" vertical="center"/>
    </xf>
    <xf numFmtId="3" fontId="5" fillId="11" borderId="17" xfId="0" applyNumberFormat="1" applyFont="1" applyFill="1" applyBorder="1" applyAlignment="1">
      <alignment horizontal="right" vertical="center"/>
    </xf>
    <xf numFmtId="16" fontId="17" fillId="0" borderId="1" xfId="0" quotePrefix="1" applyNumberFormat="1" applyFont="1" applyBorder="1" applyAlignment="1">
      <alignment horizontal="center"/>
    </xf>
    <xf numFmtId="16" fontId="17" fillId="0" borderId="20" xfId="0" quotePrefix="1" applyNumberFormat="1" applyFont="1" applyBorder="1" applyAlignment="1">
      <alignment horizontal="center"/>
    </xf>
    <xf numFmtId="0" fontId="12" fillId="17" borderId="75" xfId="0" applyFont="1" applyFill="1" applyBorder="1" applyAlignment="1">
      <alignment horizontal="center" vertical="center"/>
    </xf>
    <xf numFmtId="0" fontId="12" fillId="17" borderId="76" xfId="0" applyFont="1" applyFill="1" applyBorder="1" applyAlignment="1">
      <alignment horizontal="center" vertical="center"/>
    </xf>
    <xf numFmtId="1" fontId="12" fillId="17" borderId="76" xfId="0" applyNumberFormat="1" applyFont="1" applyFill="1" applyBorder="1" applyAlignment="1">
      <alignment horizontal="center" vertical="center"/>
    </xf>
    <xf numFmtId="2" fontId="12" fillId="17" borderId="76" xfId="0" applyNumberFormat="1" applyFont="1" applyFill="1" applyBorder="1" applyAlignment="1">
      <alignment horizontal="center" vertical="center"/>
    </xf>
    <xf numFmtId="165" fontId="12" fillId="17" borderId="77" xfId="0" applyNumberFormat="1" applyFont="1" applyFill="1" applyBorder="1" applyAlignment="1">
      <alignment horizontal="center" vertical="center"/>
    </xf>
    <xf numFmtId="3" fontId="12" fillId="17" borderId="76" xfId="0" applyNumberFormat="1" applyFont="1" applyFill="1" applyBorder="1" applyAlignment="1">
      <alignment horizontal="right" vertical="center"/>
    </xf>
    <xf numFmtId="3" fontId="12" fillId="17" borderId="77" xfId="0" applyNumberFormat="1" applyFont="1" applyFill="1" applyBorder="1" applyAlignment="1">
      <alignment horizontal="right" vertical="center"/>
    </xf>
    <xf numFmtId="0" fontId="12" fillId="2" borderId="68" xfId="17" applyFont="1" applyFill="1" applyBorder="1" applyAlignment="1">
      <alignment horizontal="left" vertical="center"/>
    </xf>
    <xf numFmtId="49" fontId="12" fillId="2" borderId="69" xfId="17" applyNumberFormat="1" applyFont="1" applyFill="1" applyBorder="1" applyAlignment="1">
      <alignment horizontal="center" vertical="center"/>
    </xf>
    <xf numFmtId="49" fontId="12" fillId="2" borderId="99" xfId="17" applyNumberFormat="1" applyFont="1" applyFill="1" applyBorder="1" applyAlignment="1">
      <alignment horizontal="center" vertical="center"/>
    </xf>
    <xf numFmtId="1" fontId="12" fillId="14" borderId="69" xfId="17" applyNumberFormat="1" applyFont="1" applyFill="1" applyBorder="1" applyAlignment="1">
      <alignment horizontal="center" vertical="center"/>
    </xf>
    <xf numFmtId="165" fontId="12" fillId="2" borderId="70" xfId="17" applyNumberFormat="1" applyFont="1" applyFill="1" applyBorder="1" applyAlignment="1">
      <alignment horizontal="center" vertical="center"/>
    </xf>
    <xf numFmtId="4" fontId="12" fillId="2" borderId="71" xfId="17" applyNumberFormat="1" applyFont="1" applyFill="1" applyBorder="1" applyAlignment="1">
      <alignment horizontal="center" vertical="center"/>
    </xf>
    <xf numFmtId="4" fontId="12" fillId="2" borderId="69" xfId="17" applyNumberFormat="1" applyFont="1" applyFill="1" applyBorder="1" applyAlignment="1">
      <alignment horizontal="center" vertical="center"/>
    </xf>
    <xf numFmtId="4" fontId="12" fillId="2" borderId="69" xfId="0" applyNumberFormat="1" applyFont="1" applyFill="1" applyBorder="1" applyAlignment="1">
      <alignment horizontal="center" vertical="center"/>
    </xf>
    <xf numFmtId="3" fontId="12" fillId="2" borderId="69" xfId="0" applyNumberFormat="1" applyFont="1" applyFill="1" applyBorder="1" applyAlignment="1">
      <alignment horizontal="right" vertical="center"/>
    </xf>
    <xf numFmtId="3" fontId="12" fillId="2" borderId="70" xfId="0" applyNumberFormat="1" applyFont="1" applyFill="1" applyBorder="1" applyAlignment="1">
      <alignment horizontal="right" vertical="center"/>
    </xf>
    <xf numFmtId="0" fontId="12" fillId="17" borderId="5" xfId="0" applyFont="1" applyFill="1" applyBorder="1" applyAlignment="1">
      <alignment horizontal="center" vertical="center"/>
    </xf>
    <xf numFmtId="0" fontId="12" fillId="17" borderId="6" xfId="0" applyFont="1" applyFill="1" applyBorder="1" applyAlignment="1">
      <alignment horizontal="center" vertical="center"/>
    </xf>
    <xf numFmtId="1" fontId="12" fillId="17" borderId="6" xfId="0" applyNumberFormat="1" applyFont="1" applyFill="1" applyBorder="1" applyAlignment="1">
      <alignment horizontal="center" vertical="center"/>
    </xf>
    <xf numFmtId="2" fontId="12" fillId="17" borderId="6" xfId="0" applyNumberFormat="1" applyFont="1" applyFill="1" applyBorder="1" applyAlignment="1">
      <alignment horizontal="center" vertical="center"/>
    </xf>
    <xf numFmtId="165" fontId="12" fillId="17" borderId="7" xfId="0" applyNumberFormat="1" applyFont="1" applyFill="1" applyBorder="1" applyAlignment="1">
      <alignment horizontal="center" vertical="center"/>
    </xf>
    <xf numFmtId="3" fontId="12" fillId="17" borderId="6" xfId="0" applyNumberFormat="1" applyFont="1" applyFill="1" applyBorder="1" applyAlignment="1">
      <alignment horizontal="right" vertical="center"/>
    </xf>
    <xf numFmtId="3" fontId="12" fillId="17" borderId="7" xfId="0" applyNumberFormat="1" applyFont="1" applyFill="1" applyBorder="1" applyAlignment="1">
      <alignment horizontal="right" vertical="center"/>
    </xf>
    <xf numFmtId="0" fontId="10" fillId="22" borderId="72" xfId="17" applyFont="1" applyFill="1" applyBorder="1" applyAlignment="1">
      <alignment vertical="center"/>
    </xf>
    <xf numFmtId="0" fontId="12" fillId="22" borderId="73" xfId="17" applyFont="1" applyFill="1" applyBorder="1" applyAlignment="1">
      <alignment horizontal="center" vertical="center"/>
    </xf>
    <xf numFmtId="1" fontId="12" fillId="22" borderId="73" xfId="17" applyNumberFormat="1" applyFont="1" applyFill="1" applyBorder="1" applyAlignment="1">
      <alignment horizontal="center" vertical="center"/>
    </xf>
    <xf numFmtId="2" fontId="12" fillId="22" borderId="73" xfId="17" applyNumberFormat="1" applyFont="1" applyFill="1" applyBorder="1" applyAlignment="1">
      <alignment horizontal="center" vertical="center"/>
    </xf>
    <xf numFmtId="2" fontId="12" fillId="22" borderId="73" xfId="0" applyNumberFormat="1" applyFont="1" applyFill="1" applyBorder="1" applyAlignment="1">
      <alignment horizontal="center" vertical="center"/>
    </xf>
    <xf numFmtId="165" fontId="12" fillId="22" borderId="74" xfId="17" applyNumberFormat="1" applyFont="1" applyFill="1" applyBorder="1" applyAlignment="1">
      <alignment horizontal="center" vertical="center"/>
    </xf>
    <xf numFmtId="0" fontId="12" fillId="22" borderId="72" xfId="0" applyFont="1" applyFill="1" applyBorder="1" applyAlignment="1">
      <alignment horizontal="center" vertical="center"/>
    </xf>
    <xf numFmtId="0" fontId="12" fillId="22" borderId="73" xfId="0" applyFont="1" applyFill="1" applyBorder="1" applyAlignment="1">
      <alignment horizontal="center" vertical="center"/>
    </xf>
    <xf numFmtId="3" fontId="12" fillId="22" borderId="73" xfId="0" applyNumberFormat="1" applyFont="1" applyFill="1" applyBorder="1" applyAlignment="1">
      <alignment horizontal="right" vertical="center"/>
    </xf>
    <xf numFmtId="3" fontId="12" fillId="22" borderId="74" xfId="0" applyNumberFormat="1" applyFont="1" applyFill="1" applyBorder="1" applyAlignment="1">
      <alignment horizontal="right" vertical="center"/>
    </xf>
    <xf numFmtId="0" fontId="10" fillId="22" borderId="34" xfId="17" applyFont="1" applyFill="1" applyBorder="1" applyAlignment="1">
      <alignment vertical="center"/>
    </xf>
    <xf numFmtId="0" fontId="12" fillId="22" borderId="20" xfId="17" applyFont="1" applyFill="1" applyBorder="1" applyAlignment="1">
      <alignment horizontal="center" vertical="center"/>
    </xf>
    <xf numFmtId="1" fontId="12" fillId="22" borderId="20" xfId="17" applyNumberFormat="1" applyFont="1" applyFill="1" applyBorder="1" applyAlignment="1">
      <alignment horizontal="center" vertical="center"/>
    </xf>
    <xf numFmtId="2" fontId="12" fillId="22" borderId="20" xfId="17" applyNumberFormat="1" applyFont="1" applyFill="1" applyBorder="1" applyAlignment="1">
      <alignment horizontal="center" vertical="center"/>
    </xf>
    <xf numFmtId="2" fontId="12" fillId="22" borderId="20" xfId="0" applyNumberFormat="1" applyFont="1" applyFill="1" applyBorder="1" applyAlignment="1">
      <alignment horizontal="center" vertical="center"/>
    </xf>
    <xf numFmtId="165" fontId="12" fillId="22" borderId="22" xfId="17" applyNumberFormat="1" applyFont="1" applyFill="1" applyBorder="1" applyAlignment="1">
      <alignment horizontal="center" vertical="center"/>
    </xf>
    <xf numFmtId="0" fontId="12" fillId="22" borderId="34" xfId="0" applyFont="1" applyFill="1" applyBorder="1" applyAlignment="1">
      <alignment horizontal="center" vertical="center"/>
    </xf>
    <xf numFmtId="0" fontId="12" fillId="22" borderId="20" xfId="0" applyFont="1" applyFill="1" applyBorder="1" applyAlignment="1">
      <alignment horizontal="center" vertical="center"/>
    </xf>
    <xf numFmtId="3" fontId="12" fillId="22" borderId="20" xfId="0" applyNumberFormat="1" applyFont="1" applyFill="1" applyBorder="1" applyAlignment="1">
      <alignment horizontal="right" vertical="center"/>
    </xf>
    <xf numFmtId="3" fontId="12" fillId="22" borderId="22" xfId="0" applyNumberFormat="1" applyFont="1" applyFill="1" applyBorder="1" applyAlignment="1">
      <alignment horizontal="right" vertical="center"/>
    </xf>
    <xf numFmtId="0" fontId="10" fillId="23" borderId="75" xfId="0" applyFont="1" applyFill="1" applyBorder="1" applyAlignment="1">
      <alignment horizontal="left" vertical="center" indent="1"/>
    </xf>
    <xf numFmtId="0" fontId="10" fillId="23" borderId="76" xfId="0" applyFont="1" applyFill="1" applyBorder="1" applyAlignment="1">
      <alignment horizontal="center" vertical="center"/>
    </xf>
    <xf numFmtId="1" fontId="10" fillId="23" borderId="76" xfId="0" applyNumberFormat="1" applyFont="1" applyFill="1" applyBorder="1" applyAlignment="1">
      <alignment horizontal="center" vertical="center"/>
    </xf>
    <xf numFmtId="2" fontId="10" fillId="23" borderId="76" xfId="0" applyNumberFormat="1" applyFont="1" applyFill="1" applyBorder="1" applyAlignment="1">
      <alignment horizontal="center" vertical="center"/>
    </xf>
    <xf numFmtId="165" fontId="12" fillId="23" borderId="77" xfId="0" applyNumberFormat="1" applyFont="1" applyFill="1" applyBorder="1" applyAlignment="1">
      <alignment horizontal="center" vertical="center"/>
    </xf>
    <xf numFmtId="0" fontId="12" fillId="23" borderId="75" xfId="0" applyFont="1" applyFill="1" applyBorder="1" applyAlignment="1">
      <alignment horizontal="center" vertical="center"/>
    </xf>
    <xf numFmtId="0" fontId="12" fillId="23" borderId="76" xfId="0" applyFont="1" applyFill="1" applyBorder="1" applyAlignment="1">
      <alignment horizontal="center" vertical="center"/>
    </xf>
    <xf numFmtId="3" fontId="12" fillId="23" borderId="76" xfId="0" applyNumberFormat="1" applyFont="1" applyFill="1" applyBorder="1" applyAlignment="1">
      <alignment horizontal="right" vertical="center"/>
    </xf>
    <xf numFmtId="3" fontId="12" fillId="23" borderId="77" xfId="0" applyNumberFormat="1" applyFont="1" applyFill="1" applyBorder="1" applyAlignment="1">
      <alignment horizontal="right" vertical="center"/>
    </xf>
    <xf numFmtId="0" fontId="10" fillId="0" borderId="0" xfId="0" applyFont="1" applyAlignment="1">
      <alignment horizontal="right" vertical="center"/>
    </xf>
    <xf numFmtId="3" fontId="10" fillId="21" borderId="7" xfId="0" applyNumberFormat="1" applyFont="1" applyFill="1" applyBorder="1" applyAlignment="1">
      <alignment horizontal="right" vertical="center"/>
    </xf>
    <xf numFmtId="0" fontId="15" fillId="8" borderId="6" xfId="0" applyFont="1" applyFill="1" applyBorder="1" applyAlignment="1">
      <alignment horizontal="center" vertical="center" wrapText="1"/>
    </xf>
    <xf numFmtId="0" fontId="14" fillId="0" borderId="0" xfId="17" applyFont="1" applyAlignment="1">
      <alignment vertical="center"/>
    </xf>
    <xf numFmtId="0" fontId="8" fillId="0" borderId="0" xfId="17" applyFont="1" applyAlignment="1">
      <alignment vertical="center"/>
    </xf>
    <xf numFmtId="0" fontId="8" fillId="0" borderId="0" xfId="17" applyFont="1" applyAlignment="1">
      <alignment horizontal="center" vertical="center"/>
    </xf>
    <xf numFmtId="1" fontId="8" fillId="0" borderId="0" xfId="17" applyNumberFormat="1" applyFont="1" applyAlignment="1">
      <alignment horizontal="center" vertical="center"/>
    </xf>
    <xf numFmtId="2" fontId="8" fillId="0" borderId="0" xfId="17" applyNumberFormat="1" applyFont="1" applyAlignment="1">
      <alignment horizontal="center" vertical="center"/>
    </xf>
    <xf numFmtId="0" fontId="25" fillId="0" borderId="0" xfId="17" applyFont="1" applyAlignment="1">
      <alignment vertical="center"/>
    </xf>
    <xf numFmtId="0" fontId="25" fillId="0" borderId="0" xfId="17" applyFont="1" applyAlignment="1">
      <alignment horizontal="center" vertical="center"/>
    </xf>
    <xf numFmtId="1" fontId="25" fillId="0" borderId="0" xfId="17" applyNumberFormat="1" applyFont="1" applyAlignment="1">
      <alignment horizontal="center" vertical="center"/>
    </xf>
    <xf numFmtId="2" fontId="25" fillId="0" borderId="0" xfId="17" applyNumberFormat="1"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right" vertical="center"/>
    </xf>
    <xf numFmtId="0" fontId="14" fillId="0" borderId="0" xfId="20" applyFont="1" applyAlignment="1">
      <alignment vertical="center"/>
    </xf>
    <xf numFmtId="0" fontId="26" fillId="0" borderId="0" xfId="0" applyFont="1" applyAlignment="1">
      <alignment horizontal="center" vertical="center"/>
    </xf>
    <xf numFmtId="0" fontId="9" fillId="0" borderId="0" xfId="0" applyFont="1" applyAlignment="1">
      <alignment vertical="center"/>
    </xf>
    <xf numFmtId="0" fontId="27" fillId="0" borderId="0" xfId="0" applyFont="1" applyFill="1" applyBorder="1" applyAlignment="1">
      <alignment horizontal="center" vertical="center"/>
    </xf>
    <xf numFmtId="0" fontId="28" fillId="7" borderId="10" xfId="0" applyFont="1" applyFill="1" applyBorder="1" applyAlignment="1">
      <alignment horizontal="center" vertical="center"/>
    </xf>
    <xf numFmtId="0" fontId="17" fillId="0" borderId="0" xfId="0" applyFont="1" applyBorder="1" applyAlignment="1">
      <alignment horizontal="center" vertical="center"/>
    </xf>
    <xf numFmtId="0" fontId="29" fillId="7" borderId="10" xfId="0" applyFont="1" applyFill="1" applyBorder="1" applyAlignment="1">
      <alignment horizontal="center" vertical="center"/>
    </xf>
    <xf numFmtId="2" fontId="12" fillId="2" borderId="57" xfId="0" applyNumberFormat="1" applyFont="1" applyFill="1" applyBorder="1" applyAlignment="1">
      <alignment horizontal="center" vertical="center"/>
    </xf>
    <xf numFmtId="4" fontId="12" fillId="17" borderId="69" xfId="0" applyNumberFormat="1" applyFont="1" applyFill="1" applyBorder="1" applyAlignment="1">
      <alignment horizontal="center" vertical="center"/>
    </xf>
    <xf numFmtId="0" fontId="12" fillId="19" borderId="73" xfId="0" applyFont="1" applyFill="1" applyBorder="1" applyAlignment="1">
      <alignment horizontal="center" vertical="center"/>
    </xf>
    <xf numFmtId="0" fontId="12" fillId="19" borderId="20" xfId="0" applyFont="1" applyFill="1" applyBorder="1" applyAlignment="1">
      <alignment horizontal="center" vertical="center"/>
    </xf>
    <xf numFmtId="0" fontId="10" fillId="20" borderId="76" xfId="0" applyFont="1" applyFill="1" applyBorder="1" applyAlignment="1">
      <alignment horizontal="center" vertical="center"/>
    </xf>
    <xf numFmtId="0" fontId="29" fillId="0" borderId="0" xfId="0" applyFont="1" applyFill="1" applyBorder="1" applyAlignment="1">
      <alignment horizontal="left" vertical="center"/>
    </xf>
    <xf numFmtId="0" fontId="17" fillId="0" borderId="0" xfId="0" applyFont="1" applyAlignment="1">
      <alignment horizontal="center" vertical="center"/>
    </xf>
    <xf numFmtId="0" fontId="12" fillId="0" borderId="20" xfId="0" applyFont="1" applyBorder="1"/>
    <xf numFmtId="0" fontId="17" fillId="0" borderId="20" xfId="0" applyFont="1" applyBorder="1"/>
    <xf numFmtId="0" fontId="16" fillId="0" borderId="81" xfId="0" applyFont="1" applyBorder="1"/>
    <xf numFmtId="0" fontId="16" fillId="0" borderId="35" xfId="0" applyFont="1" applyBorder="1"/>
    <xf numFmtId="0" fontId="9" fillId="0" borderId="0" xfId="0" applyFont="1" applyBorder="1" applyAlignment="1">
      <alignment horizontal="center" vertical="center"/>
    </xf>
    <xf numFmtId="0" fontId="28" fillId="0" borderId="0" xfId="0" applyFont="1" applyAlignment="1">
      <alignment vertical="center"/>
    </xf>
    <xf numFmtId="0" fontId="29" fillId="9" borderId="8" xfId="17" applyFont="1" applyFill="1" applyBorder="1" applyAlignment="1">
      <alignment vertical="center"/>
    </xf>
    <xf numFmtId="0" fontId="29" fillId="9" borderId="9" xfId="17" applyFont="1" applyFill="1" applyBorder="1" applyAlignment="1">
      <alignment horizontal="center" vertical="center"/>
    </xf>
    <xf numFmtId="1" fontId="29" fillId="9" borderId="9" xfId="17" applyNumberFormat="1" applyFont="1" applyFill="1" applyBorder="1" applyAlignment="1">
      <alignment horizontal="center" vertical="center"/>
    </xf>
    <xf numFmtId="2" fontId="28" fillId="7" borderId="10" xfId="0" applyNumberFormat="1" applyFont="1" applyFill="1" applyBorder="1" applyAlignment="1">
      <alignment horizontal="center" vertical="center"/>
    </xf>
    <xf numFmtId="0" fontId="28" fillId="7" borderId="11" xfId="0" applyFont="1" applyFill="1" applyBorder="1" applyAlignment="1">
      <alignment horizontal="center" vertical="center"/>
    </xf>
    <xf numFmtId="3" fontId="29" fillId="7" borderId="10" xfId="0" applyNumberFormat="1" applyFont="1" applyFill="1" applyBorder="1" applyAlignment="1">
      <alignment horizontal="right" vertical="center"/>
    </xf>
    <xf numFmtId="3" fontId="29" fillId="7" borderId="11" xfId="0" applyNumberFormat="1" applyFont="1" applyFill="1" applyBorder="1" applyAlignment="1">
      <alignment horizontal="right" vertical="center"/>
    </xf>
    <xf numFmtId="0" fontId="28" fillId="0" borderId="0" xfId="0" applyFont="1" applyAlignment="1">
      <alignment horizontal="center" vertical="center"/>
    </xf>
    <xf numFmtId="2" fontId="12" fillId="2" borderId="22" xfId="17" applyNumberFormat="1" applyFont="1" applyFill="1" applyBorder="1" applyAlignment="1">
      <alignment horizontal="center" vertical="center"/>
    </xf>
    <xf numFmtId="0" fontId="12" fillId="0" borderId="0" xfId="0" applyFont="1" applyAlignment="1">
      <alignment horizontal="center" vertical="center"/>
    </xf>
    <xf numFmtId="0" fontId="12" fillId="2" borderId="34" xfId="17" applyFont="1" applyFill="1" applyBorder="1" applyAlignment="1">
      <alignment horizontal="right" vertical="center"/>
    </xf>
    <xf numFmtId="0" fontId="29" fillId="7" borderId="47" xfId="0" applyFont="1" applyFill="1" applyBorder="1" applyAlignment="1">
      <alignment vertical="center"/>
    </xf>
    <xf numFmtId="1" fontId="29" fillId="7" borderId="10" xfId="0" applyNumberFormat="1" applyFont="1" applyFill="1" applyBorder="1" applyAlignment="1">
      <alignment horizontal="center" vertical="center"/>
    </xf>
    <xf numFmtId="2" fontId="29" fillId="7" borderId="11" xfId="0" applyNumberFormat="1" applyFont="1" applyFill="1" applyBorder="1" applyAlignment="1">
      <alignment horizontal="center" vertical="center"/>
    </xf>
    <xf numFmtId="1" fontId="17" fillId="3" borderId="20" xfId="0" applyNumberFormat="1" applyFont="1" applyFill="1" applyBorder="1" applyAlignment="1">
      <alignment horizontal="center" vertical="center"/>
    </xf>
    <xf numFmtId="0" fontId="29" fillId="7" borderId="47" xfId="0" applyFont="1" applyFill="1" applyBorder="1" applyAlignment="1">
      <alignment horizontal="center" vertical="center"/>
    </xf>
    <xf numFmtId="0" fontId="17" fillId="0" borderId="34" xfId="0" applyFont="1" applyFill="1" applyBorder="1" applyAlignment="1">
      <alignment horizontal="left" vertical="center" wrapText="1"/>
    </xf>
    <xf numFmtId="49" fontId="17" fillId="0" borderId="20" xfId="0" quotePrefix="1" applyNumberFormat="1" applyFont="1" applyBorder="1" applyAlignment="1">
      <alignment horizontal="center" vertical="center"/>
    </xf>
    <xf numFmtId="1" fontId="17" fillId="3" borderId="20" xfId="0" applyNumberFormat="1" applyFont="1" applyFill="1" applyBorder="1" applyAlignment="1">
      <alignment horizontal="center" vertical="center" wrapText="1"/>
    </xf>
    <xf numFmtId="2" fontId="17" fillId="0" borderId="20" xfId="0" quotePrefix="1" applyNumberFormat="1" applyFont="1" applyBorder="1" applyAlignment="1">
      <alignment horizontal="center" vertical="center"/>
    </xf>
    <xf numFmtId="0" fontId="17" fillId="0" borderId="22" xfId="0" applyFont="1" applyBorder="1" applyAlignment="1">
      <alignment horizontal="center" vertical="center"/>
    </xf>
    <xf numFmtId="0" fontId="17" fillId="0" borderId="0" xfId="0" applyFont="1" applyAlignment="1">
      <alignment horizontal="center" vertical="center" wrapText="1"/>
    </xf>
    <xf numFmtId="165" fontId="17" fillId="0" borderId="0" xfId="0" applyNumberFormat="1" applyFont="1" applyAlignment="1">
      <alignment horizontal="center" vertical="center"/>
    </xf>
    <xf numFmtId="0" fontId="12" fillId="2" borderId="56" xfId="17" applyFont="1" applyFill="1" applyBorder="1" applyAlignment="1">
      <alignment horizontal="right" vertical="center"/>
    </xf>
    <xf numFmtId="49" fontId="12" fillId="2" borderId="57" xfId="17" applyNumberFormat="1" applyFont="1" applyFill="1" applyBorder="1" applyAlignment="1">
      <alignment horizontal="center" vertical="center"/>
    </xf>
    <xf numFmtId="1" fontId="12" fillId="14" borderId="57" xfId="17" applyNumberFormat="1" applyFont="1" applyFill="1" applyBorder="1" applyAlignment="1">
      <alignment horizontal="center" vertical="center"/>
    </xf>
    <xf numFmtId="2" fontId="12" fillId="14" borderId="57" xfId="17" applyNumberFormat="1" applyFont="1" applyFill="1" applyBorder="1" applyAlignment="1">
      <alignment horizontal="center" vertical="center"/>
    </xf>
    <xf numFmtId="4" fontId="12" fillId="2" borderId="57" xfId="0" applyNumberFormat="1" applyFont="1" applyFill="1" applyBorder="1" applyAlignment="1">
      <alignment horizontal="center" vertical="center"/>
    </xf>
    <xf numFmtId="165" fontId="12" fillId="2" borderId="58" xfId="17" applyNumberFormat="1" applyFont="1" applyFill="1" applyBorder="1" applyAlignment="1">
      <alignment horizontal="center" vertical="center"/>
    </xf>
    <xf numFmtId="4" fontId="12" fillId="2" borderId="59" xfId="17" applyNumberFormat="1" applyFont="1" applyFill="1" applyBorder="1" applyAlignment="1">
      <alignment horizontal="center" vertical="center"/>
    </xf>
    <xf numFmtId="4" fontId="12" fillId="2" borderId="57" xfId="17" applyNumberFormat="1" applyFont="1" applyFill="1" applyBorder="1" applyAlignment="1">
      <alignment horizontal="center" vertical="center"/>
    </xf>
    <xf numFmtId="3" fontId="12" fillId="2" borderId="57" xfId="0" applyNumberFormat="1" applyFont="1" applyFill="1" applyBorder="1" applyAlignment="1">
      <alignment horizontal="right" vertical="center"/>
    </xf>
    <xf numFmtId="3" fontId="12" fillId="2" borderId="58" xfId="0" applyNumberFormat="1" applyFont="1" applyFill="1" applyBorder="1" applyAlignment="1">
      <alignment horizontal="right" vertical="center"/>
    </xf>
    <xf numFmtId="0" fontId="12" fillId="2" borderId="63" xfId="17" applyFont="1" applyFill="1" applyBorder="1" applyAlignment="1">
      <alignment horizontal="right" vertical="center"/>
    </xf>
    <xf numFmtId="2" fontId="12" fillId="2" borderId="64" xfId="17" applyNumberFormat="1" applyFont="1" applyFill="1" applyBorder="1" applyAlignment="1">
      <alignment horizontal="center" vertical="center"/>
    </xf>
    <xf numFmtId="3" fontId="12" fillId="0" borderId="0" xfId="0" applyNumberFormat="1" applyFont="1" applyAlignment="1">
      <alignment horizontal="center" vertical="center"/>
    </xf>
    <xf numFmtId="3" fontId="12" fillId="0" borderId="0" xfId="0" applyNumberFormat="1" applyFont="1" applyAlignment="1">
      <alignment vertical="center"/>
    </xf>
    <xf numFmtId="0" fontId="12" fillId="17" borderId="68" xfId="0" applyFont="1" applyFill="1" applyBorder="1" applyAlignment="1">
      <alignment horizontal="right" vertical="center" wrapText="1"/>
    </xf>
    <xf numFmtId="49" fontId="12" fillId="17" borderId="69" xfId="0" applyNumberFormat="1" applyFont="1" applyFill="1" applyBorder="1" applyAlignment="1">
      <alignment horizontal="center" vertical="center"/>
    </xf>
    <xf numFmtId="2" fontId="12" fillId="17" borderId="70" xfId="0" applyNumberFormat="1" applyFont="1" applyFill="1" applyBorder="1" applyAlignment="1">
      <alignment horizontal="center" vertical="center"/>
    </xf>
    <xf numFmtId="4" fontId="12" fillId="17" borderId="68" xfId="0" applyNumberFormat="1" applyFont="1" applyFill="1" applyBorder="1" applyAlignment="1">
      <alignment horizontal="center" vertical="center"/>
    </xf>
    <xf numFmtId="3" fontId="28" fillId="7" borderId="10" xfId="0" applyNumberFormat="1" applyFont="1" applyFill="1" applyBorder="1" applyAlignment="1">
      <alignment horizontal="right" vertical="center"/>
    </xf>
    <xf numFmtId="3" fontId="28" fillId="7" borderId="11" xfId="0" applyNumberFormat="1" applyFont="1" applyFill="1" applyBorder="1" applyAlignment="1">
      <alignment horizontal="right" vertical="center"/>
    </xf>
    <xf numFmtId="0" fontId="29" fillId="0" borderId="0" xfId="0" applyFont="1" applyAlignment="1">
      <alignment horizontal="center" vertical="center"/>
    </xf>
    <xf numFmtId="2" fontId="17" fillId="0" borderId="0" xfId="0" applyNumberFormat="1" applyFont="1" applyAlignment="1">
      <alignment horizontal="center" vertical="center"/>
    </xf>
    <xf numFmtId="0" fontId="10" fillId="19" borderId="72" xfId="17" applyFont="1" applyFill="1" applyBorder="1" applyAlignment="1">
      <alignment vertical="center"/>
    </xf>
    <xf numFmtId="0" fontId="12" fillId="19" borderId="73" xfId="17" applyFont="1" applyFill="1" applyBorder="1" applyAlignment="1">
      <alignment horizontal="center" vertical="center"/>
    </xf>
    <xf numFmtId="1" fontId="12" fillId="19" borderId="73" xfId="17" applyNumberFormat="1" applyFont="1" applyFill="1" applyBorder="1" applyAlignment="1">
      <alignment horizontal="center" vertical="center"/>
    </xf>
    <xf numFmtId="2" fontId="12" fillId="19" borderId="73" xfId="17" applyNumberFormat="1" applyFont="1" applyFill="1" applyBorder="1" applyAlignment="1">
      <alignment horizontal="center" vertical="center"/>
    </xf>
    <xf numFmtId="165" fontId="12" fillId="19" borderId="74" xfId="17" applyNumberFormat="1" applyFont="1" applyFill="1" applyBorder="1" applyAlignment="1">
      <alignment horizontal="center" vertical="center"/>
    </xf>
    <xf numFmtId="0" fontId="12" fillId="19" borderId="72" xfId="0" applyFont="1" applyFill="1" applyBorder="1" applyAlignment="1">
      <alignment horizontal="center" vertical="center"/>
    </xf>
    <xf numFmtId="3" fontId="12" fillId="19" borderId="73" xfId="0" applyNumberFormat="1" applyFont="1" applyFill="1" applyBorder="1" applyAlignment="1">
      <alignment horizontal="right" vertical="center"/>
    </xf>
    <xf numFmtId="3" fontId="12" fillId="19" borderId="74" xfId="0" applyNumberFormat="1" applyFont="1" applyFill="1" applyBorder="1" applyAlignment="1">
      <alignment horizontal="right" vertical="center"/>
    </xf>
    <xf numFmtId="0" fontId="10" fillId="19" borderId="34" xfId="17" applyFont="1" applyFill="1" applyBorder="1" applyAlignment="1">
      <alignment vertical="center"/>
    </xf>
    <xf numFmtId="0" fontId="12" fillId="19" borderId="20" xfId="17" applyFont="1" applyFill="1" applyBorder="1" applyAlignment="1">
      <alignment horizontal="center" vertical="center"/>
    </xf>
    <xf numFmtId="1" fontId="12" fillId="19" borderId="20" xfId="17" applyNumberFormat="1" applyFont="1" applyFill="1" applyBorder="1" applyAlignment="1">
      <alignment horizontal="center" vertical="center"/>
    </xf>
    <xf numFmtId="2" fontId="12" fillId="19" borderId="20" xfId="17" applyNumberFormat="1" applyFont="1" applyFill="1" applyBorder="1" applyAlignment="1">
      <alignment horizontal="center" vertical="center"/>
    </xf>
    <xf numFmtId="165" fontId="12" fillId="19" borderId="22" xfId="17" applyNumberFormat="1" applyFont="1" applyFill="1" applyBorder="1" applyAlignment="1">
      <alignment horizontal="center" vertical="center"/>
    </xf>
    <xf numFmtId="0" fontId="12" fillId="19" borderId="34" xfId="0" applyFont="1" applyFill="1" applyBorder="1" applyAlignment="1">
      <alignment horizontal="center" vertical="center"/>
    </xf>
    <xf numFmtId="3" fontId="12" fillId="19" borderId="20" xfId="0" applyNumberFormat="1" applyFont="1" applyFill="1" applyBorder="1" applyAlignment="1">
      <alignment horizontal="right" vertical="center"/>
    </xf>
    <xf numFmtId="3" fontId="12" fillId="19" borderId="22" xfId="0" applyNumberFormat="1" applyFont="1" applyFill="1" applyBorder="1" applyAlignment="1">
      <alignment horizontal="right" vertical="center"/>
    </xf>
    <xf numFmtId="0" fontId="10" fillId="20" borderId="75" xfId="0" applyFont="1" applyFill="1" applyBorder="1" applyAlignment="1">
      <alignment horizontal="left" vertical="center"/>
    </xf>
    <xf numFmtId="1" fontId="10" fillId="20" borderId="76" xfId="0" applyNumberFormat="1" applyFont="1" applyFill="1" applyBorder="1" applyAlignment="1">
      <alignment horizontal="center" vertical="center"/>
    </xf>
    <xf numFmtId="2" fontId="10" fillId="20" borderId="76" xfId="0" applyNumberFormat="1" applyFont="1" applyFill="1" applyBorder="1" applyAlignment="1">
      <alignment horizontal="center" vertical="center"/>
    </xf>
    <xf numFmtId="165" fontId="10" fillId="20" borderId="77" xfId="0" applyNumberFormat="1" applyFont="1" applyFill="1" applyBorder="1" applyAlignment="1">
      <alignment horizontal="center" vertical="center"/>
    </xf>
    <xf numFmtId="0" fontId="10" fillId="20" borderId="75" xfId="0" applyFont="1" applyFill="1" applyBorder="1" applyAlignment="1">
      <alignment horizontal="center" vertical="center"/>
    </xf>
    <xf numFmtId="3" fontId="10" fillId="20" borderId="76" xfId="0" applyNumberFormat="1" applyFont="1" applyFill="1" applyBorder="1" applyAlignment="1">
      <alignment horizontal="right" vertical="center"/>
    </xf>
    <xf numFmtId="3" fontId="10" fillId="20" borderId="77" xfId="0" applyNumberFormat="1" applyFont="1" applyFill="1" applyBorder="1" applyAlignment="1">
      <alignment horizontal="right" vertical="center"/>
    </xf>
    <xf numFmtId="0" fontId="10" fillId="0" borderId="0" xfId="17" applyFont="1" applyAlignment="1">
      <alignment vertical="center"/>
    </xf>
    <xf numFmtId="0" fontId="10" fillId="0" borderId="0" xfId="17" applyFont="1" applyAlignment="1">
      <alignment horizontal="center" vertical="center"/>
    </xf>
    <xf numFmtId="1" fontId="10" fillId="0" borderId="0" xfId="17" applyNumberFormat="1" applyFont="1" applyAlignment="1">
      <alignment horizontal="center" vertical="center"/>
    </xf>
    <xf numFmtId="2" fontId="10" fillId="0" borderId="0" xfId="17" applyNumberFormat="1" applyFont="1" applyAlignment="1">
      <alignment horizontal="center" vertical="center"/>
    </xf>
    <xf numFmtId="3" fontId="10" fillId="24" borderId="7"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vertical="center"/>
    </xf>
    <xf numFmtId="0" fontId="10" fillId="0" borderId="0" xfId="0" applyFont="1" applyFill="1" applyBorder="1" applyAlignment="1">
      <alignment horizontal="center" vertical="center"/>
    </xf>
    <xf numFmtId="3" fontId="10" fillId="7" borderId="7" xfId="0" applyNumberFormat="1" applyFont="1" applyFill="1" applyBorder="1" applyAlignment="1">
      <alignment horizontal="center" vertical="center"/>
    </xf>
    <xf numFmtId="0" fontId="17" fillId="0" borderId="0" xfId="17" applyFont="1" applyAlignment="1">
      <alignment vertical="center"/>
    </xf>
    <xf numFmtId="0" fontId="17" fillId="0" borderId="0" xfId="17" applyFont="1" applyAlignment="1">
      <alignment horizontal="center" vertical="center"/>
    </xf>
    <xf numFmtId="1" fontId="17" fillId="0" borderId="0" xfId="17" applyNumberFormat="1" applyFont="1" applyAlignment="1">
      <alignment horizontal="center" vertical="center"/>
    </xf>
    <xf numFmtId="2" fontId="17" fillId="0" borderId="0" xfId="17" applyNumberFormat="1" applyFont="1" applyAlignment="1">
      <alignment horizontal="center" vertical="center"/>
    </xf>
    <xf numFmtId="3" fontId="17" fillId="0" borderId="0" xfId="0" applyNumberFormat="1" applyFont="1" applyAlignment="1">
      <alignment horizontal="right" vertical="center"/>
    </xf>
    <xf numFmtId="3" fontId="10" fillId="21" borderId="77" xfId="0" applyNumberFormat="1" applyFont="1" applyFill="1" applyBorder="1" applyAlignment="1">
      <alignment horizontal="right" vertical="center"/>
    </xf>
    <xf numFmtId="0" fontId="4" fillId="10" borderId="93" xfId="17" applyFont="1" applyFill="1" applyBorder="1" applyAlignment="1">
      <alignment horizontal="center" vertical="center"/>
    </xf>
    <xf numFmtId="0" fontId="4" fillId="10" borderId="0" xfId="17" applyFont="1" applyFill="1" applyBorder="1" applyAlignment="1">
      <alignment horizontal="center" vertical="center"/>
    </xf>
    <xf numFmtId="3" fontId="17" fillId="0" borderId="0" xfId="0" applyNumberFormat="1" applyFont="1"/>
    <xf numFmtId="0" fontId="5" fillId="8" borderId="6" xfId="0" applyFont="1" applyFill="1" applyBorder="1" applyAlignment="1">
      <alignment horizontal="center" vertical="center" wrapText="1"/>
    </xf>
    <xf numFmtId="0" fontId="30" fillId="8" borderId="6" xfId="0" applyFont="1" applyFill="1" applyBorder="1" applyAlignment="1">
      <alignment horizontal="center" vertical="center" wrapText="1"/>
    </xf>
    <xf numFmtId="0" fontId="31" fillId="0" borderId="0" xfId="0" applyFont="1"/>
    <xf numFmtId="0" fontId="33" fillId="0" borderId="0" xfId="0" applyFont="1"/>
    <xf numFmtId="0" fontId="33" fillId="0" borderId="0" xfId="0" applyFont="1" applyAlignment="1">
      <alignment vertical="center"/>
    </xf>
    <xf numFmtId="0" fontId="31" fillId="3" borderId="20" xfId="0" applyFont="1" applyFill="1" applyBorder="1"/>
    <xf numFmtId="0" fontId="32" fillId="3" borderId="20" xfId="0" applyFont="1" applyFill="1" applyBorder="1" applyAlignment="1">
      <alignment vertical="center" wrapText="1"/>
    </xf>
    <xf numFmtId="2" fontId="34" fillId="3" borderId="20" xfId="0" applyNumberFormat="1" applyFont="1" applyFill="1" applyBorder="1" applyAlignment="1">
      <alignment horizontal="center" vertical="center"/>
    </xf>
    <xf numFmtId="0" fontId="31" fillId="0" borderId="20" xfId="0" applyFont="1" applyFill="1" applyBorder="1" applyAlignment="1">
      <alignment horizontal="center" vertical="center"/>
    </xf>
    <xf numFmtId="0" fontId="34" fillId="0" borderId="20" xfId="0" applyFont="1" applyFill="1" applyBorder="1" applyAlignment="1">
      <alignment vertical="center" wrapText="1"/>
    </xf>
    <xf numFmtId="0" fontId="4" fillId="0" borderId="20" xfId="0" applyFont="1" applyFill="1" applyBorder="1" applyAlignment="1">
      <alignment horizontal="center" vertical="center"/>
    </xf>
    <xf numFmtId="2" fontId="33" fillId="0" borderId="0" xfId="0" applyNumberFormat="1" applyFont="1"/>
    <xf numFmtId="0" fontId="35" fillId="0" borderId="20" xfId="0" applyFont="1" applyFill="1" applyBorder="1" applyAlignment="1">
      <alignment horizontal="center" vertical="center"/>
    </xf>
    <xf numFmtId="0" fontId="36" fillId="0" borderId="20" xfId="0" applyFont="1" applyFill="1" applyBorder="1" applyAlignment="1">
      <alignment vertical="center" wrapText="1"/>
    </xf>
    <xf numFmtId="2" fontId="35" fillId="0" borderId="20" xfId="0" applyNumberFormat="1" applyFont="1" applyFill="1" applyBorder="1" applyAlignment="1">
      <alignment horizontal="center" vertical="center"/>
    </xf>
    <xf numFmtId="0" fontId="34" fillId="0" borderId="0" xfId="0" applyFont="1"/>
    <xf numFmtId="2" fontId="15" fillId="0" borderId="20" xfId="0" applyNumberFormat="1" applyFont="1" applyFill="1" applyBorder="1" applyAlignment="1">
      <alignment horizontal="center" vertical="center"/>
    </xf>
    <xf numFmtId="0" fontId="37" fillId="0" borderId="20" xfId="0" applyFont="1" applyFill="1" applyBorder="1" applyAlignment="1">
      <alignment horizontal="center" vertical="center"/>
    </xf>
    <xf numFmtId="0" fontId="31" fillId="0" borderId="20" xfId="0" applyFont="1" applyBorder="1" applyAlignment="1">
      <alignment horizontal="center" vertical="center"/>
    </xf>
    <xf numFmtId="0" fontId="34" fillId="0" borderId="20" xfId="0" applyFont="1" applyBorder="1" applyAlignment="1">
      <alignment vertical="center" wrapText="1"/>
    </xf>
    <xf numFmtId="2" fontId="4" fillId="0" borderId="20" xfId="0" applyNumberFormat="1" applyFont="1" applyBorder="1" applyAlignment="1">
      <alignment horizontal="center" vertical="center"/>
    </xf>
    <xf numFmtId="0" fontId="37" fillId="0" borderId="20" xfId="0" applyFont="1" applyBorder="1" applyAlignment="1">
      <alignment horizontal="center" vertical="center"/>
    </xf>
    <xf numFmtId="0" fontId="36" fillId="0" borderId="20" xfId="0" applyFont="1" applyBorder="1" applyAlignment="1">
      <alignment vertical="center" wrapText="1"/>
    </xf>
    <xf numFmtId="2" fontId="35" fillId="0" borderId="20" xfId="0" applyNumberFormat="1" applyFont="1" applyBorder="1" applyAlignment="1">
      <alignment horizontal="center" vertical="center"/>
    </xf>
    <xf numFmtId="0" fontId="15" fillId="0" borderId="20" xfId="0" applyFont="1" applyBorder="1" applyAlignment="1">
      <alignment horizontal="center" vertical="center"/>
    </xf>
    <xf numFmtId="2" fontId="15" fillId="0" borderId="20" xfId="0" applyNumberFormat="1" applyFont="1" applyBorder="1" applyAlignment="1">
      <alignment horizontal="center" vertical="center"/>
    </xf>
    <xf numFmtId="0" fontId="38" fillId="0" borderId="0" xfId="0" applyFont="1" applyAlignment="1">
      <alignment horizontal="center" vertical="center" wrapText="1"/>
    </xf>
    <xf numFmtId="0" fontId="38" fillId="0" borderId="20" xfId="0" applyFont="1" applyBorder="1" applyAlignment="1">
      <alignment horizontal="center" vertical="center" wrapText="1"/>
    </xf>
    <xf numFmtId="3" fontId="33" fillId="0" borderId="0" xfId="0" applyNumberFormat="1" applyFont="1" applyBorder="1" applyAlignment="1">
      <alignment horizontal="center" vertical="center" wrapText="1"/>
    </xf>
    <xf numFmtId="0" fontId="33" fillId="0" borderId="0" xfId="0" applyFont="1" applyAlignment="1">
      <alignment horizontal="center" vertical="center" wrapText="1"/>
    </xf>
    <xf numFmtId="3" fontId="33" fillId="0" borderId="20" xfId="0" applyNumberFormat="1" applyFont="1" applyBorder="1" applyAlignment="1">
      <alignment horizontal="center" vertical="center" wrapText="1"/>
    </xf>
    <xf numFmtId="3" fontId="33" fillId="0" borderId="20" xfId="0" applyNumberFormat="1" applyFont="1" applyBorder="1" applyAlignment="1">
      <alignment horizontal="right" vertical="center" wrapText="1" indent="1"/>
    </xf>
    <xf numFmtId="3" fontId="33" fillId="0" borderId="20" xfId="0" applyNumberFormat="1" applyFont="1" applyBorder="1" applyAlignment="1">
      <alignment horizontal="center"/>
    </xf>
    <xf numFmtId="3" fontId="33" fillId="0" borderId="20" xfId="0" applyNumberFormat="1" applyFont="1" applyBorder="1" applyAlignment="1">
      <alignment horizontal="right" indent="1"/>
    </xf>
    <xf numFmtId="3" fontId="33" fillId="3" borderId="20" xfId="0" applyNumberFormat="1" applyFont="1" applyFill="1" applyBorder="1"/>
    <xf numFmtId="0" fontId="39" fillId="0" borderId="0" xfId="0" applyFont="1" applyAlignment="1">
      <alignment wrapText="1"/>
    </xf>
    <xf numFmtId="0" fontId="40" fillId="0" borderId="0" xfId="0" applyFont="1"/>
    <xf numFmtId="0" fontId="15" fillId="0" borderId="0" xfId="0" applyFont="1" applyAlignment="1">
      <alignment horizontal="center" vertical="center"/>
    </xf>
    <xf numFmtId="1" fontId="41" fillId="0" borderId="51" xfId="0" applyNumberFormat="1" applyFont="1" applyBorder="1" applyAlignment="1">
      <alignment horizontal="center" vertical="center"/>
    </xf>
    <xf numFmtId="1" fontId="41" fillId="0" borderId="67" xfId="0" applyNumberFormat="1" applyFont="1" applyBorder="1" applyAlignment="1">
      <alignment horizontal="center" vertical="center"/>
    </xf>
    <xf numFmtId="1" fontId="41" fillId="0" borderId="1" xfId="0" applyNumberFormat="1" applyFont="1" applyBorder="1" applyAlignment="1">
      <alignment horizontal="center" vertical="center"/>
    </xf>
    <xf numFmtId="1" fontId="41" fillId="0" borderId="64" xfId="0" applyNumberFormat="1" applyFont="1" applyBorder="1" applyAlignment="1">
      <alignment horizontal="center" vertical="center"/>
    </xf>
    <xf numFmtId="1" fontId="40" fillId="0" borderId="108" xfId="0" applyNumberFormat="1" applyFont="1" applyBorder="1" applyAlignment="1">
      <alignment horizontal="center" vertical="center"/>
    </xf>
    <xf numFmtId="1" fontId="41" fillId="0" borderId="0" xfId="0" applyNumberFormat="1" applyFont="1" applyAlignment="1">
      <alignment horizontal="center" vertical="center"/>
    </xf>
    <xf numFmtId="1" fontId="34" fillId="11" borderId="109" xfId="0" applyNumberFormat="1" applyFont="1" applyFill="1" applyBorder="1" applyAlignment="1">
      <alignment horizontal="center" vertical="center"/>
    </xf>
    <xf numFmtId="1" fontId="34" fillId="0" borderId="0" xfId="0" applyNumberFormat="1" applyFont="1" applyAlignment="1">
      <alignment horizontal="center" vertical="center"/>
    </xf>
    <xf numFmtId="43" fontId="40" fillId="0" borderId="0" xfId="21" applyFont="1"/>
    <xf numFmtId="43" fontId="40" fillId="0" borderId="0" xfId="0" applyNumberFormat="1" applyFont="1"/>
    <xf numFmtId="1" fontId="15" fillId="0" borderId="0" xfId="0" applyNumberFormat="1" applyFont="1" applyAlignment="1">
      <alignment horizontal="center" vertical="center"/>
    </xf>
    <xf numFmtId="0" fontId="40" fillId="0" borderId="0" xfId="0" applyFont="1" applyFill="1"/>
    <xf numFmtId="0" fontId="34" fillId="0" borderId="0" xfId="0" applyFont="1" applyFill="1"/>
    <xf numFmtId="0" fontId="40" fillId="16" borderId="0" xfId="0" applyFont="1" applyFill="1"/>
    <xf numFmtId="0" fontId="34" fillId="16" borderId="0" xfId="0" applyFont="1" applyFill="1"/>
    <xf numFmtId="0" fontId="39" fillId="25" borderId="51" xfId="0" applyFont="1" applyFill="1" applyBorder="1" applyAlignment="1">
      <alignment horizontal="center" vertical="center" wrapText="1"/>
    </xf>
    <xf numFmtId="0" fontId="39" fillId="25" borderId="36" xfId="0" applyFont="1" applyFill="1" applyBorder="1" applyAlignment="1">
      <alignment horizontal="center" vertical="center"/>
    </xf>
    <xf numFmtId="3" fontId="39" fillId="25" borderId="20" xfId="0" applyNumberFormat="1" applyFont="1" applyFill="1" applyBorder="1" applyAlignment="1">
      <alignment horizontal="center" vertical="center"/>
    </xf>
    <xf numFmtId="3" fontId="40" fillId="25" borderId="20" xfId="0" applyNumberFormat="1" applyFont="1" applyFill="1" applyBorder="1" applyAlignment="1">
      <alignment horizontal="center" vertical="center"/>
    </xf>
    <xf numFmtId="3" fontId="40" fillId="25" borderId="17" xfId="0" applyNumberFormat="1" applyFont="1" applyFill="1" applyBorder="1" applyAlignment="1">
      <alignment horizontal="center" vertical="center"/>
    </xf>
    <xf numFmtId="3" fontId="40" fillId="25" borderId="108" xfId="0" applyNumberFormat="1" applyFont="1" applyFill="1" applyBorder="1" applyAlignment="1">
      <alignment horizontal="center" vertical="center"/>
    </xf>
    <xf numFmtId="0" fontId="39" fillId="0" borderId="0" xfId="0" applyFont="1"/>
    <xf numFmtId="0" fontId="39" fillId="16" borderId="0" xfId="0" applyFont="1" applyFill="1"/>
    <xf numFmtId="4" fontId="40" fillId="0" borderId="0" xfId="0" applyNumberFormat="1" applyFont="1"/>
    <xf numFmtId="3" fontId="40" fillId="0" borderId="0" xfId="0" applyNumberFormat="1" applyFont="1"/>
    <xf numFmtId="43" fontId="34" fillId="0" borderId="0" xfId="0" applyNumberFormat="1" applyFont="1"/>
    <xf numFmtId="0" fontId="39" fillId="0" borderId="0" xfId="0" applyFont="1" applyAlignment="1">
      <alignment horizontal="center"/>
    </xf>
    <xf numFmtId="1" fontId="41" fillId="0" borderId="108" xfId="0" applyNumberFormat="1" applyFont="1" applyBorder="1" applyAlignment="1">
      <alignment horizontal="center" vertical="center"/>
    </xf>
    <xf numFmtId="4" fontId="39" fillId="25" borderId="108" xfId="0" applyNumberFormat="1" applyFont="1" applyFill="1" applyBorder="1" applyAlignment="1">
      <alignment horizontal="center" vertical="center"/>
    </xf>
    <xf numFmtId="0" fontId="40" fillId="3" borderId="48" xfId="0" applyFont="1" applyFill="1" applyBorder="1" applyAlignment="1">
      <alignment horizontal="center" wrapText="1" readingOrder="1"/>
    </xf>
    <xf numFmtId="0" fontId="40" fillId="3" borderId="111" xfId="0" applyFont="1" applyFill="1" applyBorder="1" applyAlignment="1">
      <alignment horizontal="center" vertical="center" wrapText="1"/>
    </xf>
    <xf numFmtId="0" fontId="40" fillId="3" borderId="112" xfId="0" applyFont="1" applyFill="1" applyBorder="1" applyAlignment="1">
      <alignment horizontal="center" vertical="center" wrapText="1"/>
    </xf>
    <xf numFmtId="0" fontId="40" fillId="3" borderId="61" xfId="0" applyFont="1" applyFill="1" applyBorder="1" applyAlignment="1">
      <alignment horizontal="center" vertical="center" wrapText="1"/>
    </xf>
    <xf numFmtId="3" fontId="40" fillId="3" borderId="61" xfId="0" applyNumberFormat="1" applyFont="1" applyFill="1" applyBorder="1" applyAlignment="1">
      <alignment horizontal="right" vertical="center" wrapText="1" indent="1" readingOrder="1"/>
    </xf>
    <xf numFmtId="3" fontId="40" fillId="3" borderId="50" xfId="0" applyNumberFormat="1" applyFont="1" applyFill="1" applyBorder="1" applyAlignment="1">
      <alignment horizontal="center" vertical="center" wrapText="1" readingOrder="1"/>
    </xf>
    <xf numFmtId="3" fontId="40" fillId="3" borderId="113" xfId="0" applyNumberFormat="1" applyFont="1" applyFill="1" applyBorder="1" applyAlignment="1">
      <alignment horizontal="center" vertical="center" wrapText="1" readingOrder="1"/>
    </xf>
    <xf numFmtId="3" fontId="42" fillId="0" borderId="0" xfId="0" applyNumberFormat="1" applyFont="1"/>
    <xf numFmtId="0" fontId="42" fillId="0" borderId="0" xfId="0" applyFont="1"/>
    <xf numFmtId="0" fontId="40" fillId="25" borderId="5" xfId="0" applyFont="1" applyFill="1" applyBorder="1" applyAlignment="1">
      <alignment horizontal="center" vertical="center" wrapText="1" readingOrder="1"/>
    </xf>
    <xf numFmtId="4" fontId="40" fillId="25" borderId="6" xfId="0" applyNumberFormat="1" applyFont="1" applyFill="1" applyBorder="1" applyAlignment="1">
      <alignment horizontal="center" vertical="center" wrapText="1"/>
    </xf>
    <xf numFmtId="0" fontId="40" fillId="25" borderId="6" xfId="0" applyFont="1" applyFill="1" applyBorder="1" applyAlignment="1">
      <alignment horizontal="center" vertical="center" wrapText="1"/>
    </xf>
    <xf numFmtId="0" fontId="40" fillId="25" borderId="114" xfId="0" applyFont="1" applyFill="1" applyBorder="1" applyAlignment="1">
      <alignment horizontal="center" vertical="center" wrapText="1"/>
    </xf>
    <xf numFmtId="3" fontId="40" fillId="25" borderId="115" xfId="0" applyNumberFormat="1" applyFont="1" applyFill="1" applyBorder="1" applyAlignment="1">
      <alignment horizontal="center" vertical="center" wrapText="1" readingOrder="1"/>
    </xf>
    <xf numFmtId="43" fontId="42" fillId="0" borderId="0" xfId="0" applyNumberFormat="1" applyFont="1"/>
    <xf numFmtId="0" fontId="10" fillId="0" borderId="0" xfId="0" applyFont="1"/>
    <xf numFmtId="4" fontId="34" fillId="0" borderId="0" xfId="0" applyNumberFormat="1" applyFont="1"/>
    <xf numFmtId="0" fontId="33" fillId="0" borderId="104" xfId="0" applyFont="1" applyBorder="1" applyAlignment="1">
      <alignment vertical="center"/>
    </xf>
    <xf numFmtId="0" fontId="33" fillId="0" borderId="0" xfId="0" applyFont="1" applyBorder="1" applyAlignment="1">
      <alignment vertical="center"/>
    </xf>
    <xf numFmtId="3" fontId="33" fillId="0" borderId="36" xfId="0" applyNumberFormat="1" applyFont="1" applyBorder="1" applyAlignment="1">
      <alignment horizontal="center" vertical="center" wrapText="1"/>
    </xf>
    <xf numFmtId="3" fontId="33" fillId="0" borderId="36" xfId="0" applyNumberFormat="1" applyFont="1" applyBorder="1" applyAlignment="1">
      <alignment horizontal="center"/>
    </xf>
    <xf numFmtId="3" fontId="33" fillId="3" borderId="36" xfId="0" applyNumberFormat="1" applyFont="1" applyFill="1" applyBorder="1" applyAlignment="1">
      <alignment horizontal="center"/>
    </xf>
    <xf numFmtId="0" fontId="31" fillId="0" borderId="20" xfId="0" applyFont="1" applyBorder="1" applyAlignment="1">
      <alignment horizontal="center" vertical="center" wrapText="1"/>
    </xf>
    <xf numFmtId="0" fontId="33" fillId="0" borderId="20" xfId="0" applyFont="1" applyBorder="1" applyAlignment="1">
      <alignment horizontal="left" vertical="center" wrapText="1"/>
    </xf>
    <xf numFmtId="3" fontId="44" fillId="3" borderId="20" xfId="0" applyNumberFormat="1" applyFont="1" applyFill="1" applyBorder="1" applyAlignment="1">
      <alignment horizontal="right" indent="1"/>
    </xf>
    <xf numFmtId="0" fontId="34" fillId="11" borderId="36" xfId="0" applyFont="1" applyFill="1" applyBorder="1" applyAlignment="1">
      <alignment vertical="center" wrapText="1"/>
    </xf>
    <xf numFmtId="0" fontId="34" fillId="11" borderId="1" xfId="0" applyFont="1" applyFill="1" applyBorder="1" applyAlignment="1">
      <alignment vertical="center" wrapText="1"/>
    </xf>
    <xf numFmtId="0" fontId="34" fillId="11" borderId="67" xfId="0" applyFont="1" applyFill="1" applyBorder="1" applyAlignment="1">
      <alignment vertical="center" wrapText="1"/>
    </xf>
    <xf numFmtId="0" fontId="34" fillId="11" borderId="22" xfId="0" applyFont="1" applyFill="1" applyBorder="1" applyAlignment="1">
      <alignment vertical="center" wrapText="1"/>
    </xf>
    <xf numFmtId="0" fontId="34" fillId="11" borderId="109" xfId="0" applyFont="1" applyFill="1" applyBorder="1" applyAlignment="1">
      <alignment vertical="center" wrapText="1"/>
    </xf>
    <xf numFmtId="4" fontId="4" fillId="11" borderId="108" xfId="0" applyNumberFormat="1" applyFont="1" applyFill="1" applyBorder="1" applyAlignment="1">
      <alignment horizontal="center" vertical="center"/>
    </xf>
    <xf numFmtId="0" fontId="34" fillId="11" borderId="67" xfId="0" applyFont="1" applyFill="1" applyBorder="1" applyAlignment="1">
      <alignment horizontal="center" vertical="center" wrapText="1"/>
    </xf>
    <xf numFmtId="3" fontId="34" fillId="11" borderId="1" xfId="0" applyNumberFormat="1" applyFont="1" applyFill="1" applyBorder="1" applyAlignment="1">
      <alignment horizontal="center" vertical="center" wrapText="1"/>
    </xf>
    <xf numFmtId="3" fontId="34" fillId="11" borderId="20" xfId="0" applyNumberFormat="1" applyFont="1" applyFill="1" applyBorder="1" applyAlignment="1">
      <alignment horizontal="center" vertical="center" wrapText="1"/>
    </xf>
    <xf numFmtId="3" fontId="34" fillId="11" borderId="42" xfId="0" applyNumberFormat="1" applyFont="1" applyFill="1" applyBorder="1" applyAlignment="1">
      <alignment horizontal="center" vertical="center" wrapText="1"/>
    </xf>
    <xf numFmtId="3" fontId="34" fillId="11" borderId="109" xfId="0" applyNumberFormat="1" applyFont="1" applyFill="1" applyBorder="1" applyAlignment="1">
      <alignment horizontal="center" vertical="center" wrapText="1"/>
    </xf>
    <xf numFmtId="0" fontId="34" fillId="16" borderId="51" xfId="0" applyFont="1" applyFill="1" applyBorder="1" applyAlignment="1">
      <alignment horizontal="center" vertical="center"/>
    </xf>
    <xf numFmtId="4" fontId="34" fillId="16" borderId="108" xfId="0" applyNumberFormat="1" applyFont="1" applyFill="1" applyBorder="1" applyAlignment="1">
      <alignment horizontal="center"/>
    </xf>
    <xf numFmtId="0" fontId="34" fillId="16" borderId="36" xfId="0" applyFont="1" applyFill="1" applyBorder="1" applyAlignment="1">
      <alignment horizontal="center" vertical="center"/>
    </xf>
    <xf numFmtId="3" fontId="34" fillId="16" borderId="20" xfId="0" applyNumberFormat="1" applyFont="1" applyFill="1" applyBorder="1" applyAlignment="1">
      <alignment horizontal="center" vertical="center" wrapText="1"/>
    </xf>
    <xf numFmtId="3" fontId="36" fillId="16" borderId="20" xfId="0" applyNumberFormat="1" applyFont="1" applyFill="1" applyBorder="1" applyAlignment="1">
      <alignment horizontal="center" vertical="center" wrapText="1"/>
    </xf>
    <xf numFmtId="3" fontId="34" fillId="16" borderId="108" xfId="0" applyNumberFormat="1" applyFont="1" applyFill="1" applyBorder="1" applyAlignment="1">
      <alignment horizontal="center" vertical="center" wrapText="1"/>
    </xf>
    <xf numFmtId="0" fontId="34" fillId="16" borderId="51" xfId="0" applyFont="1" applyFill="1" applyBorder="1" applyAlignment="1">
      <alignment horizontal="center" vertical="center" wrapText="1"/>
    </xf>
    <xf numFmtId="0" fontId="34" fillId="16" borderId="36" xfId="0" applyFont="1" applyFill="1" applyBorder="1" applyAlignment="1">
      <alignment horizontal="center" vertical="center" wrapText="1"/>
    </xf>
    <xf numFmtId="4" fontId="34" fillId="11" borderId="108" xfId="0" applyNumberFormat="1" applyFont="1" applyFill="1" applyBorder="1" applyAlignment="1">
      <alignment horizontal="center" vertical="center"/>
    </xf>
    <xf numFmtId="0" fontId="34" fillId="11" borderId="36" xfId="0" applyFont="1" applyFill="1" applyBorder="1" applyAlignment="1">
      <alignment horizontal="center" vertical="center" wrapText="1"/>
    </xf>
    <xf numFmtId="3" fontId="34" fillId="11" borderId="67" xfId="0" applyNumberFormat="1" applyFont="1" applyFill="1" applyBorder="1" applyAlignment="1">
      <alignment horizontal="center" vertical="center" wrapText="1"/>
    </xf>
    <xf numFmtId="3" fontId="34" fillId="11" borderId="22" xfId="0" applyNumberFormat="1" applyFont="1" applyFill="1" applyBorder="1" applyAlignment="1">
      <alignment horizontal="center" vertical="center" wrapText="1"/>
    </xf>
    <xf numFmtId="3" fontId="34" fillId="16" borderId="1" xfId="0" applyNumberFormat="1" applyFont="1" applyFill="1" applyBorder="1" applyAlignment="1">
      <alignment horizontal="center" vertical="center" wrapText="1"/>
    </xf>
    <xf numFmtId="3" fontId="34" fillId="16" borderId="109" xfId="0" applyNumberFormat="1" applyFont="1" applyFill="1" applyBorder="1" applyAlignment="1">
      <alignment horizontal="center" vertical="center" wrapText="1"/>
    </xf>
    <xf numFmtId="0" fontId="5" fillId="0" borderId="20" xfId="0" applyFont="1" applyBorder="1" applyAlignment="1">
      <alignment horizontal="center" vertical="center" wrapText="1"/>
    </xf>
    <xf numFmtId="0" fontId="40" fillId="0" borderId="0" xfId="0" applyFont="1" applyAlignment="1"/>
    <xf numFmtId="0" fontId="34" fillId="4" borderId="20" xfId="0" applyFont="1" applyFill="1" applyBorder="1" applyAlignment="1">
      <alignment horizontal="center" vertical="center" wrapText="1"/>
    </xf>
    <xf numFmtId="0" fontId="34" fillId="4" borderId="20" xfId="0" applyFont="1" applyFill="1" applyBorder="1" applyAlignment="1" applyProtection="1">
      <alignment horizontal="center" vertical="center" wrapText="1"/>
      <protection locked="0"/>
    </xf>
    <xf numFmtId="2" fontId="34" fillId="4" borderId="20" xfId="0" applyNumberFormat="1" applyFont="1" applyFill="1" applyBorder="1" applyAlignment="1">
      <alignment horizontal="center" vertical="center" wrapText="1"/>
    </xf>
    <xf numFmtId="0" fontId="34" fillId="0" borderId="0" xfId="0" applyFont="1" applyAlignment="1">
      <alignment horizontal="center" vertical="center"/>
    </xf>
    <xf numFmtId="0" fontId="34" fillId="0" borderId="20" xfId="0" applyFont="1" applyFill="1" applyBorder="1" applyAlignment="1">
      <alignment wrapText="1"/>
    </xf>
    <xf numFmtId="0" fontId="34" fillId="0" borderId="20" xfId="0" applyFont="1" applyFill="1" applyBorder="1" applyAlignment="1">
      <alignment horizontal="center" wrapText="1"/>
    </xf>
    <xf numFmtId="3" fontId="34" fillId="0" borderId="20" xfId="0" applyNumberFormat="1" applyFont="1" applyFill="1" applyBorder="1" applyAlignment="1">
      <alignment horizontal="center" wrapText="1"/>
    </xf>
    <xf numFmtId="1" fontId="34" fillId="0" borderId="20" xfId="0" applyNumberFormat="1" applyFont="1" applyFill="1" applyBorder="1" applyAlignment="1">
      <alignment horizontal="center" wrapText="1"/>
    </xf>
    <xf numFmtId="2" fontId="34" fillId="0" borderId="20" xfId="0" applyNumberFormat="1" applyFont="1" applyFill="1" applyBorder="1" applyAlignment="1">
      <alignment horizontal="left"/>
    </xf>
    <xf numFmtId="0" fontId="34" fillId="0" borderId="20" xfId="0" applyNumberFormat="1" applyFont="1" applyFill="1" applyBorder="1" applyAlignment="1">
      <alignment horizontal="center"/>
    </xf>
    <xf numFmtId="2" fontId="34" fillId="0" borderId="20" xfId="0" applyNumberFormat="1" applyFont="1" applyFill="1" applyBorder="1" applyAlignment="1">
      <alignment horizontal="center"/>
    </xf>
    <xf numFmtId="1" fontId="34" fillId="0" borderId="20" xfId="0" applyNumberFormat="1" applyFont="1" applyFill="1" applyBorder="1" applyAlignment="1">
      <alignment horizontal="center"/>
    </xf>
    <xf numFmtId="3" fontId="34" fillId="0" borderId="20" xfId="0" applyNumberFormat="1" applyFont="1" applyFill="1" applyBorder="1" applyAlignment="1">
      <alignment horizontal="center"/>
    </xf>
    <xf numFmtId="0" fontId="34" fillId="0" borderId="20" xfId="0" applyFont="1" applyBorder="1" applyAlignment="1">
      <alignment horizontal="left" wrapText="1"/>
    </xf>
    <xf numFmtId="0" fontId="34" fillId="0" borderId="20" xfId="0" applyFont="1" applyBorder="1" applyAlignment="1">
      <alignment horizontal="center" wrapText="1"/>
    </xf>
    <xf numFmtId="49" fontId="34" fillId="0" borderId="20" xfId="0" applyNumberFormat="1" applyFont="1" applyFill="1" applyBorder="1" applyAlignment="1">
      <alignment horizontal="center"/>
    </xf>
    <xf numFmtId="0" fontId="34" fillId="0" borderId="20" xfId="0" applyFont="1" applyFill="1" applyBorder="1" applyAlignment="1">
      <alignment horizontal="center"/>
    </xf>
    <xf numFmtId="0" fontId="34" fillId="16" borderId="20" xfId="0" applyFont="1" applyFill="1" applyBorder="1" applyAlignment="1">
      <alignment horizontal="center"/>
    </xf>
    <xf numFmtId="0" fontId="34" fillId="0" borderId="20" xfId="0" applyFont="1" applyFill="1" applyBorder="1"/>
    <xf numFmtId="2" fontId="34" fillId="0" borderId="20" xfId="0" applyNumberFormat="1" applyFont="1" applyFill="1" applyBorder="1" applyAlignment="1">
      <alignment horizontal="left" wrapText="1"/>
    </xf>
    <xf numFmtId="0" fontId="34" fillId="16" borderId="20" xfId="0" applyFont="1" applyFill="1" applyBorder="1" applyAlignment="1">
      <alignment horizontal="center" wrapText="1"/>
    </xf>
    <xf numFmtId="2" fontId="34" fillId="16" borderId="20" xfId="0" applyNumberFormat="1" applyFont="1" applyFill="1" applyBorder="1" applyAlignment="1">
      <alignment horizontal="center"/>
    </xf>
    <xf numFmtId="0" fontId="34" fillId="0" borderId="20" xfId="0" applyFont="1" applyBorder="1" applyAlignment="1">
      <alignment horizontal="center"/>
    </xf>
    <xf numFmtId="3" fontId="34" fillId="0" borderId="20" xfId="0" applyNumberFormat="1" applyFont="1" applyBorder="1" applyAlignment="1">
      <alignment horizontal="center"/>
    </xf>
    <xf numFmtId="3" fontId="34" fillId="6" borderId="20" xfId="0" applyNumberFormat="1" applyFont="1" applyFill="1" applyBorder="1" applyAlignment="1">
      <alignment horizontal="center" wrapText="1"/>
    </xf>
    <xf numFmtId="3" fontId="40" fillId="6" borderId="20" xfId="0" applyNumberFormat="1" applyFont="1" applyFill="1" applyBorder="1" applyAlignment="1">
      <alignment horizont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textRotation="90" wrapText="1"/>
    </xf>
    <xf numFmtId="0" fontId="31" fillId="3" borderId="6" xfId="0" applyFont="1" applyFill="1" applyBorder="1" applyAlignment="1">
      <alignment horizontal="center" textRotation="90"/>
    </xf>
    <xf numFmtId="9" fontId="31" fillId="3" borderId="6" xfId="0" applyNumberFormat="1" applyFont="1" applyFill="1" applyBorder="1" applyAlignment="1">
      <alignment horizontal="center" textRotation="90" wrapText="1"/>
    </xf>
    <xf numFmtId="0" fontId="31" fillId="3" borderId="7" xfId="0" applyFont="1" applyFill="1" applyBorder="1" applyAlignment="1">
      <alignment horizontal="center" textRotation="90" wrapText="1"/>
    </xf>
    <xf numFmtId="0" fontId="0" fillId="0" borderId="0" xfId="0" applyFont="1"/>
    <xf numFmtId="0" fontId="44" fillId="0" borderId="0" xfId="0" applyFont="1"/>
    <xf numFmtId="0" fontId="31" fillId="0" borderId="63" xfId="0" applyFont="1" applyBorder="1" applyAlignment="1">
      <alignment wrapText="1"/>
    </xf>
    <xf numFmtId="0" fontId="31" fillId="0" borderId="1" xfId="0" applyFont="1" applyBorder="1" applyAlignment="1">
      <alignment horizontal="center"/>
    </xf>
    <xf numFmtId="1" fontId="31" fillId="0" borderId="1" xfId="0" applyNumberFormat="1" applyFont="1" applyBorder="1" applyAlignment="1">
      <alignment horizontal="center"/>
    </xf>
    <xf numFmtId="9" fontId="31" fillId="0" borderId="1" xfId="0" applyNumberFormat="1" applyFont="1" applyBorder="1" applyAlignment="1">
      <alignment horizontal="center"/>
    </xf>
    <xf numFmtId="167" fontId="31" fillId="0" borderId="1" xfId="21" applyNumberFormat="1" applyFont="1" applyBorder="1" applyAlignment="1"/>
    <xf numFmtId="167" fontId="31" fillId="0" borderId="1" xfId="21" applyNumberFormat="1" applyFont="1" applyBorder="1" applyAlignment="1">
      <alignment horizontal="center"/>
    </xf>
    <xf numFmtId="167" fontId="31" fillId="0" borderId="64" xfId="21" applyNumberFormat="1" applyFont="1" applyBorder="1" applyAlignment="1"/>
    <xf numFmtId="0" fontId="31" fillId="0" borderId="34" xfId="0" applyFont="1" applyBorder="1"/>
    <xf numFmtId="0" fontId="31" fillId="0" borderId="20" xfId="0" applyFont="1" applyBorder="1" applyAlignment="1">
      <alignment horizontal="center"/>
    </xf>
    <xf numFmtId="1" fontId="31" fillId="0" borderId="20" xfId="0" applyNumberFormat="1" applyFont="1" applyBorder="1" applyAlignment="1">
      <alignment horizontal="center"/>
    </xf>
    <xf numFmtId="9" fontId="31" fillId="0" borderId="20" xfId="0" applyNumberFormat="1" applyFont="1" applyBorder="1" applyAlignment="1">
      <alignment horizontal="center"/>
    </xf>
    <xf numFmtId="167" fontId="31" fillId="0" borderId="20" xfId="21" applyNumberFormat="1" applyFont="1" applyBorder="1" applyAlignment="1"/>
    <xf numFmtId="167" fontId="31" fillId="0" borderId="20" xfId="21" applyNumberFormat="1" applyFont="1" applyBorder="1" applyAlignment="1">
      <alignment horizontal="center"/>
    </xf>
    <xf numFmtId="167" fontId="31" fillId="0" borderId="22" xfId="21" applyNumberFormat="1" applyFont="1" applyBorder="1" applyAlignment="1"/>
    <xf numFmtId="0" fontId="31" fillId="0" borderId="34" xfId="0" applyFont="1" applyBorder="1" applyAlignment="1">
      <alignment wrapText="1"/>
    </xf>
    <xf numFmtId="0" fontId="31" fillId="0" borderId="34" xfId="0" applyFont="1" applyBorder="1" applyAlignment="1">
      <alignment horizontal="left" vertical="top" wrapText="1"/>
    </xf>
    <xf numFmtId="167" fontId="4" fillId="0" borderId="20" xfId="21" applyNumberFormat="1" applyFont="1" applyFill="1" applyBorder="1" applyAlignment="1"/>
    <xf numFmtId="167" fontId="31" fillId="0" borderId="20" xfId="21" applyNumberFormat="1" applyFont="1" applyFill="1" applyBorder="1" applyAlignment="1"/>
    <xf numFmtId="0" fontId="31" fillId="26" borderId="34" xfId="0" applyFont="1" applyFill="1" applyBorder="1" applyAlignment="1">
      <alignment wrapText="1"/>
    </xf>
    <xf numFmtId="167" fontId="45" fillId="0" borderId="20" xfId="21" applyNumberFormat="1" applyFont="1" applyBorder="1"/>
    <xf numFmtId="167" fontId="31" fillId="0" borderId="20" xfId="21" applyNumberFormat="1" applyFont="1" applyBorder="1"/>
    <xf numFmtId="167" fontId="45" fillId="0" borderId="22" xfId="21" applyNumberFormat="1" applyFont="1" applyBorder="1"/>
    <xf numFmtId="167" fontId="45" fillId="0" borderId="70" xfId="21" applyNumberFormat="1" applyFont="1" applyBorder="1"/>
    <xf numFmtId="0" fontId="45" fillId="0" borderId="34" xfId="0" applyFont="1" applyBorder="1" applyAlignment="1">
      <alignment horizontal="right"/>
    </xf>
    <xf numFmtId="0" fontId="45" fillId="0" borderId="20" xfId="0" applyFont="1" applyBorder="1" applyAlignment="1">
      <alignment horizontal="right"/>
    </xf>
    <xf numFmtId="0" fontId="45" fillId="0" borderId="102" xfId="0" applyFont="1" applyBorder="1" applyAlignment="1">
      <alignment horizontal="right"/>
    </xf>
    <xf numFmtId="0" fontId="45" fillId="0" borderId="71" xfId="0" applyFont="1" applyBorder="1" applyAlignment="1">
      <alignment horizontal="right"/>
    </xf>
    <xf numFmtId="2" fontId="45" fillId="0" borderId="68" xfId="0" applyNumberFormat="1" applyFont="1" applyBorder="1" applyAlignment="1">
      <alignment horizontal="right" wrapText="1"/>
    </xf>
    <xf numFmtId="2" fontId="4" fillId="13" borderId="80" xfId="17" applyNumberFormat="1" applyFont="1" applyFill="1" applyBorder="1" applyAlignment="1">
      <alignment horizontal="center" vertical="center"/>
    </xf>
    <xf numFmtId="2" fontId="4" fillId="13" borderId="89" xfId="17" applyNumberFormat="1" applyFont="1" applyFill="1" applyBorder="1" applyAlignment="1">
      <alignment horizontal="center" vertical="center"/>
    </xf>
    <xf numFmtId="49" fontId="4" fillId="0" borderId="80" xfId="17" applyNumberFormat="1" applyFont="1" applyBorder="1" applyAlignment="1">
      <alignment horizontal="center" vertical="center"/>
    </xf>
    <xf numFmtId="2" fontId="4" fillId="0" borderId="36" xfId="0" applyNumberFormat="1" applyFont="1" applyFill="1" applyBorder="1" applyAlignment="1">
      <alignment horizontal="center" vertical="center"/>
    </xf>
    <xf numFmtId="49" fontId="4" fillId="16" borderId="34" xfId="0" applyNumberFormat="1" applyFont="1" applyFill="1" applyBorder="1" applyAlignment="1">
      <alignment horizontal="left" vertical="top" wrapText="1"/>
    </xf>
    <xf numFmtId="49" fontId="4" fillId="16" borderId="20" xfId="0" applyNumberFormat="1" applyFont="1" applyFill="1" applyBorder="1" applyAlignment="1">
      <alignment horizontal="center" vertical="top"/>
    </xf>
    <xf numFmtId="1" fontId="4" fillId="3" borderId="20" xfId="0" applyNumberFormat="1" applyFont="1" applyFill="1" applyBorder="1" applyAlignment="1">
      <alignment horizontal="center" vertical="top"/>
    </xf>
    <xf numFmtId="2" fontId="4" fillId="16" borderId="20" xfId="0" applyNumberFormat="1" applyFont="1" applyFill="1" applyBorder="1" applyAlignment="1">
      <alignment horizontal="center" vertical="top"/>
    </xf>
    <xf numFmtId="49" fontId="4" fillId="0" borderId="34" xfId="0" applyNumberFormat="1" applyFont="1" applyBorder="1" applyAlignment="1">
      <alignment horizontal="left" vertical="top" wrapText="1"/>
    </xf>
    <xf numFmtId="49" fontId="4" fillId="0" borderId="20" xfId="0" applyNumberFormat="1" applyFont="1" applyBorder="1" applyAlignment="1">
      <alignment horizontal="center" vertical="top"/>
    </xf>
    <xf numFmtId="49" fontId="4" fillId="16" borderId="34" xfId="0" applyNumberFormat="1" applyFont="1" applyFill="1" applyBorder="1" applyAlignment="1">
      <alignment horizontal="left" wrapText="1"/>
    </xf>
    <xf numFmtId="49" fontId="4" fillId="16" borderId="20" xfId="0" applyNumberFormat="1" applyFont="1" applyFill="1" applyBorder="1" applyAlignment="1">
      <alignment horizontal="center"/>
    </xf>
    <xf numFmtId="1" fontId="4" fillId="3" borderId="20" xfId="0" applyNumberFormat="1" applyFont="1" applyFill="1" applyBorder="1" applyAlignment="1">
      <alignment horizontal="center" vertical="center"/>
    </xf>
    <xf numFmtId="2" fontId="4" fillId="16" borderId="20" xfId="0" applyNumberFormat="1" applyFont="1" applyFill="1" applyBorder="1" applyAlignment="1">
      <alignment horizontal="center" vertical="center"/>
    </xf>
    <xf numFmtId="49" fontId="4" fillId="16" borderId="34" xfId="0" applyNumberFormat="1" applyFont="1" applyFill="1" applyBorder="1" applyAlignment="1">
      <alignment horizontal="left"/>
    </xf>
    <xf numFmtId="49" fontId="4" fillId="16" borderId="34" xfId="0" applyNumberFormat="1" applyFont="1" applyFill="1" applyBorder="1" applyAlignment="1">
      <alignment horizontal="left" vertical="top"/>
    </xf>
    <xf numFmtId="49" fontId="4" fillId="16" borderId="0" xfId="0" applyNumberFormat="1" applyFont="1" applyFill="1" applyBorder="1" applyAlignment="1">
      <alignment horizontal="center" vertical="top"/>
    </xf>
    <xf numFmtId="49" fontId="4" fillId="16" borderId="34" xfId="0" applyNumberFormat="1" applyFont="1" applyFill="1" applyBorder="1" applyAlignment="1">
      <alignment horizontal="left" vertical="center" wrapText="1"/>
    </xf>
    <xf numFmtId="49" fontId="4" fillId="16" borderId="20" xfId="0" applyNumberFormat="1" applyFont="1" applyFill="1" applyBorder="1" applyAlignment="1">
      <alignment horizontal="center" vertical="center"/>
    </xf>
    <xf numFmtId="49" fontId="4" fillId="16" borderId="34" xfId="0" applyNumberFormat="1" applyFont="1" applyFill="1" applyBorder="1" applyAlignment="1">
      <alignment horizontal="left" vertical="center"/>
    </xf>
    <xf numFmtId="49" fontId="4" fillId="16" borderId="0" xfId="0" applyNumberFormat="1" applyFont="1" applyFill="1" applyBorder="1" applyAlignment="1">
      <alignment horizontal="center" vertical="center"/>
    </xf>
    <xf numFmtId="49" fontId="4" fillId="16" borderId="34" xfId="10" applyNumberFormat="1" applyFont="1" applyFill="1" applyBorder="1" applyAlignment="1">
      <alignment horizontal="left" vertical="center" wrapText="1"/>
    </xf>
    <xf numFmtId="49" fontId="4" fillId="16" borderId="20" xfId="10" applyNumberFormat="1" applyFont="1" applyFill="1" applyBorder="1" applyAlignment="1">
      <alignment horizontal="center" vertical="center"/>
    </xf>
    <xf numFmtId="1" fontId="4" fillId="3" borderId="20" xfId="10" applyNumberFormat="1" applyFont="1" applyFill="1" applyBorder="1" applyAlignment="1">
      <alignment horizontal="center" vertical="center"/>
    </xf>
    <xf numFmtId="2" fontId="4" fillId="0" borderId="20" xfId="10" applyNumberFormat="1" applyFont="1" applyFill="1" applyBorder="1" applyAlignment="1">
      <alignment horizontal="center" vertical="center"/>
    </xf>
    <xf numFmtId="2" fontId="4" fillId="16" borderId="20" xfId="10" applyNumberFormat="1" applyFont="1" applyFill="1" applyBorder="1" applyAlignment="1">
      <alignment horizontal="center" vertical="center"/>
    </xf>
    <xf numFmtId="49" fontId="4" fillId="16" borderId="20" xfId="0" applyNumberFormat="1" applyFont="1" applyFill="1" applyBorder="1" applyAlignment="1">
      <alignment horizontal="center" vertical="center" wrapText="1"/>
    </xf>
    <xf numFmtId="2" fontId="4" fillId="16" borderId="20" xfId="0" applyNumberFormat="1" applyFont="1" applyFill="1" applyBorder="1" applyAlignment="1">
      <alignment horizontal="center" vertical="center" wrapText="1"/>
    </xf>
    <xf numFmtId="0" fontId="4" fillId="16" borderId="20" xfId="0" applyFont="1" applyFill="1" applyBorder="1" applyAlignment="1">
      <alignment horizontal="center" vertical="center" wrapText="1"/>
    </xf>
    <xf numFmtId="0" fontId="4" fillId="16" borderId="20" xfId="0" applyFont="1" applyFill="1" applyBorder="1" applyAlignment="1">
      <alignment horizontal="center" vertical="center"/>
    </xf>
    <xf numFmtId="49" fontId="4" fillId="16" borderId="34" xfId="10" applyNumberFormat="1" applyFont="1" applyFill="1" applyBorder="1" applyAlignment="1">
      <alignment horizontal="left" wrapText="1"/>
    </xf>
    <xf numFmtId="49" fontId="4" fillId="16" borderId="52" xfId="10" applyNumberFormat="1" applyFont="1" applyFill="1" applyBorder="1" applyAlignment="1">
      <alignment horizontal="left" wrapText="1"/>
    </xf>
    <xf numFmtId="49" fontId="4" fillId="16" borderId="53" xfId="0" applyNumberFormat="1" applyFont="1" applyFill="1" applyBorder="1" applyAlignment="1">
      <alignment horizontal="center"/>
    </xf>
    <xf numFmtId="1" fontId="4" fillId="3" borderId="53" xfId="0" applyNumberFormat="1" applyFont="1" applyFill="1" applyBorder="1" applyAlignment="1">
      <alignment horizontal="center" vertical="center"/>
    </xf>
    <xf numFmtId="2" fontId="4" fillId="16" borderId="53" xfId="0" applyNumberFormat="1" applyFont="1" applyFill="1" applyBorder="1" applyAlignment="1">
      <alignment horizontal="center" vertical="center"/>
    </xf>
    <xf numFmtId="2" fontId="4" fillId="0" borderId="52" xfId="0" applyNumberFormat="1" applyFont="1" applyFill="1" applyBorder="1" applyAlignment="1">
      <alignment horizontal="center" vertical="center"/>
    </xf>
    <xf numFmtId="2" fontId="4" fillId="0" borderId="53" xfId="0" applyNumberFormat="1" applyFont="1" applyFill="1" applyBorder="1" applyAlignment="1">
      <alignment horizontal="center" vertical="center"/>
    </xf>
    <xf numFmtId="49" fontId="4" fillId="4" borderId="60" xfId="0" applyNumberFormat="1" applyFont="1" applyFill="1" applyBorder="1" applyAlignment="1">
      <alignment horizontal="left" wrapText="1"/>
    </xf>
    <xf numFmtId="49" fontId="4" fillId="4" borderId="61" xfId="0" applyNumberFormat="1" applyFont="1" applyFill="1" applyBorder="1" applyAlignment="1">
      <alignment horizontal="center"/>
    </xf>
    <xf numFmtId="1" fontId="4" fillId="4" borderId="1" xfId="0" applyNumberFormat="1" applyFont="1" applyFill="1" applyBorder="1" applyAlignment="1">
      <alignment horizontal="center" vertical="center"/>
    </xf>
    <xf numFmtId="2" fontId="4" fillId="4" borderId="61" xfId="0" applyNumberFormat="1" applyFont="1" applyFill="1" applyBorder="1" applyAlignment="1">
      <alignment horizontal="center" vertical="center"/>
    </xf>
    <xf numFmtId="2" fontId="4" fillId="4" borderId="63" xfId="0" applyNumberFormat="1" applyFont="1" applyFill="1" applyBorder="1" applyAlignment="1">
      <alignment horizontal="center" vertical="center"/>
    </xf>
    <xf numFmtId="2" fontId="4" fillId="4" borderId="1" xfId="0" applyNumberFormat="1" applyFont="1" applyFill="1" applyBorder="1" applyAlignment="1">
      <alignment horizontal="center" vertical="center"/>
    </xf>
    <xf numFmtId="49" fontId="4" fillId="4" borderId="52" xfId="0" applyNumberFormat="1" applyFont="1" applyFill="1" applyBorder="1" applyAlignment="1">
      <alignment horizontal="left" wrapText="1"/>
    </xf>
    <xf numFmtId="49" fontId="4" fillId="4" borderId="53" xfId="0" applyNumberFormat="1" applyFont="1" applyFill="1" applyBorder="1" applyAlignment="1">
      <alignment horizontal="center"/>
    </xf>
    <xf numFmtId="1" fontId="4" fillId="4" borderId="20"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2" fontId="4" fillId="4" borderId="20" xfId="0" applyNumberFormat="1" applyFont="1" applyFill="1" applyBorder="1" applyAlignment="1">
      <alignment horizontal="center" vertical="center"/>
    </xf>
    <xf numFmtId="1" fontId="4" fillId="4" borderId="53" xfId="0" applyNumberFormat="1" applyFont="1" applyFill="1" applyBorder="1" applyAlignment="1">
      <alignment horizontal="center" vertical="center"/>
    </xf>
    <xf numFmtId="2" fontId="4" fillId="4" borderId="60" xfId="0" applyNumberFormat="1" applyFont="1" applyFill="1" applyBorder="1" applyAlignment="1">
      <alignment horizontal="center" vertical="center"/>
    </xf>
    <xf numFmtId="49" fontId="4" fillId="4" borderId="56" xfId="0" applyNumberFormat="1" applyFont="1" applyFill="1" applyBorder="1" applyAlignment="1">
      <alignment horizontal="left" wrapText="1"/>
    </xf>
    <xf numFmtId="49" fontId="4" fillId="4" borderId="57" xfId="0" applyNumberFormat="1" applyFont="1" applyFill="1" applyBorder="1" applyAlignment="1">
      <alignment horizontal="center"/>
    </xf>
    <xf numFmtId="1" fontId="4" fillId="4" borderId="57" xfId="0" applyNumberFormat="1" applyFont="1" applyFill="1" applyBorder="1" applyAlignment="1">
      <alignment horizontal="center" vertical="center"/>
    </xf>
    <xf numFmtId="2" fontId="4" fillId="4" borderId="57" xfId="0" applyNumberFormat="1" applyFont="1" applyFill="1" applyBorder="1" applyAlignment="1">
      <alignment horizontal="center" vertical="center"/>
    </xf>
    <xf numFmtId="2" fontId="4" fillId="4" borderId="56" xfId="0" applyNumberFormat="1" applyFont="1" applyFill="1" applyBorder="1" applyAlignment="1">
      <alignment horizontal="center" vertical="center"/>
    </xf>
    <xf numFmtId="0" fontId="4" fillId="0" borderId="34" xfId="0" applyFont="1" applyFill="1" applyBorder="1" applyAlignment="1">
      <alignment horizontal="left" vertical="center" wrapText="1"/>
    </xf>
    <xf numFmtId="0" fontId="4" fillId="0" borderId="20" xfId="0" applyFont="1" applyFill="1" applyBorder="1" applyAlignment="1">
      <alignment horizontal="center" vertical="center" wrapText="1"/>
    </xf>
    <xf numFmtId="1" fontId="4" fillId="3" borderId="20" xfId="0" applyNumberFormat="1" applyFont="1" applyFill="1" applyBorder="1" applyAlignment="1">
      <alignment horizontal="center" vertical="center" wrapText="1"/>
    </xf>
    <xf numFmtId="2" fontId="4" fillId="0" borderId="20" xfId="0" applyNumberFormat="1" applyFont="1" applyFill="1" applyBorder="1" applyAlignment="1">
      <alignment horizontal="center" vertical="center" wrapText="1"/>
    </xf>
    <xf numFmtId="0" fontId="4" fillId="18" borderId="20" xfId="0" applyFont="1" applyFill="1" applyBorder="1" applyAlignment="1">
      <alignment horizontal="center" vertical="center" wrapText="1"/>
    </xf>
    <xf numFmtId="0" fontId="4" fillId="18" borderId="34" xfId="0" applyFont="1" applyFill="1" applyBorder="1" applyAlignment="1">
      <alignment horizontal="left"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16" borderId="20" xfId="0" applyNumberFormat="1" applyFont="1" applyFill="1" applyBorder="1" applyAlignment="1">
      <alignment horizontal="center" vertical="center" wrapText="1"/>
    </xf>
    <xf numFmtId="0" fontId="4" fillId="18" borderId="20" xfId="0" applyFont="1" applyFill="1" applyBorder="1" applyAlignment="1">
      <alignment horizontal="center" vertical="center"/>
    </xf>
    <xf numFmtId="0" fontId="11" fillId="0" borderId="0" xfId="0" applyFont="1" applyAlignment="1">
      <alignment vertical="center"/>
    </xf>
    <xf numFmtId="0" fontId="11" fillId="0" borderId="0" xfId="17" applyFont="1" applyAlignment="1">
      <alignment vertical="center"/>
    </xf>
    <xf numFmtId="0" fontId="11" fillId="0" borderId="0" xfId="17" applyFont="1" applyAlignment="1">
      <alignment horizontal="center" vertical="center"/>
    </xf>
    <xf numFmtId="1" fontId="11" fillId="0" borderId="0" xfId="17" applyNumberFormat="1" applyFont="1" applyAlignment="1">
      <alignment horizontal="center" vertical="center"/>
    </xf>
    <xf numFmtId="2" fontId="26" fillId="0" borderId="0" xfId="17" applyNumberFormat="1" applyFont="1" applyAlignment="1">
      <alignment horizontal="center" vertical="center"/>
    </xf>
    <xf numFmtId="0" fontId="26" fillId="0" borderId="0" xfId="17" applyFont="1" applyAlignment="1">
      <alignment horizontal="center" vertical="center"/>
    </xf>
    <xf numFmtId="2" fontId="11" fillId="0" borderId="0" xfId="17" applyNumberFormat="1" applyFont="1" applyAlignment="1">
      <alignment horizontal="center" vertical="center"/>
    </xf>
    <xf numFmtId="3" fontId="11" fillId="0" borderId="0" xfId="0" applyNumberFormat="1" applyFont="1" applyAlignment="1">
      <alignment horizontal="right" vertical="center"/>
    </xf>
    <xf numFmtId="0" fontId="26" fillId="0" borderId="0" xfId="0" applyFont="1" applyFill="1" applyBorder="1"/>
    <xf numFmtId="0" fontId="26" fillId="0" borderId="0" xfId="0" applyFont="1" applyFill="1" applyBorder="1" applyAlignment="1">
      <alignment horizontal="center"/>
    </xf>
    <xf numFmtId="1" fontId="9" fillId="0" borderId="0" xfId="0" applyNumberFormat="1" applyFont="1" applyAlignment="1">
      <alignment vertical="center"/>
    </xf>
    <xf numFmtId="2" fontId="9" fillId="0" borderId="0" xfId="0" applyNumberFormat="1" applyFont="1" applyAlignment="1">
      <alignment vertical="center"/>
    </xf>
    <xf numFmtId="3" fontId="9" fillId="0" borderId="0" xfId="0" applyNumberFormat="1" applyFont="1" applyAlignment="1">
      <alignment horizontal="right" vertical="center"/>
    </xf>
    <xf numFmtId="0" fontId="9" fillId="0" borderId="0" xfId="0" applyFont="1" applyAlignment="1">
      <alignment horizontal="center" vertical="center"/>
    </xf>
    <xf numFmtId="0" fontId="17" fillId="8" borderId="5" xfId="0" applyFont="1" applyFill="1" applyBorder="1" applyAlignment="1">
      <alignment horizontal="center" vertical="center" wrapText="1"/>
    </xf>
    <xf numFmtId="0" fontId="17" fillId="8" borderId="6" xfId="0" applyFont="1" applyFill="1" applyBorder="1" applyAlignment="1">
      <alignment horizontal="center" vertical="center" wrapText="1"/>
    </xf>
    <xf numFmtId="1" fontId="17" fillId="3" borderId="6" xfId="0" applyNumberFormat="1" applyFont="1" applyFill="1" applyBorder="1" applyAlignment="1">
      <alignment horizontal="center" vertical="center" wrapText="1"/>
    </xf>
    <xf numFmtId="2" fontId="17" fillId="8" borderId="6" xfId="0" applyNumberFormat="1"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8" borderId="5" xfId="0" quotePrefix="1" applyFont="1" applyFill="1" applyBorder="1" applyAlignment="1">
      <alignment horizontal="center" vertical="center" wrapText="1"/>
    </xf>
    <xf numFmtId="3" fontId="17" fillId="8" borderId="6" xfId="0" applyNumberFormat="1" applyFont="1" applyFill="1" applyBorder="1" applyAlignment="1">
      <alignment horizontal="center" vertical="center" wrapText="1"/>
    </xf>
    <xf numFmtId="3" fontId="17" fillId="8" borderId="7" xfId="0" applyNumberFormat="1" applyFont="1" applyFill="1" applyBorder="1" applyAlignment="1">
      <alignment horizontal="center" vertical="center" wrapText="1"/>
    </xf>
    <xf numFmtId="0" fontId="27" fillId="0" borderId="0" xfId="17" applyFont="1" applyFill="1" applyBorder="1" applyAlignment="1">
      <alignment horizontal="center" vertical="center"/>
    </xf>
    <xf numFmtId="1" fontId="27" fillId="0" borderId="0" xfId="17" applyNumberFormat="1" applyFont="1" applyFill="1" applyBorder="1" applyAlignment="1">
      <alignment horizontal="center" vertical="center"/>
    </xf>
    <xf numFmtId="2" fontId="27" fillId="0" borderId="0" xfId="17" applyNumberFormat="1" applyFont="1" applyFill="1" applyBorder="1" applyAlignment="1">
      <alignment horizontal="center" vertical="center"/>
    </xf>
    <xf numFmtId="3" fontId="27" fillId="0" borderId="0" xfId="0" applyNumberFormat="1" applyFont="1" applyFill="1" applyBorder="1" applyAlignment="1">
      <alignment horizontal="right" vertical="center"/>
    </xf>
    <xf numFmtId="0" fontId="27" fillId="0" borderId="0" xfId="0" applyFont="1" applyFill="1" applyBorder="1" applyAlignment="1">
      <alignment vertical="center"/>
    </xf>
    <xf numFmtId="0" fontId="5" fillId="10" borderId="12" xfId="17" applyFont="1" applyFill="1" applyBorder="1" applyAlignment="1">
      <alignment vertical="center"/>
    </xf>
    <xf numFmtId="0" fontId="5" fillId="10" borderId="13" xfId="17" applyFont="1" applyFill="1" applyBorder="1" applyAlignment="1">
      <alignment horizontal="center" vertical="center"/>
    </xf>
    <xf numFmtId="1" fontId="5" fillId="10" borderId="13" xfId="17" applyNumberFormat="1" applyFont="1" applyFill="1" applyBorder="1" applyAlignment="1">
      <alignment horizontal="center" vertical="center"/>
    </xf>
    <xf numFmtId="2" fontId="4" fillId="10" borderId="86" xfId="17" applyNumberFormat="1" applyFont="1" applyFill="1" applyBorder="1" applyAlignment="1">
      <alignment horizontal="center" vertical="center"/>
    </xf>
    <xf numFmtId="2" fontId="5" fillId="10" borderId="15" xfId="17" applyNumberFormat="1" applyFont="1" applyFill="1" applyBorder="1" applyAlignment="1">
      <alignment horizontal="center" vertical="center"/>
    </xf>
    <xf numFmtId="0" fontId="4" fillId="10" borderId="86" xfId="17" applyFont="1" applyFill="1" applyBorder="1" applyAlignment="1">
      <alignment horizontal="center" vertical="center"/>
    </xf>
    <xf numFmtId="0" fontId="4" fillId="10" borderId="16" xfId="17" applyFont="1" applyFill="1" applyBorder="1" applyAlignment="1">
      <alignment horizontal="center" vertical="center"/>
    </xf>
    <xf numFmtId="0" fontId="4" fillId="0" borderId="0" xfId="0" applyFont="1" applyAlignment="1">
      <alignment horizontal="center" vertical="center"/>
    </xf>
    <xf numFmtId="0" fontId="4" fillId="0" borderId="18" xfId="17" applyFont="1" applyFill="1" applyBorder="1" applyAlignment="1">
      <alignment vertical="center" wrapText="1"/>
    </xf>
    <xf numFmtId="49" fontId="4" fillId="0" borderId="87" xfId="17" applyNumberFormat="1" applyFont="1" applyBorder="1" applyAlignment="1">
      <alignment horizontal="center" vertical="center"/>
    </xf>
    <xf numFmtId="1" fontId="4" fillId="3" borderId="19" xfId="0" applyNumberFormat="1" applyFont="1" applyFill="1" applyBorder="1" applyAlignment="1">
      <alignment horizontal="center" vertical="center"/>
    </xf>
    <xf numFmtId="2" fontId="4" fillId="0" borderId="80" xfId="17" applyNumberFormat="1" applyFont="1" applyFill="1" applyBorder="1" applyAlignment="1">
      <alignment horizontal="center" vertical="center"/>
    </xf>
    <xf numFmtId="2" fontId="4" fillId="0" borderId="21" xfId="17" applyNumberFormat="1" applyFont="1" applyFill="1" applyBorder="1" applyAlignment="1">
      <alignment horizontal="center" vertical="center"/>
    </xf>
    <xf numFmtId="4" fontId="4" fillId="0" borderId="86" xfId="17" applyNumberFormat="1" applyFont="1" applyFill="1" applyBorder="1" applyAlignment="1">
      <alignment horizontal="center" vertical="center"/>
    </xf>
    <xf numFmtId="1" fontId="4" fillId="12" borderId="16" xfId="17" applyNumberFormat="1" applyFont="1" applyFill="1" applyBorder="1" applyAlignment="1">
      <alignment horizontal="center" vertical="center"/>
    </xf>
    <xf numFmtId="4" fontId="4" fillId="0" borderId="20" xfId="0" applyNumberFormat="1" applyFont="1" applyBorder="1" applyAlignment="1">
      <alignment horizontal="center" vertical="center"/>
    </xf>
    <xf numFmtId="0" fontId="4" fillId="0" borderId="23" xfId="17" applyFont="1" applyFill="1" applyBorder="1" applyAlignment="1">
      <alignment vertical="center" wrapText="1"/>
    </xf>
    <xf numFmtId="49" fontId="4" fillId="0" borderId="24" xfId="17" applyNumberFormat="1" applyFont="1" applyBorder="1" applyAlignment="1">
      <alignment horizontal="center" vertical="center"/>
    </xf>
    <xf numFmtId="49" fontId="4" fillId="0" borderId="25" xfId="17" applyNumberFormat="1" applyFont="1" applyBorder="1" applyAlignment="1">
      <alignment horizontal="center" vertical="center"/>
    </xf>
    <xf numFmtId="2" fontId="4" fillId="13" borderId="24" xfId="17" applyNumberFormat="1" applyFont="1" applyFill="1" applyBorder="1" applyAlignment="1">
      <alignment horizontal="center" vertical="center"/>
    </xf>
    <xf numFmtId="2" fontId="4" fillId="0" borderId="26" xfId="17" applyNumberFormat="1" applyFont="1" applyFill="1" applyBorder="1" applyAlignment="1">
      <alignment horizontal="center" vertical="center"/>
    </xf>
    <xf numFmtId="0" fontId="4" fillId="0" borderId="27" xfId="17" applyFont="1" applyFill="1" applyBorder="1" applyAlignment="1">
      <alignment vertical="center" wrapText="1"/>
    </xf>
    <xf numFmtId="49" fontId="4" fillId="0" borderId="28" xfId="17" applyNumberFormat="1" applyFont="1" applyBorder="1" applyAlignment="1">
      <alignment horizontal="center" vertical="center"/>
    </xf>
    <xf numFmtId="49" fontId="4" fillId="0" borderId="103" xfId="17" applyNumberFormat="1" applyFont="1" applyBorder="1" applyAlignment="1">
      <alignment horizontal="center" vertical="center"/>
    </xf>
    <xf numFmtId="1" fontId="4" fillId="12" borderId="29" xfId="17" applyNumberFormat="1" applyFont="1" applyFill="1" applyBorder="1" applyAlignment="1">
      <alignment horizontal="center" vertical="center"/>
    </xf>
    <xf numFmtId="2" fontId="4" fillId="13" borderId="28" xfId="17" applyNumberFormat="1" applyFont="1" applyFill="1" applyBorder="1" applyAlignment="1">
      <alignment horizontal="center" vertical="center"/>
    </xf>
    <xf numFmtId="4" fontId="4" fillId="0" borderId="1" xfId="0" applyNumberFormat="1" applyFont="1" applyBorder="1" applyAlignment="1">
      <alignment horizontal="center" vertical="center"/>
    </xf>
    <xf numFmtId="2" fontId="4" fillId="0" borderId="30" xfId="17" applyNumberFormat="1" applyFont="1" applyFill="1" applyBorder="1" applyAlignment="1">
      <alignment horizontal="center" vertical="center"/>
    </xf>
    <xf numFmtId="0" fontId="4" fillId="0" borderId="18" xfId="17" applyFont="1" applyFill="1" applyBorder="1" applyAlignment="1">
      <alignment vertical="center"/>
    </xf>
    <xf numFmtId="0" fontId="4" fillId="0" borderId="88" xfId="17" applyFont="1" applyFill="1" applyBorder="1" applyAlignment="1">
      <alignment vertical="center" wrapText="1"/>
    </xf>
    <xf numFmtId="49" fontId="4" fillId="0" borderId="89" xfId="17" applyNumberFormat="1" applyFont="1" applyBorder="1" applyAlignment="1">
      <alignment horizontal="center" vertical="center"/>
    </xf>
    <xf numFmtId="49" fontId="4" fillId="0" borderId="31" xfId="17" applyNumberFormat="1" applyFont="1" applyBorder="1" applyAlignment="1">
      <alignment horizontal="center" vertical="center"/>
    </xf>
    <xf numFmtId="1" fontId="4" fillId="12" borderId="32" xfId="17" applyNumberFormat="1" applyFont="1" applyFill="1" applyBorder="1" applyAlignment="1">
      <alignment horizontal="center" vertical="center"/>
    </xf>
    <xf numFmtId="2" fontId="4" fillId="0" borderId="33" xfId="17" applyNumberFormat="1" applyFont="1" applyFill="1" applyBorder="1" applyAlignment="1">
      <alignment horizontal="center" vertical="center"/>
    </xf>
    <xf numFmtId="1" fontId="5" fillId="10" borderId="38" xfId="17" applyNumberFormat="1" applyFont="1" applyFill="1" applyBorder="1" applyAlignment="1">
      <alignment horizontal="center" vertical="center"/>
    </xf>
    <xf numFmtId="2" fontId="5" fillId="10" borderId="41" xfId="17"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15" borderId="43" xfId="17" applyFont="1" applyFill="1" applyBorder="1" applyAlignment="1">
      <alignment horizontal="right" vertical="center"/>
    </xf>
    <xf numFmtId="49" fontId="5" fillId="15" borderId="44" xfId="17" applyNumberFormat="1" applyFont="1" applyFill="1" applyBorder="1" applyAlignment="1">
      <alignment horizontal="center" vertical="center"/>
    </xf>
    <xf numFmtId="4" fontId="5" fillId="15" borderId="44" xfId="17" applyNumberFormat="1" applyFont="1" applyFill="1" applyBorder="1" applyAlignment="1">
      <alignment horizontal="center" vertical="center"/>
    </xf>
    <xf numFmtId="1" fontId="5" fillId="15" borderId="44" xfId="17" applyNumberFormat="1" applyFont="1" applyFill="1" applyBorder="1" applyAlignment="1">
      <alignment horizontal="center" vertical="center"/>
    </xf>
    <xf numFmtId="2" fontId="5" fillId="15" borderId="44" xfId="17" applyNumberFormat="1" applyFont="1" applyFill="1" applyBorder="1" applyAlignment="1">
      <alignment horizontal="center" vertical="center"/>
    </xf>
    <xf numFmtId="2" fontId="5" fillId="15" borderId="45" xfId="17" applyNumberFormat="1" applyFont="1" applyFill="1" applyBorder="1" applyAlignment="1">
      <alignment horizontal="center" vertical="center"/>
    </xf>
    <xf numFmtId="4" fontId="5" fillId="15" borderId="46" xfId="17" applyNumberFormat="1" applyFont="1" applyFill="1" applyBorder="1" applyAlignment="1">
      <alignment horizontal="center" vertical="center"/>
    </xf>
    <xf numFmtId="3" fontId="5" fillId="15" borderId="44" xfId="17" applyNumberFormat="1" applyFont="1" applyFill="1" applyBorder="1" applyAlignment="1">
      <alignment horizontal="right" vertical="center"/>
    </xf>
    <xf numFmtId="3" fontId="5" fillId="15" borderId="45" xfId="17" applyNumberFormat="1" applyFont="1" applyFill="1" applyBorder="1" applyAlignment="1">
      <alignment horizontal="right" vertical="center"/>
    </xf>
    <xf numFmtId="0" fontId="4" fillId="0" borderId="0" xfId="0" applyFont="1" applyBorder="1" applyAlignment="1">
      <alignment vertical="center"/>
    </xf>
    <xf numFmtId="0" fontId="4" fillId="0" borderId="0" xfId="17" applyFont="1" applyBorder="1" applyAlignment="1">
      <alignment vertical="center"/>
    </xf>
    <xf numFmtId="0" fontId="4" fillId="0" borderId="0" xfId="17" applyFont="1" applyBorder="1" applyAlignment="1">
      <alignment horizontal="center" vertical="center"/>
    </xf>
    <xf numFmtId="1" fontId="4" fillId="0" borderId="0" xfId="17" applyNumberFormat="1" applyFont="1" applyBorder="1" applyAlignment="1">
      <alignment horizontal="center" vertical="center"/>
    </xf>
    <xf numFmtId="2" fontId="4" fillId="0" borderId="0" xfId="17" applyNumberFormat="1" applyFont="1" applyBorder="1" applyAlignment="1">
      <alignment horizontal="center" vertical="center"/>
    </xf>
    <xf numFmtId="0" fontId="4" fillId="0" borderId="0" xfId="0" applyFont="1" applyBorder="1" applyAlignment="1">
      <alignment horizontal="center" vertical="center"/>
    </xf>
    <xf numFmtId="3" fontId="4" fillId="0" borderId="0" xfId="0" applyNumberFormat="1" applyFont="1" applyBorder="1" applyAlignment="1">
      <alignment horizontal="right" vertical="center"/>
    </xf>
    <xf numFmtId="1" fontId="5" fillId="11" borderId="14" xfId="0" applyNumberFormat="1" applyFont="1" applyFill="1" applyBorder="1" applyAlignment="1">
      <alignment horizontal="center" vertical="center"/>
    </xf>
    <xf numFmtId="2" fontId="4" fillId="11" borderId="36" xfId="0" applyNumberFormat="1" applyFont="1" applyFill="1" applyBorder="1" applyAlignment="1">
      <alignment horizontal="center" vertical="center"/>
    </xf>
    <xf numFmtId="2" fontId="5" fillId="11" borderId="17" xfId="0" applyNumberFormat="1" applyFont="1" applyFill="1" applyBorder="1" applyAlignment="1">
      <alignment horizontal="center" vertical="center"/>
    </xf>
    <xf numFmtId="0" fontId="4" fillId="11" borderId="36" xfId="0" applyFont="1" applyFill="1" applyBorder="1" applyAlignment="1">
      <alignment horizontal="center" vertical="center"/>
    </xf>
    <xf numFmtId="49" fontId="4" fillId="0" borderId="34" xfId="0" applyNumberFormat="1" applyFont="1" applyBorder="1" applyAlignment="1">
      <alignment vertical="center" wrapText="1"/>
    </xf>
    <xf numFmtId="49" fontId="4" fillId="0" borderId="20" xfId="0" applyNumberFormat="1" applyFont="1" applyBorder="1" applyAlignment="1">
      <alignment horizontal="center" vertical="center" wrapText="1"/>
    </xf>
    <xf numFmtId="0" fontId="4" fillId="0" borderId="20" xfId="0" applyNumberFormat="1" applyFont="1" applyBorder="1" applyAlignment="1">
      <alignment horizontal="center" vertical="center" wrapText="1"/>
    </xf>
    <xf numFmtId="49" fontId="4" fillId="0" borderId="20" xfId="0" applyNumberFormat="1" applyFont="1" applyFill="1" applyBorder="1" applyAlignment="1">
      <alignment horizontal="center" vertical="center" wrapText="1"/>
    </xf>
    <xf numFmtId="2" fontId="4" fillId="0" borderId="22" xfId="0" applyNumberFormat="1" applyFont="1" applyBorder="1" applyAlignment="1">
      <alignment horizontal="center" vertical="center"/>
    </xf>
    <xf numFmtId="0" fontId="4" fillId="0" borderId="34" xfId="0" applyFont="1" applyBorder="1" applyAlignment="1">
      <alignment vertical="center" wrapText="1"/>
    </xf>
    <xf numFmtId="49" fontId="4" fillId="0" borderId="20" xfId="0" applyNumberFormat="1" applyFont="1" applyBorder="1" applyAlignment="1">
      <alignment horizontal="center" vertical="center"/>
    </xf>
    <xf numFmtId="2" fontId="4" fillId="0" borderId="22" xfId="0" applyNumberFormat="1" applyFont="1" applyFill="1" applyBorder="1" applyAlignment="1">
      <alignment horizontal="center" vertical="center"/>
    </xf>
    <xf numFmtId="0" fontId="4" fillId="0" borderId="34" xfId="0" applyFont="1" applyBorder="1" applyAlignment="1">
      <alignment vertical="center"/>
    </xf>
    <xf numFmtId="0" fontId="5" fillId="10" borderId="48" xfId="17" applyFont="1" applyFill="1" applyBorder="1" applyAlignment="1">
      <alignment vertical="center"/>
    </xf>
    <xf numFmtId="0" fontId="5" fillId="10" borderId="0" xfId="17" applyFont="1" applyFill="1" applyBorder="1" applyAlignment="1">
      <alignment horizontal="center" vertical="center"/>
    </xf>
    <xf numFmtId="2" fontId="4" fillId="10" borderId="49" xfId="17" applyNumberFormat="1" applyFont="1" applyFill="1" applyBorder="1" applyAlignment="1">
      <alignment horizontal="center" vertical="center"/>
    </xf>
    <xf numFmtId="2" fontId="5" fillId="10" borderId="50" xfId="17" applyNumberFormat="1" applyFont="1" applyFill="1" applyBorder="1" applyAlignment="1">
      <alignment horizontal="center" vertical="center"/>
    </xf>
    <xf numFmtId="0" fontId="4" fillId="10" borderId="27" xfId="17" applyFont="1" applyFill="1" applyBorder="1" applyAlignment="1">
      <alignment horizontal="center" vertical="center"/>
    </xf>
    <xf numFmtId="4" fontId="4" fillId="0" borderId="87" xfId="17" applyNumberFormat="1" applyFont="1" applyFill="1" applyBorder="1" applyAlignment="1">
      <alignment horizontal="center" vertical="center"/>
    </xf>
    <xf numFmtId="0" fontId="5" fillId="10" borderId="34" xfId="17" applyFont="1" applyFill="1" applyBorder="1" applyAlignment="1">
      <alignment vertical="center"/>
    </xf>
    <xf numFmtId="0" fontId="5" fillId="10" borderId="20" xfId="17" applyFont="1" applyFill="1" applyBorder="1" applyAlignment="1">
      <alignment horizontal="center" vertical="center"/>
    </xf>
    <xf numFmtId="1" fontId="5" fillId="10" borderId="20" xfId="17" applyNumberFormat="1" applyFont="1" applyFill="1" applyBorder="1" applyAlignment="1">
      <alignment horizontal="center" vertical="center"/>
    </xf>
    <xf numFmtId="2" fontId="4" fillId="10" borderId="20" xfId="17" applyNumberFormat="1" applyFont="1" applyFill="1" applyBorder="1" applyAlignment="1">
      <alignment horizontal="center" vertical="center"/>
    </xf>
    <xf numFmtId="0" fontId="5" fillId="11" borderId="20" xfId="0" applyFont="1" applyFill="1" applyBorder="1" applyAlignment="1">
      <alignment horizontal="center" vertical="center"/>
    </xf>
    <xf numFmtId="2" fontId="5" fillId="10" borderId="22" xfId="17" applyNumberFormat="1" applyFont="1" applyFill="1" applyBorder="1" applyAlignment="1">
      <alignment horizontal="center" vertical="center"/>
    </xf>
    <xf numFmtId="0" fontId="4" fillId="16" borderId="34" xfId="18" applyNumberFormat="1" applyFont="1" applyFill="1" applyBorder="1" applyAlignment="1">
      <alignment horizontal="left" vertical="center"/>
    </xf>
    <xf numFmtId="0" fontId="4" fillId="16" borderId="34" xfId="18" applyNumberFormat="1" applyFont="1" applyFill="1" applyBorder="1" applyAlignment="1">
      <alignment horizontal="left"/>
    </xf>
    <xf numFmtId="0" fontId="4" fillId="16" borderId="34" xfId="18" applyNumberFormat="1" applyFont="1" applyFill="1" applyBorder="1" applyAlignment="1">
      <alignment horizontal="left" vertical="center" wrapText="1"/>
    </xf>
    <xf numFmtId="4" fontId="5" fillId="15" borderId="43" xfId="17" applyNumberFormat="1" applyFont="1" applyFill="1" applyBorder="1" applyAlignment="1">
      <alignment horizontal="center" vertical="center"/>
    </xf>
    <xf numFmtId="0" fontId="5" fillId="11" borderId="51" xfId="0" applyFont="1" applyFill="1" applyBorder="1" applyAlignment="1">
      <alignment horizontal="center" vertical="center"/>
    </xf>
    <xf numFmtId="4" fontId="4" fillId="16" borderId="22" xfId="0" applyNumberFormat="1" applyFont="1" applyFill="1" applyBorder="1" applyAlignment="1">
      <alignment horizontal="center" vertical="top"/>
    </xf>
    <xf numFmtId="4" fontId="4" fillId="0" borderId="22" xfId="0" applyNumberFormat="1" applyFont="1" applyFill="1" applyBorder="1" applyAlignment="1">
      <alignment horizontal="center" vertical="center"/>
    </xf>
    <xf numFmtId="4" fontId="4" fillId="16" borderId="22" xfId="0" applyNumberFormat="1" applyFont="1" applyFill="1" applyBorder="1" applyAlignment="1">
      <alignment horizontal="center" vertical="center"/>
    </xf>
    <xf numFmtId="0" fontId="4" fillId="0" borderId="0" xfId="0" applyFont="1" applyAlignment="1">
      <alignment vertical="center" wrapText="1"/>
    </xf>
    <xf numFmtId="4" fontId="4" fillId="0" borderId="20" xfId="0" applyNumberFormat="1" applyFont="1" applyBorder="1" applyAlignment="1">
      <alignment horizontal="center" vertical="center" wrapText="1"/>
    </xf>
    <xf numFmtId="4" fontId="4" fillId="0" borderId="22" xfId="0" applyNumberFormat="1" applyFont="1" applyFill="1" applyBorder="1" applyAlignment="1">
      <alignment horizontal="center" vertical="center" wrapText="1"/>
    </xf>
    <xf numFmtId="0" fontId="4" fillId="0" borderId="0" xfId="0" applyFont="1" applyAlignment="1">
      <alignment horizontal="center" vertical="center" wrapText="1"/>
    </xf>
    <xf numFmtId="4" fontId="4" fillId="0" borderId="53" xfId="0" applyNumberFormat="1" applyFont="1" applyBorder="1" applyAlignment="1">
      <alignment horizontal="center" vertical="center"/>
    </xf>
    <xf numFmtId="4" fontId="4" fillId="16" borderId="54" xfId="0" applyNumberFormat="1" applyFont="1" applyFill="1" applyBorder="1" applyAlignment="1">
      <alignment horizontal="center" vertical="center"/>
    </xf>
    <xf numFmtId="4" fontId="4" fillId="0" borderId="31" xfId="17" applyNumberFormat="1" applyFont="1" applyFill="1" applyBorder="1" applyAlignment="1">
      <alignment horizontal="center" vertical="center"/>
    </xf>
    <xf numFmtId="2" fontId="4" fillId="0" borderId="53" xfId="0" applyNumberFormat="1" applyFont="1" applyBorder="1" applyAlignment="1">
      <alignment horizontal="center" vertical="center"/>
    </xf>
    <xf numFmtId="4" fontId="4" fillId="0" borderId="53" xfId="0" applyNumberFormat="1" applyFont="1" applyFill="1" applyBorder="1" applyAlignment="1">
      <alignment horizontal="center" vertical="center"/>
    </xf>
    <xf numFmtId="3" fontId="4" fillId="0" borderId="53" xfId="0" applyNumberFormat="1" applyFont="1" applyFill="1" applyBorder="1" applyAlignment="1">
      <alignment horizontal="right" vertical="center"/>
    </xf>
    <xf numFmtId="3" fontId="4" fillId="0" borderId="54" xfId="0" applyNumberFormat="1" applyFont="1" applyFill="1" applyBorder="1" applyAlignment="1">
      <alignment horizontal="right" vertical="center"/>
    </xf>
    <xf numFmtId="4" fontId="4" fillId="0" borderId="55" xfId="17" applyNumberFormat="1" applyFont="1" applyFill="1" applyBorder="1" applyAlignment="1">
      <alignment horizontal="center" vertical="center"/>
    </xf>
    <xf numFmtId="4" fontId="4" fillId="4" borderId="61" xfId="0" applyNumberFormat="1" applyFont="1" applyFill="1" applyBorder="1" applyAlignment="1">
      <alignment horizontal="center" vertical="center"/>
    </xf>
    <xf numFmtId="4" fontId="4" fillId="4" borderId="62" xfId="0" applyNumberFormat="1" applyFont="1" applyFill="1" applyBorder="1" applyAlignment="1">
      <alignment horizontal="center" vertical="center"/>
    </xf>
    <xf numFmtId="4" fontId="4" fillId="4" borderId="103" xfId="17" applyNumberFormat="1" applyFont="1" applyFill="1" applyBorder="1" applyAlignment="1">
      <alignment horizontal="center" vertical="center"/>
    </xf>
    <xf numFmtId="4" fontId="4" fillId="4" borderId="1" xfId="0" applyNumberFormat="1" applyFont="1" applyFill="1" applyBorder="1" applyAlignment="1">
      <alignment horizontal="center" vertical="center"/>
    </xf>
    <xf numFmtId="3" fontId="4" fillId="4" borderId="1" xfId="0" applyNumberFormat="1" applyFont="1" applyFill="1" applyBorder="1" applyAlignment="1">
      <alignment horizontal="right" vertical="center"/>
    </xf>
    <xf numFmtId="3" fontId="4" fillId="4" borderId="64" xfId="0" applyNumberFormat="1" applyFont="1" applyFill="1" applyBorder="1" applyAlignment="1">
      <alignment horizontal="right" vertical="center"/>
    </xf>
    <xf numFmtId="1" fontId="4" fillId="0" borderId="0" xfId="0" applyNumberFormat="1" applyFont="1" applyAlignment="1">
      <alignment horizontal="center" vertical="center"/>
    </xf>
    <xf numFmtId="4" fontId="4" fillId="4" borderId="53" xfId="0" applyNumberFormat="1" applyFont="1" applyFill="1" applyBorder="1" applyAlignment="1">
      <alignment horizontal="center" vertical="center"/>
    </xf>
    <xf numFmtId="4" fontId="4" fillId="4" borderId="54" xfId="0" applyNumberFormat="1" applyFont="1" applyFill="1" applyBorder="1" applyAlignment="1">
      <alignment horizontal="center" vertical="center"/>
    </xf>
    <xf numFmtId="4" fontId="4" fillId="4" borderId="20" xfId="0" applyNumberFormat="1" applyFont="1" applyFill="1" applyBorder="1" applyAlignment="1">
      <alignment horizontal="center" vertical="center"/>
    </xf>
    <xf numFmtId="3" fontId="4" fillId="4" borderId="20" xfId="0" applyNumberFormat="1" applyFont="1" applyFill="1" applyBorder="1" applyAlignment="1">
      <alignment horizontal="right" vertical="center"/>
    </xf>
    <xf numFmtId="3" fontId="4" fillId="4" borderId="22" xfId="0" applyNumberFormat="1" applyFont="1" applyFill="1" applyBorder="1" applyAlignment="1">
      <alignment horizontal="right" vertical="center"/>
    </xf>
    <xf numFmtId="4" fontId="4" fillId="4" borderId="65" xfId="17" applyNumberFormat="1" applyFont="1" applyFill="1" applyBorder="1" applyAlignment="1">
      <alignment horizontal="center" vertical="center"/>
    </xf>
    <xf numFmtId="3" fontId="4" fillId="4" borderId="53" xfId="0" applyNumberFormat="1" applyFont="1" applyFill="1" applyBorder="1" applyAlignment="1">
      <alignment horizontal="right" vertical="center"/>
    </xf>
    <xf numFmtId="3" fontId="4" fillId="4" borderId="54" xfId="0" applyNumberFormat="1" applyFont="1" applyFill="1" applyBorder="1" applyAlignment="1">
      <alignment horizontal="right" vertical="center"/>
    </xf>
    <xf numFmtId="4" fontId="4" fillId="4" borderId="57" xfId="0" applyNumberFormat="1" applyFont="1" applyFill="1" applyBorder="1" applyAlignment="1">
      <alignment horizontal="center" vertical="center"/>
    </xf>
    <xf numFmtId="4" fontId="4" fillId="4" borderId="58" xfId="0" applyNumberFormat="1" applyFont="1" applyFill="1" applyBorder="1" applyAlignment="1">
      <alignment horizontal="center" vertical="center"/>
    </xf>
    <xf numFmtId="4" fontId="4" fillId="4" borderId="66" xfId="17" applyNumberFormat="1" applyFont="1" applyFill="1" applyBorder="1" applyAlignment="1">
      <alignment horizontal="center" vertical="center"/>
    </xf>
    <xf numFmtId="3" fontId="4" fillId="4" borderId="57" xfId="0" applyNumberFormat="1" applyFont="1" applyFill="1" applyBorder="1" applyAlignment="1">
      <alignment horizontal="right" vertical="center"/>
    </xf>
    <xf numFmtId="3" fontId="4" fillId="4" borderId="58" xfId="0" applyNumberFormat="1" applyFont="1" applyFill="1" applyBorder="1" applyAlignment="1">
      <alignment horizontal="right" vertical="center"/>
    </xf>
    <xf numFmtId="2" fontId="5" fillId="11" borderId="14" xfId="0" applyNumberFormat="1" applyFont="1" applyFill="1" applyBorder="1" applyAlignment="1">
      <alignment horizontal="center" vertical="center"/>
    </xf>
    <xf numFmtId="0" fontId="4" fillId="16" borderId="34" xfId="0" applyFont="1" applyFill="1" applyBorder="1" applyAlignment="1">
      <alignment vertical="center" wrapText="1"/>
    </xf>
    <xf numFmtId="2" fontId="4" fillId="16" borderId="22" xfId="0" applyNumberFormat="1" applyFont="1" applyFill="1" applyBorder="1" applyAlignment="1">
      <alignment horizontal="center" vertical="center"/>
    </xf>
    <xf numFmtId="4" fontId="4" fillId="16" borderId="20" xfId="0" applyNumberFormat="1" applyFont="1" applyFill="1" applyBorder="1" applyAlignment="1">
      <alignment horizontal="center" vertical="center"/>
    </xf>
    <xf numFmtId="4" fontId="4" fillId="16" borderId="20" xfId="0" applyNumberFormat="1" applyFont="1" applyFill="1" applyBorder="1" applyAlignment="1">
      <alignment horizontal="center" vertical="center" wrapText="1"/>
    </xf>
    <xf numFmtId="2" fontId="4" fillId="16" borderId="22" xfId="0" applyNumberFormat="1" applyFont="1" applyFill="1" applyBorder="1" applyAlignment="1">
      <alignment horizontal="center" vertical="center" wrapText="1"/>
    </xf>
    <xf numFmtId="0" fontId="5" fillId="6" borderId="68" xfId="0" applyFont="1" applyFill="1" applyBorder="1" applyAlignment="1">
      <alignment horizontal="right" vertical="center"/>
    </xf>
    <xf numFmtId="49" fontId="5" fillId="6" borderId="69" xfId="0" applyNumberFormat="1" applyFont="1" applyFill="1" applyBorder="1" applyAlignment="1">
      <alignment horizontal="center" vertical="center"/>
    </xf>
    <xf numFmtId="1" fontId="5" fillId="6" borderId="69" xfId="0" applyNumberFormat="1" applyFont="1" applyFill="1" applyBorder="1" applyAlignment="1">
      <alignment horizontal="center" vertical="center"/>
    </xf>
    <xf numFmtId="2" fontId="5" fillId="6" borderId="69" xfId="0" applyNumberFormat="1" applyFont="1" applyFill="1" applyBorder="1" applyAlignment="1">
      <alignment horizontal="center" vertical="center"/>
    </xf>
    <xf numFmtId="2" fontId="5" fillId="6" borderId="70" xfId="0" applyNumberFormat="1" applyFont="1" applyFill="1" applyBorder="1" applyAlignment="1">
      <alignment horizontal="center" vertical="center"/>
    </xf>
    <xf numFmtId="49" fontId="5" fillId="6" borderId="71" xfId="0" applyNumberFormat="1" applyFont="1" applyFill="1" applyBorder="1" applyAlignment="1">
      <alignment horizontal="center" vertical="center"/>
    </xf>
    <xf numFmtId="3" fontId="5" fillId="6" borderId="69" xfId="0" applyNumberFormat="1" applyFont="1" applyFill="1" applyBorder="1" applyAlignment="1">
      <alignment horizontal="right" vertical="center"/>
    </xf>
    <xf numFmtId="3" fontId="5" fillId="6" borderId="70" xfId="0" applyNumberFormat="1" applyFont="1" applyFill="1" applyBorder="1" applyAlignment="1">
      <alignment horizontal="right" vertical="center"/>
    </xf>
    <xf numFmtId="0" fontId="4" fillId="0" borderId="0" xfId="17" applyFont="1" applyAlignment="1">
      <alignment vertical="center"/>
    </xf>
    <xf numFmtId="0" fontId="4" fillId="0" borderId="0" xfId="17" applyFont="1" applyAlignment="1">
      <alignment horizontal="center" vertical="center"/>
    </xf>
    <xf numFmtId="1" fontId="4" fillId="0" borderId="0" xfId="17" applyNumberFormat="1" applyFont="1" applyAlignment="1">
      <alignment horizontal="center" vertical="center"/>
    </xf>
    <xf numFmtId="2" fontId="4" fillId="0" borderId="0" xfId="17" applyNumberFormat="1" applyFont="1" applyAlignment="1">
      <alignment horizontal="center" vertical="center"/>
    </xf>
    <xf numFmtId="3" fontId="4" fillId="0" borderId="0" xfId="0" applyNumberFormat="1" applyFont="1" applyAlignment="1">
      <alignment horizontal="right" vertical="center"/>
    </xf>
    <xf numFmtId="3" fontId="43" fillId="5" borderId="74" xfId="0" applyNumberFormat="1" applyFont="1" applyFill="1" applyBorder="1" applyAlignment="1">
      <alignment horizontal="right" vertical="center"/>
    </xf>
    <xf numFmtId="3" fontId="34" fillId="5" borderId="22" xfId="0" applyNumberFormat="1" applyFont="1" applyFill="1" applyBorder="1" applyAlignment="1">
      <alignment horizontal="right" vertical="center"/>
    </xf>
    <xf numFmtId="0" fontId="9" fillId="0" borderId="0" xfId="17" applyFont="1" applyBorder="1" applyAlignment="1">
      <alignment vertical="center"/>
    </xf>
    <xf numFmtId="0" fontId="9" fillId="0" borderId="0" xfId="17" applyFont="1" applyBorder="1" applyAlignment="1">
      <alignment horizontal="center" vertical="center"/>
    </xf>
    <xf numFmtId="1" fontId="9" fillId="0" borderId="0" xfId="17" applyNumberFormat="1" applyFont="1" applyBorder="1" applyAlignment="1">
      <alignment horizontal="center" vertical="center"/>
    </xf>
    <xf numFmtId="2" fontId="9" fillId="0" borderId="0" xfId="17" applyNumberFormat="1" applyFont="1" applyBorder="1" applyAlignment="1">
      <alignment horizontal="center" vertical="center"/>
    </xf>
    <xf numFmtId="3" fontId="9" fillId="0" borderId="0" xfId="0" applyNumberFormat="1" applyFont="1" applyBorder="1" applyAlignment="1">
      <alignment horizontal="right" vertical="center"/>
    </xf>
    <xf numFmtId="0" fontId="0" fillId="0" borderId="0" xfId="0" applyFill="1"/>
    <xf numFmtId="0" fontId="17" fillId="0" borderId="0" xfId="0" applyFont="1" applyFill="1" applyAlignment="1">
      <alignment horizontal="center" vertical="center"/>
    </xf>
    <xf numFmtId="167" fontId="46" fillId="7" borderId="7" xfId="0" applyNumberFormat="1" applyFont="1" applyFill="1" applyBorder="1" applyAlignment="1">
      <alignment horizontal="left" vertical="center"/>
    </xf>
    <xf numFmtId="0" fontId="47" fillId="0" borderId="0" xfId="0" applyFont="1"/>
    <xf numFmtId="0" fontId="32" fillId="5" borderId="47" xfId="17" applyFont="1" applyFill="1" applyBorder="1" applyAlignment="1">
      <alignment horizontal="left" vertical="center"/>
    </xf>
    <xf numFmtId="0" fontId="32" fillId="5" borderId="10" xfId="17" applyFont="1" applyFill="1" applyBorder="1" applyAlignment="1">
      <alignment horizontal="left" vertical="center"/>
    </xf>
    <xf numFmtId="3" fontId="48" fillId="5" borderId="74" xfId="0" applyNumberFormat="1" applyFont="1" applyFill="1" applyBorder="1" applyAlignment="1">
      <alignment horizontal="right" vertical="center"/>
    </xf>
    <xf numFmtId="0" fontId="32" fillId="5" borderId="51" xfId="17" applyFont="1" applyFill="1" applyBorder="1" applyAlignment="1">
      <alignment horizontal="left" vertical="center"/>
    </xf>
    <xf numFmtId="0" fontId="32" fillId="5" borderId="14" xfId="17" applyFont="1" applyFill="1" applyBorder="1" applyAlignment="1">
      <alignment horizontal="left" vertical="center"/>
    </xf>
    <xf numFmtId="3" fontId="32" fillId="5" borderId="22" xfId="0" applyNumberFormat="1" applyFont="1" applyFill="1" applyBorder="1" applyAlignment="1">
      <alignment horizontal="right" vertical="center"/>
    </xf>
    <xf numFmtId="0" fontId="9" fillId="21" borderId="101" xfId="0" applyFont="1" applyFill="1" applyBorder="1" applyAlignment="1">
      <alignment horizontal="left" vertical="center"/>
    </xf>
    <xf numFmtId="0" fontId="9" fillId="21" borderId="102" xfId="0" applyFont="1" applyFill="1" applyBorder="1" applyAlignment="1">
      <alignment horizontal="left" vertical="center"/>
    </xf>
    <xf numFmtId="3" fontId="9" fillId="21" borderId="77" xfId="0" applyNumberFormat="1" applyFont="1" applyFill="1" applyBorder="1" applyAlignment="1">
      <alignment horizontal="right" vertical="center"/>
    </xf>
    <xf numFmtId="3" fontId="49" fillId="0" borderId="20" xfId="0" applyNumberFormat="1" applyFont="1" applyBorder="1" applyAlignment="1">
      <alignment horizontal="center" vertical="center"/>
    </xf>
    <xf numFmtId="3" fontId="50" fillId="0" borderId="20" xfId="0" applyNumberFormat="1" applyFont="1" applyBorder="1" applyAlignment="1">
      <alignment horizontal="center" vertical="center"/>
    </xf>
    <xf numFmtId="3" fontId="51" fillId="5" borderId="74" xfId="0" applyNumberFormat="1" applyFont="1" applyFill="1" applyBorder="1" applyAlignment="1">
      <alignment horizontal="right" vertical="center"/>
    </xf>
    <xf numFmtId="3" fontId="9" fillId="0" borderId="0" xfId="0" applyNumberFormat="1" applyFont="1" applyAlignment="1">
      <alignment vertical="center"/>
    </xf>
    <xf numFmtId="3" fontId="26" fillId="5" borderId="22" xfId="0" applyNumberFormat="1" applyFont="1" applyFill="1" applyBorder="1" applyAlignment="1">
      <alignment horizontal="right" vertical="center"/>
    </xf>
    <xf numFmtId="0" fontId="26" fillId="5" borderId="72" xfId="17" applyFont="1" applyFill="1" applyBorder="1" applyAlignment="1">
      <alignment horizontal="left" vertical="center"/>
    </xf>
    <xf numFmtId="0" fontId="26" fillId="5" borderId="73" xfId="17" applyFont="1" applyFill="1" applyBorder="1" applyAlignment="1">
      <alignment horizontal="left" vertical="center"/>
    </xf>
    <xf numFmtId="0" fontId="9" fillId="21" borderId="68" xfId="0" applyFont="1" applyFill="1" applyBorder="1" applyAlignment="1">
      <alignment horizontal="left" vertical="center"/>
    </xf>
    <xf numFmtId="0" fontId="9" fillId="21" borderId="69" xfId="0" applyFont="1" applyFill="1" applyBorder="1" applyAlignment="1">
      <alignment horizontal="left" vertical="center"/>
    </xf>
    <xf numFmtId="3" fontId="9" fillId="21" borderId="70" xfId="0" applyNumberFormat="1" applyFont="1" applyFill="1" applyBorder="1" applyAlignment="1">
      <alignment horizontal="right" vertical="center"/>
    </xf>
    <xf numFmtId="0" fontId="26" fillId="0" borderId="0" xfId="17" applyFont="1" applyFill="1" applyBorder="1" applyAlignment="1">
      <alignment horizontal="left" vertical="center"/>
    </xf>
    <xf numFmtId="3" fontId="51" fillId="0" borderId="0" xfId="0" applyNumberFormat="1" applyFont="1" applyFill="1" applyBorder="1" applyAlignment="1">
      <alignment horizontal="right" vertical="center"/>
    </xf>
    <xf numFmtId="0" fontId="9" fillId="0" borderId="0" xfId="0" applyFont="1" applyFill="1" applyAlignment="1">
      <alignment vertical="center"/>
    </xf>
    <xf numFmtId="3" fontId="26" fillId="0" borderId="0" xfId="0" applyNumberFormat="1" applyFont="1" applyFill="1" applyBorder="1" applyAlignment="1">
      <alignment horizontal="right"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right" vertical="center"/>
    </xf>
    <xf numFmtId="0" fontId="42" fillId="0" borderId="0" xfId="0" applyFont="1" applyFill="1"/>
    <xf numFmtId="3" fontId="26" fillId="0" borderId="0" xfId="17" applyNumberFormat="1" applyFont="1" applyFill="1" applyBorder="1" applyAlignment="1">
      <alignment horizontal="left" vertical="center"/>
    </xf>
    <xf numFmtId="0" fontId="11" fillId="0" borderId="0" xfId="0" applyFont="1" applyFill="1" applyBorder="1"/>
    <xf numFmtId="0" fontId="52" fillId="0" borderId="0" xfId="0" applyFont="1" applyAlignment="1">
      <alignment horizontal="center" vertical="center"/>
    </xf>
    <xf numFmtId="0" fontId="55" fillId="0" borderId="34" xfId="0" applyFont="1" applyBorder="1" applyAlignment="1">
      <alignment horizontal="center" vertical="center"/>
    </xf>
    <xf numFmtId="0" fontId="55" fillId="0" borderId="20" xfId="0" applyFont="1" applyBorder="1" applyAlignment="1">
      <alignment horizontal="center" vertical="center"/>
    </xf>
    <xf numFmtId="0" fontId="55" fillId="0" borderId="22" xfId="0" applyFont="1" applyBorder="1" applyAlignment="1">
      <alignment horizontal="center" vertical="center"/>
    </xf>
    <xf numFmtId="0" fontId="55" fillId="0" borderId="34" xfId="0" applyFont="1" applyBorder="1" applyAlignment="1">
      <alignment horizontal="center" vertical="center" wrapText="1"/>
    </xf>
    <xf numFmtId="0" fontId="55" fillId="0" borderId="20" xfId="0" applyFont="1" applyBorder="1" applyAlignment="1">
      <alignment horizontal="center" vertical="center" wrapText="1"/>
    </xf>
    <xf numFmtId="0" fontId="8" fillId="0" borderId="22" xfId="0" applyFont="1" applyBorder="1" applyAlignment="1">
      <alignment horizontal="center" vertical="center"/>
    </xf>
    <xf numFmtId="0" fontId="14" fillId="0" borderId="34" xfId="0" applyFont="1" applyBorder="1" applyAlignment="1">
      <alignment horizontal="center" vertical="center"/>
    </xf>
    <xf numFmtId="168" fontId="14" fillId="0" borderId="20" xfId="0" applyNumberFormat="1" applyFont="1" applyBorder="1" applyAlignment="1">
      <alignment horizontal="center"/>
    </xf>
    <xf numFmtId="4" fontId="14" fillId="0" borderId="20" xfId="0" applyNumberFormat="1" applyFont="1" applyBorder="1" applyAlignment="1">
      <alignment horizontal="center"/>
    </xf>
    <xf numFmtId="4" fontId="14" fillId="0" borderId="22" xfId="0" applyNumberFormat="1" applyFont="1" applyFill="1" applyBorder="1" applyAlignment="1">
      <alignment horizontal="center" vertical="center"/>
    </xf>
    <xf numFmtId="4" fontId="14" fillId="0" borderId="34" xfId="0" applyNumberFormat="1" applyFont="1" applyFill="1" applyBorder="1" applyAlignment="1">
      <alignment horizontal="center"/>
    </xf>
    <xf numFmtId="4" fontId="14" fillId="0" borderId="20" xfId="0" applyNumberFormat="1" applyFont="1" applyFill="1" applyBorder="1" applyAlignment="1">
      <alignment horizontal="center" vertical="center"/>
    </xf>
    <xf numFmtId="0" fontId="14" fillId="0" borderId="0" xfId="0" applyFont="1"/>
    <xf numFmtId="0" fontId="14" fillId="0" borderId="56" xfId="0" applyFont="1" applyBorder="1" applyAlignment="1">
      <alignment horizontal="center" vertical="center"/>
    </xf>
    <xf numFmtId="168" fontId="14" fillId="0" borderId="57" xfId="0" applyNumberFormat="1" applyFont="1" applyBorder="1" applyAlignment="1">
      <alignment horizontal="center"/>
    </xf>
    <xf numFmtId="4" fontId="14" fillId="0" borderId="57" xfId="0" applyNumberFormat="1" applyFont="1" applyBorder="1" applyAlignment="1">
      <alignment horizontal="center"/>
    </xf>
    <xf numFmtId="4" fontId="14" fillId="0" borderId="58" xfId="0" applyNumberFormat="1" applyFont="1" applyFill="1" applyBorder="1" applyAlignment="1">
      <alignment horizontal="center" vertical="center"/>
    </xf>
    <xf numFmtId="4" fontId="14" fillId="0" borderId="56" xfId="0" applyNumberFormat="1" applyFont="1" applyFill="1" applyBorder="1" applyAlignment="1">
      <alignment horizontal="center"/>
    </xf>
    <xf numFmtId="4" fontId="14" fillId="0" borderId="57" xfId="0" applyNumberFormat="1" applyFont="1" applyFill="1" applyBorder="1" applyAlignment="1">
      <alignment horizontal="center" vertical="center"/>
    </xf>
    <xf numFmtId="0" fontId="14" fillId="0" borderId="63" xfId="0" applyFont="1" applyBorder="1" applyAlignment="1">
      <alignment horizontal="center" vertical="center"/>
    </xf>
    <xf numFmtId="168" fontId="14" fillId="0" borderId="1" xfId="0" applyNumberFormat="1" applyFont="1" applyBorder="1" applyAlignment="1">
      <alignment horizontal="center"/>
    </xf>
    <xf numFmtId="4" fontId="14" fillId="0" borderId="1" xfId="0" applyNumberFormat="1" applyFont="1" applyBorder="1" applyAlignment="1">
      <alignment horizontal="center"/>
    </xf>
    <xf numFmtId="4" fontId="14" fillId="0" borderId="64" xfId="0" applyNumberFormat="1" applyFont="1" applyFill="1" applyBorder="1" applyAlignment="1">
      <alignment horizontal="center" vertical="center"/>
    </xf>
    <xf numFmtId="4" fontId="14" fillId="0" borderId="63" xfId="0" applyNumberFormat="1" applyFont="1" applyFill="1" applyBorder="1" applyAlignment="1">
      <alignment horizontal="center"/>
    </xf>
    <xf numFmtId="4" fontId="14" fillId="0" borderId="1" xfId="0" applyNumberFormat="1" applyFont="1" applyFill="1" applyBorder="1" applyAlignment="1">
      <alignment horizontal="center" vertical="center"/>
    </xf>
    <xf numFmtId="0" fontId="14" fillId="0" borderId="52" xfId="0" applyFont="1" applyBorder="1" applyAlignment="1">
      <alignment horizontal="center" vertical="center"/>
    </xf>
    <xf numFmtId="168" fontId="14" fillId="0" borderId="53" xfId="0" applyNumberFormat="1" applyFont="1" applyBorder="1" applyAlignment="1">
      <alignment horizontal="center"/>
    </xf>
    <xf numFmtId="4" fontId="14" fillId="0" borderId="53" xfId="0" applyNumberFormat="1" applyFont="1" applyBorder="1" applyAlignment="1">
      <alignment horizontal="center"/>
    </xf>
    <xf numFmtId="4" fontId="14" fillId="0" borderId="54" xfId="0" applyNumberFormat="1" applyFont="1" applyFill="1" applyBorder="1" applyAlignment="1">
      <alignment horizontal="center" vertical="center"/>
    </xf>
    <xf numFmtId="0" fontId="56" fillId="0" borderId="5" xfId="0" applyFont="1" applyBorder="1" applyAlignment="1">
      <alignment horizontal="center" vertical="center"/>
    </xf>
    <xf numFmtId="168" fontId="56" fillId="0" borderId="6" xfId="0" applyNumberFormat="1" applyFont="1" applyFill="1" applyBorder="1" applyAlignment="1">
      <alignment horizontal="center" vertical="center"/>
    </xf>
    <xf numFmtId="0" fontId="14" fillId="0" borderId="6" xfId="0" applyFont="1" applyBorder="1" applyAlignment="1">
      <alignment horizontal="center" vertical="center"/>
    </xf>
    <xf numFmtId="0" fontId="14" fillId="0" borderId="114" xfId="0" applyFont="1" applyBorder="1" applyAlignment="1">
      <alignment horizontal="center" vertical="center"/>
    </xf>
    <xf numFmtId="3" fontId="56" fillId="0" borderId="115" xfId="0" applyNumberFormat="1" applyFont="1" applyFill="1" applyBorder="1" applyAlignment="1">
      <alignment horizontal="right" vertical="center" indent="1"/>
    </xf>
    <xf numFmtId="0" fontId="56" fillId="0" borderId="0" xfId="0" applyFont="1"/>
    <xf numFmtId="0" fontId="8" fillId="0" borderId="0" xfId="0" applyFont="1" applyAlignment="1">
      <alignment horizontal="right"/>
    </xf>
    <xf numFmtId="0" fontId="9" fillId="0" borderId="0" xfId="0" applyFont="1" applyFill="1" applyBorder="1" applyAlignment="1">
      <alignment horizontal="center"/>
    </xf>
    <xf numFmtId="0" fontId="29" fillId="24" borderId="5" xfId="0" applyFont="1" applyFill="1" applyBorder="1" applyAlignment="1">
      <alignment horizontal="left" vertical="center"/>
    </xf>
    <xf numFmtId="0" fontId="29" fillId="24" borderId="6" xfId="0" applyFont="1" applyFill="1" applyBorder="1" applyAlignment="1">
      <alignment horizontal="left" vertical="center"/>
    </xf>
    <xf numFmtId="0" fontId="34" fillId="5" borderId="51" xfId="17" applyFont="1" applyFill="1" applyBorder="1" applyAlignment="1">
      <alignment horizontal="left" vertical="center"/>
    </xf>
    <xf numFmtId="0" fontId="34" fillId="5" borderId="14" xfId="17" applyFont="1" applyFill="1" applyBorder="1" applyAlignment="1">
      <alignment horizontal="left" vertical="center"/>
    </xf>
    <xf numFmtId="0" fontId="34" fillId="5" borderId="36" xfId="17" applyFont="1" applyFill="1" applyBorder="1" applyAlignment="1">
      <alignment horizontal="left" vertical="center"/>
    </xf>
    <xf numFmtId="0" fontId="10" fillId="21" borderId="101" xfId="0" applyFont="1" applyFill="1" applyBorder="1" applyAlignment="1">
      <alignment horizontal="left" vertical="center"/>
    </xf>
    <xf numFmtId="0" fontId="10" fillId="21" borderId="102" xfId="0" applyFont="1" applyFill="1" applyBorder="1" applyAlignment="1">
      <alignment horizontal="left" vertical="center"/>
    </xf>
    <xf numFmtId="0" fontId="10" fillId="21" borderId="71" xfId="0" applyFont="1" applyFill="1" applyBorder="1" applyAlignment="1">
      <alignment horizontal="left" vertical="center"/>
    </xf>
    <xf numFmtId="0" fontId="29" fillId="7" borderId="5" xfId="0" applyFont="1" applyFill="1" applyBorder="1" applyAlignment="1">
      <alignment horizontal="left" vertical="center"/>
    </xf>
    <xf numFmtId="0" fontId="29" fillId="7" borderId="6" xfId="0" applyFont="1" applyFill="1" applyBorder="1" applyAlignment="1">
      <alignment horizontal="left" vertical="center"/>
    </xf>
    <xf numFmtId="0" fontId="34" fillId="5" borderId="47" xfId="17" applyFont="1" applyFill="1" applyBorder="1" applyAlignment="1">
      <alignment horizontal="left" vertical="center"/>
    </xf>
    <xf numFmtId="0" fontId="34" fillId="5" borderId="10" xfId="17" applyFont="1" applyFill="1" applyBorder="1" applyAlignment="1">
      <alignment horizontal="left" vertical="center"/>
    </xf>
    <xf numFmtId="0" fontId="34" fillId="5" borderId="100" xfId="17" applyFont="1" applyFill="1" applyBorder="1" applyAlignment="1">
      <alignment horizontal="left" vertical="center"/>
    </xf>
    <xf numFmtId="3" fontId="26" fillId="0" borderId="0" xfId="0" applyNumberFormat="1" applyFont="1" applyAlignment="1">
      <alignment horizontal="right" vertical="center"/>
    </xf>
    <xf numFmtId="3" fontId="26" fillId="0" borderId="0" xfId="0" applyNumberFormat="1" applyFont="1" applyAlignment="1">
      <alignment horizontal="right" vertical="center" wrapText="1"/>
    </xf>
    <xf numFmtId="0" fontId="12" fillId="0" borderId="96" xfId="0" applyFont="1" applyBorder="1" applyAlignment="1">
      <alignment horizontal="left" vertical="center"/>
    </xf>
    <xf numFmtId="0" fontId="12" fillId="0" borderId="97" xfId="0" applyFont="1" applyBorder="1" applyAlignment="1">
      <alignment horizontal="left" vertical="center"/>
    </xf>
    <xf numFmtId="0" fontId="12" fillId="0" borderId="98" xfId="0" applyFont="1" applyBorder="1" applyAlignment="1">
      <alignment horizontal="left" vertical="center"/>
    </xf>
    <xf numFmtId="2" fontId="12" fillId="0" borderId="96" xfId="0" applyNumberFormat="1" applyFont="1" applyFill="1" applyBorder="1" applyAlignment="1">
      <alignment horizontal="left" vertical="center"/>
    </xf>
    <xf numFmtId="2" fontId="12" fillId="0" borderId="97" xfId="0" applyNumberFormat="1" applyFont="1" applyFill="1" applyBorder="1" applyAlignment="1">
      <alignment horizontal="left" vertical="center"/>
    </xf>
    <xf numFmtId="2" fontId="12" fillId="0" borderId="98" xfId="0" applyNumberFormat="1" applyFont="1" applyFill="1" applyBorder="1" applyAlignment="1">
      <alignment horizontal="left" vertical="center"/>
    </xf>
    <xf numFmtId="0" fontId="10" fillId="21" borderId="5" xfId="0" applyFont="1" applyFill="1" applyBorder="1" applyAlignment="1">
      <alignment horizontal="left" vertical="center"/>
    </xf>
    <xf numFmtId="0" fontId="10" fillId="21" borderId="6"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21" borderId="2" xfId="0" applyFont="1" applyFill="1" applyBorder="1" applyAlignment="1">
      <alignment horizontal="left" vertical="center" wrapText="1"/>
    </xf>
    <xf numFmtId="0" fontId="10" fillId="21" borderId="3" xfId="0" applyFont="1" applyFill="1" applyBorder="1" applyAlignment="1">
      <alignment horizontal="left" vertical="center" wrapText="1"/>
    </xf>
    <xf numFmtId="0" fontId="10" fillId="21" borderId="4"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Fill="1" applyBorder="1" applyAlignment="1">
      <alignment horizontal="center" vertical="center"/>
    </xf>
    <xf numFmtId="0" fontId="52" fillId="0" borderId="74" xfId="0" applyFont="1" applyBorder="1" applyAlignment="1">
      <alignment horizontal="center" vertical="center" wrapText="1"/>
    </xf>
    <xf numFmtId="0" fontId="52" fillId="0" borderId="22" xfId="0" applyFont="1" applyBorder="1" applyAlignment="1">
      <alignment horizontal="center" vertical="center" wrapText="1"/>
    </xf>
    <xf numFmtId="0" fontId="9" fillId="0" borderId="0" xfId="0" applyFont="1" applyFill="1" applyBorder="1" applyAlignment="1">
      <alignment horizontal="center" wrapText="1"/>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52" fillId="0" borderId="63"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64" xfId="0" applyFont="1" applyBorder="1" applyAlignment="1">
      <alignment horizontal="center" vertical="center" wrapText="1"/>
    </xf>
    <xf numFmtId="0" fontId="52" fillId="0" borderId="72" xfId="0" applyFont="1" applyBorder="1" applyAlignment="1">
      <alignment horizontal="center" vertical="center" wrapText="1"/>
    </xf>
    <xf numFmtId="0" fontId="52" fillId="0" borderId="73" xfId="0" applyFont="1" applyBorder="1" applyAlignment="1">
      <alignment horizontal="center" vertical="center" wrapText="1"/>
    </xf>
    <xf numFmtId="0" fontId="26" fillId="5" borderId="51" xfId="17" applyFont="1" applyFill="1" applyBorder="1" applyAlignment="1">
      <alignment horizontal="left" vertical="center"/>
    </xf>
    <xf numFmtId="0" fontId="26" fillId="5" borderId="14" xfId="17" applyFont="1" applyFill="1" applyBorder="1" applyAlignment="1">
      <alignment horizontal="left" vertical="center"/>
    </xf>
    <xf numFmtId="0" fontId="26" fillId="5" borderId="36" xfId="17" applyFont="1" applyFill="1" applyBorder="1" applyAlignment="1">
      <alignment horizontal="left" vertical="center"/>
    </xf>
    <xf numFmtId="3" fontId="43" fillId="0" borderId="0" xfId="0" applyNumberFormat="1" applyFont="1" applyFill="1" applyBorder="1" applyAlignment="1">
      <alignment horizontal="center" vertical="center"/>
    </xf>
    <xf numFmtId="0" fontId="39" fillId="0" borderId="20"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33" fillId="0" borderId="20" xfId="0" applyFont="1" applyBorder="1" applyAlignment="1">
      <alignment horizontal="right" vertical="center" wrapText="1"/>
    </xf>
    <xf numFmtId="0" fontId="33" fillId="3" borderId="20" xfId="0" applyFont="1" applyFill="1" applyBorder="1" applyAlignment="1">
      <alignment horizontal="center" wrapText="1"/>
    </xf>
    <xf numFmtId="3" fontId="40" fillId="0" borderId="0" xfId="0" applyNumberFormat="1" applyFont="1" applyFill="1" applyBorder="1" applyAlignment="1">
      <alignment horizontal="center" vertical="center"/>
    </xf>
    <xf numFmtId="0" fontId="34" fillId="11" borderId="110" xfId="0" applyFont="1" applyFill="1" applyBorder="1" applyAlignment="1">
      <alignment horizontal="left" vertical="center" wrapText="1"/>
    </xf>
    <xf numFmtId="0" fontId="34" fillId="11" borderId="82" xfId="0" applyFont="1" applyFill="1" applyBorder="1" applyAlignment="1">
      <alignment horizontal="left" vertical="center" wrapText="1"/>
    </xf>
    <xf numFmtId="0" fontId="38" fillId="0" borderId="36" xfId="0" applyFont="1" applyBorder="1" applyAlignment="1">
      <alignment horizontal="center" vertical="center" wrapText="1"/>
    </xf>
    <xf numFmtId="0" fontId="33" fillId="0" borderId="20" xfId="0" applyFont="1" applyBorder="1" applyAlignment="1">
      <alignment horizontal="center"/>
    </xf>
    <xf numFmtId="0" fontId="31" fillId="0" borderId="20" xfId="0" applyFont="1" applyBorder="1" applyAlignment="1">
      <alignment horizontal="center" wrapText="1"/>
    </xf>
    <xf numFmtId="0" fontId="40" fillId="0" borderId="0" xfId="0" applyFont="1" applyBorder="1" applyAlignment="1">
      <alignment horizontal="left" wrapText="1"/>
    </xf>
    <xf numFmtId="0" fontId="31" fillId="0" borderId="20" xfId="0" applyFont="1" applyBorder="1" applyAlignment="1">
      <alignment horizontal="center" vertical="center"/>
    </xf>
    <xf numFmtId="0" fontId="32" fillId="0" borderId="20" xfId="0" applyFont="1" applyBorder="1" applyAlignment="1">
      <alignment horizontal="center" vertical="top" wrapText="1"/>
    </xf>
    <xf numFmtId="0" fontId="5" fillId="0" borderId="20" xfId="0" applyFont="1" applyBorder="1" applyAlignment="1">
      <alignment horizontal="center" vertical="center" wrapText="1"/>
    </xf>
    <xf numFmtId="0" fontId="40" fillId="0" borderId="20" xfId="0" applyFont="1" applyBorder="1" applyAlignment="1">
      <alignment horizontal="center" vertical="center" wrapText="1"/>
    </xf>
    <xf numFmtId="0" fontId="26" fillId="5" borderId="34" xfId="17" applyFont="1" applyFill="1" applyBorder="1" applyAlignment="1">
      <alignment horizontal="left" vertical="center" wrapText="1"/>
    </xf>
    <xf numFmtId="0" fontId="26" fillId="5" borderId="20" xfId="17" applyFont="1" applyFill="1" applyBorder="1" applyAlignment="1">
      <alignment horizontal="left" vertical="center" wrapText="1"/>
    </xf>
    <xf numFmtId="0" fontId="39" fillId="0" borderId="0" xfId="0" applyFont="1" applyAlignment="1">
      <alignment horizontal="center"/>
    </xf>
    <xf numFmtId="0" fontId="30" fillId="0" borderId="47" xfId="0" applyFont="1" applyBorder="1" applyAlignment="1">
      <alignment horizontal="center" vertical="center" wrapText="1"/>
    </xf>
    <xf numFmtId="0" fontId="30" fillId="0" borderId="51" xfId="0" applyFont="1" applyBorder="1" applyAlignment="1">
      <alignment horizontal="center" vertical="center" wrapText="1"/>
    </xf>
    <xf numFmtId="4" fontId="30" fillId="0" borderId="105" xfId="0" applyNumberFormat="1" applyFont="1" applyBorder="1" applyAlignment="1">
      <alignment horizontal="center" vertical="center" wrapText="1"/>
    </xf>
    <xf numFmtId="4" fontId="30" fillId="0" borderId="108" xfId="0" applyNumberFormat="1" applyFont="1" applyBorder="1" applyAlignment="1">
      <alignment horizontal="center" vertical="center" wrapText="1"/>
    </xf>
    <xf numFmtId="0" fontId="30" fillId="0" borderId="72"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106" xfId="0" applyFont="1" applyBorder="1" applyAlignment="1">
      <alignment horizontal="center" vertical="center" wrapText="1"/>
    </xf>
    <xf numFmtId="0" fontId="30" fillId="0" borderId="76" xfId="0" applyFont="1" applyBorder="1" applyAlignment="1">
      <alignment horizontal="center" vertical="center" wrapText="1"/>
    </xf>
    <xf numFmtId="0" fontId="30" fillId="0" borderId="74"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107" xfId="0" applyFont="1" applyBorder="1" applyAlignment="1">
      <alignment horizontal="center" vertical="center" wrapText="1"/>
    </xf>
    <xf numFmtId="0" fontId="30" fillId="0" borderId="109" xfId="0" applyFont="1" applyBorder="1" applyAlignment="1">
      <alignment horizontal="center" vertical="center" wrapText="1"/>
    </xf>
    <xf numFmtId="0" fontId="40" fillId="0" borderId="116" xfId="0" applyFont="1" applyBorder="1" applyAlignment="1">
      <alignment horizontal="left" wrapText="1"/>
    </xf>
    <xf numFmtId="0" fontId="46" fillId="7" borderId="5" xfId="0" applyFont="1" applyFill="1" applyBorder="1" applyAlignment="1">
      <alignment horizontal="left" vertical="center"/>
    </xf>
    <xf numFmtId="0" fontId="46" fillId="7" borderId="6" xfId="0" applyFont="1" applyFill="1" applyBorder="1" applyAlignment="1">
      <alignment horizontal="left" vertical="center"/>
    </xf>
  </cellXfs>
  <cellStyles count="22">
    <cellStyle name="Comma" xfId="21" builtinId="3"/>
    <cellStyle name="Excel Built-in Normal" xfId="17"/>
    <cellStyle name="Hyperlink" xfId="20" builtinId="8"/>
    <cellStyle name="Normal" xfId="0" builtinId="0"/>
    <cellStyle name="Normal 10 2" xfId="2"/>
    <cellStyle name="Normal 11 2" xfId="3"/>
    <cellStyle name="Normal 12" xfId="6"/>
    <cellStyle name="Normal 14 2" xfId="1"/>
    <cellStyle name="Normal 2" xfId="14"/>
    <cellStyle name="Normal 2 2" xfId="19"/>
    <cellStyle name="Normal 2 2 2 2" xfId="10"/>
    <cellStyle name="Normal 24 2 3 4 2 2 7 3 2 2" xfId="15"/>
    <cellStyle name="Normal 24 2 3 4 2 2 7 3 2 2 2" xfId="5"/>
    <cellStyle name="Normal 24 2 3 4 2 2 7 5 3" xfId="7"/>
    <cellStyle name="Normal 24 2 3 4 2 2 7 5 3 2" xfId="8"/>
    <cellStyle name="Normal 24 2 3 4 2 3 6 2 3 2 2" xfId="16"/>
    <cellStyle name="Normal 28 7" xfId="4"/>
    <cellStyle name="Normal 29 2" xfId="9"/>
    <cellStyle name="Normal 3" xfId="13"/>
    <cellStyle name="Normal 4" xfId="12"/>
    <cellStyle name="Normal 5" xfId="11"/>
    <cellStyle name="Normal_Sheet1" xfId="18"/>
  </cellStyles>
  <dxfs count="3">
    <dxf>
      <font>
        <color theme="4"/>
      </font>
      <fill>
        <patternFill>
          <bgColor theme="8" tint="0.59996337778862885"/>
        </patternFill>
      </fill>
    </dxf>
    <dxf>
      <font>
        <color theme="5"/>
      </font>
      <fill>
        <patternFill>
          <bgColor theme="5" tint="0.79998168889431442"/>
        </patternFill>
      </fill>
    </dxf>
    <dxf>
      <font>
        <color theme="0" tint="-0.499984740745262"/>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vetlana.Supulniece\Local%20Settings\Temporary%20Internet%20Files\Content.Outlook\J21U5MYL\LIC%20PP%20parrekins%20pec%202012%209m%20DB\LIC%20laboratorija\R0032%20-LIC%20darbs%20laboratorija%20citam%20ar%20palidz%20veidu%20AI%20311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mbulatoro_pakalpojumu_nodala\Planosana_2012\SAVA\!_Grozijumi%202012.gada%20laikaa\Egija_Grozijumi%20ar%2001.10.2012_NEPIENEMTIE\Apaksas%20SAVA%20rikojum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iga.citskovska\Documents\2016\Aknu_transp_04.2016\Aknu_transp_kop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direct_profiles/VM_Sandra_Kasparenko/My%20Documents/mani_virzitie_normativie_akti/2017/Grozijumi_MKnot595_no_2018%20Lasma/eletroniska_saskanosanas%20!!!/VM_DS_2018_25_10_2017%20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refreshError="1"/>
      <sheetData sheetId="1" refreshError="1"/>
      <sheetData sheetId="2" refreshError="1"/>
      <sheetData sheetId="3">
        <row r="106">
          <cell r="A106" t="str">
            <v>Recover</v>
          </cell>
        </row>
      </sheetData>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_gads"/>
      <sheetName val="2018_gads"/>
    </sheetNames>
    <sheetDataSet>
      <sheetData sheetId="0">
        <row r="9">
          <cell r="D9">
            <v>719.66279345806299</v>
          </cell>
        </row>
        <row r="19">
          <cell r="D19">
            <v>498.7198082268294</v>
          </cell>
        </row>
        <row r="29">
          <cell r="D29">
            <v>420.58880568144662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andra.Kasparenko@v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V629"/>
  <sheetViews>
    <sheetView tabSelected="1" zoomScale="90" zoomScaleNormal="90" workbookViewId="0">
      <pane ySplit="5" topLeftCell="A312" activePane="bottomLeft" state="frozen"/>
      <selection pane="bottomLeft" activeCell="Y332" sqref="Y332"/>
    </sheetView>
  </sheetViews>
  <sheetFormatPr defaultRowHeight="12.75" x14ac:dyDescent="0.25"/>
  <cols>
    <col min="1" max="1" width="0.85546875" style="50" customWidth="1"/>
    <col min="2" max="2" width="32.140625" style="476" customWidth="1"/>
    <col min="3" max="3" width="6.7109375" style="477" customWidth="1"/>
    <col min="4" max="4" width="6.85546875" style="477" customWidth="1"/>
    <col min="5" max="5" width="6.7109375" style="477" customWidth="1"/>
    <col min="6" max="6" width="7.28515625" style="477" customWidth="1"/>
    <col min="7" max="7" width="8" style="478" customWidth="1"/>
    <col min="8" max="8" width="8.7109375" style="479" customWidth="1"/>
    <col min="9" max="9" width="8.42578125" style="390" customWidth="1"/>
    <col min="10" max="10" width="8.42578125" style="479" customWidth="1"/>
    <col min="11" max="11" width="11.5703125" style="477" customWidth="1"/>
    <col min="12" max="12" width="11" style="390" customWidth="1"/>
    <col min="13" max="13" width="9" style="477" customWidth="1"/>
    <col min="14" max="14" width="8.7109375" style="390" customWidth="1"/>
    <col min="15" max="15" width="9.42578125" style="390" customWidth="1"/>
    <col min="16" max="16" width="9.5703125" style="390" customWidth="1"/>
    <col min="17" max="17" width="10.85546875" style="480" customWidth="1"/>
    <col min="18" max="18" width="10.7109375" style="480" customWidth="1"/>
    <col min="19" max="19" width="11.140625" style="480" customWidth="1"/>
    <col min="20" max="20" width="0.7109375" style="390" customWidth="1"/>
    <col min="21" max="21" width="9.85546875" style="390" customWidth="1"/>
    <col min="22" max="22" width="9.5703125" style="50" customWidth="1"/>
    <col min="23" max="16384" width="9.140625" style="50"/>
  </cols>
  <sheetData>
    <row r="1" spans="1:21" s="731" customFormat="1" ht="15" customHeight="1" x14ac:dyDescent="0.25">
      <c r="B1" s="732"/>
      <c r="C1" s="733"/>
      <c r="D1" s="733"/>
      <c r="E1" s="733"/>
      <c r="F1" s="733"/>
      <c r="G1" s="734"/>
      <c r="H1" s="735"/>
      <c r="I1" s="378"/>
      <c r="J1" s="735"/>
      <c r="K1" s="736"/>
      <c r="L1" s="378"/>
      <c r="M1" s="736"/>
      <c r="N1" s="378"/>
      <c r="O1" s="378"/>
      <c r="P1" s="986" t="s">
        <v>367</v>
      </c>
      <c r="Q1" s="986"/>
      <c r="R1" s="986"/>
      <c r="S1" s="986"/>
      <c r="T1" s="3"/>
      <c r="U1" s="3"/>
    </row>
    <row r="2" spans="1:21" s="731" customFormat="1" ht="64.5" customHeight="1" x14ac:dyDescent="0.25">
      <c r="B2" s="732"/>
      <c r="C2" s="733"/>
      <c r="D2" s="733"/>
      <c r="E2" s="733"/>
      <c r="F2" s="733"/>
      <c r="G2" s="734"/>
      <c r="H2" s="987" t="s">
        <v>362</v>
      </c>
      <c r="I2" s="987"/>
      <c r="J2" s="987"/>
      <c r="K2" s="987"/>
      <c r="L2" s="987"/>
      <c r="M2" s="987"/>
      <c r="N2" s="987"/>
      <c r="O2" s="987"/>
      <c r="P2" s="987"/>
      <c r="Q2" s="987"/>
      <c r="R2" s="987"/>
      <c r="S2" s="987"/>
      <c r="T2" s="3"/>
      <c r="U2" s="3"/>
    </row>
    <row r="3" spans="1:21" s="731" customFormat="1" ht="15" customHeight="1" x14ac:dyDescent="0.25">
      <c r="B3" s="732"/>
      <c r="C3" s="733"/>
      <c r="D3" s="733"/>
      <c r="E3" s="733"/>
      <c r="F3" s="733"/>
      <c r="G3" s="734"/>
      <c r="H3" s="737"/>
      <c r="I3" s="3"/>
      <c r="J3" s="737"/>
      <c r="K3" s="733"/>
      <c r="L3" s="3"/>
      <c r="M3" s="733"/>
      <c r="N3" s="3"/>
      <c r="O3" s="3"/>
      <c r="P3" s="3"/>
      <c r="Q3" s="738"/>
      <c r="R3" s="738"/>
      <c r="S3" s="738"/>
      <c r="T3" s="3"/>
      <c r="U3" s="3"/>
    </row>
    <row r="4" spans="1:21" s="739" customFormat="1" ht="19.5" customHeight="1" x14ac:dyDescent="0.25">
      <c r="B4" s="1006" t="s">
        <v>526</v>
      </c>
      <c r="C4" s="1006"/>
      <c r="D4" s="1006"/>
      <c r="E4" s="1006"/>
      <c r="F4" s="1006"/>
      <c r="G4" s="1006"/>
      <c r="H4" s="1006"/>
      <c r="I4" s="1006"/>
      <c r="J4" s="1006"/>
      <c r="K4" s="1006"/>
      <c r="L4" s="1006"/>
      <c r="M4" s="1006"/>
      <c r="N4" s="1006"/>
      <c r="O4" s="1006"/>
      <c r="P4" s="1006"/>
      <c r="Q4" s="1006"/>
      <c r="R4" s="1006"/>
      <c r="S4" s="1006"/>
      <c r="T4" s="740"/>
      <c r="U4" s="740"/>
    </row>
    <row r="5" spans="1:21" s="379" customFormat="1" ht="16.5" thickBot="1" x14ac:dyDescent="0.3">
      <c r="G5" s="741"/>
      <c r="H5" s="742"/>
      <c r="Q5" s="743"/>
      <c r="R5" s="743"/>
      <c r="S5" s="743" t="s">
        <v>379</v>
      </c>
      <c r="T5" s="378"/>
      <c r="U5" s="744"/>
    </row>
    <row r="6" spans="1:21" s="2" customFormat="1" ht="15.75" thickBot="1" x14ac:dyDescent="0.3">
      <c r="B6" s="999" t="s">
        <v>4</v>
      </c>
      <c r="C6" s="1000"/>
      <c r="D6" s="1000"/>
      <c r="E6" s="1000"/>
      <c r="F6" s="1000"/>
      <c r="G6" s="1000"/>
      <c r="H6" s="1000"/>
      <c r="I6" s="1000"/>
      <c r="J6" s="1001"/>
      <c r="K6" s="999" t="s">
        <v>5</v>
      </c>
      <c r="L6" s="1000"/>
      <c r="M6" s="1000"/>
      <c r="N6" s="1000"/>
      <c r="O6" s="1000"/>
      <c r="P6" s="1000"/>
      <c r="Q6" s="1000"/>
      <c r="R6" s="1000"/>
      <c r="S6" s="1001"/>
      <c r="T6" s="3"/>
      <c r="U6" s="4"/>
    </row>
    <row r="7" spans="1:21" ht="142.5" customHeight="1" thickBot="1" x14ac:dyDescent="0.3">
      <c r="B7" s="745" t="s">
        <v>6</v>
      </c>
      <c r="C7" s="746" t="s">
        <v>7</v>
      </c>
      <c r="D7" s="746" t="s">
        <v>8</v>
      </c>
      <c r="E7" s="746" t="s">
        <v>9</v>
      </c>
      <c r="F7" s="746" t="s">
        <v>10</v>
      </c>
      <c r="G7" s="747" t="s">
        <v>378</v>
      </c>
      <c r="H7" s="748" t="s">
        <v>377</v>
      </c>
      <c r="I7" s="746" t="s">
        <v>376</v>
      </c>
      <c r="J7" s="749" t="s">
        <v>11</v>
      </c>
      <c r="K7" s="750" t="s">
        <v>375</v>
      </c>
      <c r="L7" s="485" t="s">
        <v>374</v>
      </c>
      <c r="M7" s="746" t="s">
        <v>12</v>
      </c>
      <c r="N7" s="746" t="s">
        <v>13</v>
      </c>
      <c r="O7" s="746" t="s">
        <v>14</v>
      </c>
      <c r="P7" s="746" t="s">
        <v>15</v>
      </c>
      <c r="Q7" s="751" t="s">
        <v>16</v>
      </c>
      <c r="R7" s="751" t="s">
        <v>17</v>
      </c>
      <c r="S7" s="752" t="s">
        <v>18</v>
      </c>
    </row>
    <row r="8" spans="1:21" s="757" customFormat="1" ht="4.5" customHeight="1" thickBot="1" x14ac:dyDescent="0.3">
      <c r="A8" s="51"/>
      <c r="B8" s="753"/>
      <c r="C8" s="753"/>
      <c r="D8" s="753"/>
      <c r="E8" s="753"/>
      <c r="F8" s="753"/>
      <c r="G8" s="754"/>
      <c r="H8" s="755"/>
      <c r="I8" s="380"/>
      <c r="J8" s="754"/>
      <c r="K8" s="753"/>
      <c r="L8" s="380"/>
      <c r="M8" s="753"/>
      <c r="N8" s="380"/>
      <c r="O8" s="380"/>
      <c r="P8" s="380"/>
      <c r="Q8" s="756"/>
      <c r="R8" s="756"/>
      <c r="S8" s="756"/>
      <c r="T8" s="380"/>
      <c r="U8" s="380"/>
    </row>
    <row r="9" spans="1:21" s="396" customFormat="1" ht="15" x14ac:dyDescent="0.25">
      <c r="B9" s="397" t="s">
        <v>0</v>
      </c>
      <c r="C9" s="398"/>
      <c r="D9" s="398"/>
      <c r="E9" s="398"/>
      <c r="F9" s="398"/>
      <c r="G9" s="399"/>
      <c r="H9" s="400"/>
      <c r="I9" s="381"/>
      <c r="J9" s="401"/>
      <c r="K9" s="381"/>
      <c r="L9" s="381"/>
      <c r="M9" s="381"/>
      <c r="N9" s="383"/>
      <c r="O9" s="383"/>
      <c r="P9" s="383"/>
      <c r="Q9" s="402"/>
      <c r="R9" s="402"/>
      <c r="S9" s="403"/>
      <c r="T9" s="404"/>
      <c r="U9" s="404"/>
    </row>
    <row r="10" spans="1:21" s="109" customFormat="1" x14ac:dyDescent="0.25">
      <c r="B10" s="758" t="s">
        <v>19</v>
      </c>
      <c r="C10" s="759"/>
      <c r="D10" s="759"/>
      <c r="E10" s="759"/>
      <c r="F10" s="759"/>
      <c r="G10" s="760"/>
      <c r="H10" s="761"/>
      <c r="I10" s="283"/>
      <c r="J10" s="762"/>
      <c r="K10" s="763"/>
      <c r="L10" s="283"/>
      <c r="M10" s="764"/>
      <c r="N10" s="283"/>
      <c r="O10" s="283"/>
      <c r="P10" s="283"/>
      <c r="Q10" s="306"/>
      <c r="R10" s="306"/>
      <c r="S10" s="307"/>
      <c r="T10" s="390"/>
      <c r="U10" s="765"/>
    </row>
    <row r="11" spans="1:21" s="109" customFormat="1" ht="27" customHeight="1" x14ac:dyDescent="0.25">
      <c r="B11" s="766" t="s">
        <v>20</v>
      </c>
      <c r="C11" s="667">
        <v>35</v>
      </c>
      <c r="D11" s="667" t="s">
        <v>21</v>
      </c>
      <c r="E11" s="667">
        <v>11</v>
      </c>
      <c r="F11" s="767">
        <v>3</v>
      </c>
      <c r="G11" s="768">
        <v>1382</v>
      </c>
      <c r="H11" s="769">
        <v>1300</v>
      </c>
      <c r="I11" s="123">
        <v>0</v>
      </c>
      <c r="J11" s="770">
        <v>1</v>
      </c>
      <c r="K11" s="771">
        <f>H11*1.27</f>
        <v>1651</v>
      </c>
      <c r="L11" s="5">
        <f t="shared" ref="L11:L29" si="0">IF(K11&lt;=G11,K11,G11)</f>
        <v>1382</v>
      </c>
      <c r="M11" s="122">
        <f t="shared" ref="M11:M29" si="1">N11-I11</f>
        <v>0</v>
      </c>
      <c r="N11" s="123">
        <f t="shared" ref="N11:N29" si="2">I11/H11*L11</f>
        <v>0</v>
      </c>
      <c r="O11" s="5">
        <f t="shared" ref="O11:O29" si="3">L11-H11+M11</f>
        <v>82</v>
      </c>
      <c r="P11" s="123">
        <f t="shared" ref="P11:P29" si="4">O11*J11</f>
        <v>82</v>
      </c>
      <c r="Q11" s="124">
        <f t="shared" ref="Q11:Q29" si="5">P11*12</f>
        <v>984</v>
      </c>
      <c r="R11" s="124">
        <f t="shared" ref="R11:R29" si="6">Q11*0.2409</f>
        <v>237.04560000000001</v>
      </c>
      <c r="S11" s="125">
        <f t="shared" ref="S11:S29" si="7">Q11+R11</f>
        <v>1221.0455999999999</v>
      </c>
      <c r="T11" s="390"/>
      <c r="U11" s="765"/>
    </row>
    <row r="12" spans="1:21" s="109" customFormat="1" x14ac:dyDescent="0.25">
      <c r="B12" s="766" t="s">
        <v>22</v>
      </c>
      <c r="C12" s="667" t="s">
        <v>23</v>
      </c>
      <c r="D12" s="667" t="s">
        <v>24</v>
      </c>
      <c r="E12" s="667">
        <v>10</v>
      </c>
      <c r="F12" s="767">
        <v>3</v>
      </c>
      <c r="G12" s="772">
        <v>1287</v>
      </c>
      <c r="H12" s="769">
        <v>950</v>
      </c>
      <c r="I12" s="123">
        <v>0</v>
      </c>
      <c r="J12" s="770">
        <v>7</v>
      </c>
      <c r="K12" s="771">
        <f t="shared" ref="K12:K29" si="8">H12*1.27</f>
        <v>1206.5</v>
      </c>
      <c r="L12" s="5">
        <f t="shared" si="0"/>
        <v>1206.5</v>
      </c>
      <c r="M12" s="122">
        <f t="shared" si="1"/>
        <v>0</v>
      </c>
      <c r="N12" s="123">
        <f t="shared" si="2"/>
        <v>0</v>
      </c>
      <c r="O12" s="5">
        <f t="shared" si="3"/>
        <v>256.5</v>
      </c>
      <c r="P12" s="123">
        <f t="shared" si="4"/>
        <v>1795.5</v>
      </c>
      <c r="Q12" s="124">
        <f t="shared" si="5"/>
        <v>21546</v>
      </c>
      <c r="R12" s="124">
        <f t="shared" si="6"/>
        <v>5190.4314000000004</v>
      </c>
      <c r="S12" s="125">
        <f t="shared" si="7"/>
        <v>26736.431400000001</v>
      </c>
      <c r="T12" s="390"/>
      <c r="U12" s="765"/>
    </row>
    <row r="13" spans="1:21" s="109" customFormat="1" x14ac:dyDescent="0.25">
      <c r="B13" s="766" t="s">
        <v>22</v>
      </c>
      <c r="C13" s="667" t="s">
        <v>23</v>
      </c>
      <c r="D13" s="667" t="s">
        <v>24</v>
      </c>
      <c r="E13" s="667">
        <v>10</v>
      </c>
      <c r="F13" s="767">
        <v>3</v>
      </c>
      <c r="G13" s="772">
        <v>1287</v>
      </c>
      <c r="H13" s="665">
        <v>950</v>
      </c>
      <c r="I13" s="773">
        <v>142.5</v>
      </c>
      <c r="J13" s="770">
        <v>1</v>
      </c>
      <c r="K13" s="771">
        <f t="shared" si="8"/>
        <v>1206.5</v>
      </c>
      <c r="L13" s="5">
        <f t="shared" si="0"/>
        <v>1206.5</v>
      </c>
      <c r="M13" s="122">
        <f t="shared" si="1"/>
        <v>38.474999999999994</v>
      </c>
      <c r="N13" s="123">
        <f>I13/H13*L13</f>
        <v>180.97499999999999</v>
      </c>
      <c r="O13" s="5">
        <f t="shared" si="3"/>
        <v>294.97500000000002</v>
      </c>
      <c r="P13" s="123">
        <f t="shared" si="4"/>
        <v>294.97500000000002</v>
      </c>
      <c r="Q13" s="124">
        <f t="shared" si="5"/>
        <v>3539.7000000000003</v>
      </c>
      <c r="R13" s="124">
        <f t="shared" si="6"/>
        <v>852.71373000000006</v>
      </c>
      <c r="S13" s="125">
        <f t="shared" si="7"/>
        <v>4392.4137300000002</v>
      </c>
      <c r="T13" s="390"/>
      <c r="U13" s="765"/>
    </row>
    <row r="14" spans="1:21" s="109" customFormat="1" x14ac:dyDescent="0.25">
      <c r="B14" s="774" t="s">
        <v>22</v>
      </c>
      <c r="C14" s="775" t="s">
        <v>23</v>
      </c>
      <c r="D14" s="775" t="s">
        <v>24</v>
      </c>
      <c r="E14" s="775">
        <v>10</v>
      </c>
      <c r="F14" s="776">
        <v>3</v>
      </c>
      <c r="G14" s="772">
        <v>1287</v>
      </c>
      <c r="H14" s="777">
        <v>950</v>
      </c>
      <c r="I14" s="773">
        <v>142.5</v>
      </c>
      <c r="J14" s="778">
        <v>1</v>
      </c>
      <c r="K14" s="771">
        <f t="shared" si="8"/>
        <v>1206.5</v>
      </c>
      <c r="L14" s="5">
        <f t="shared" si="0"/>
        <v>1206.5</v>
      </c>
      <c r="M14" s="122">
        <f t="shared" si="1"/>
        <v>38.474999999999994</v>
      </c>
      <c r="N14" s="123">
        <f t="shared" si="2"/>
        <v>180.97499999999999</v>
      </c>
      <c r="O14" s="5">
        <f t="shared" si="3"/>
        <v>294.97500000000002</v>
      </c>
      <c r="P14" s="123">
        <f t="shared" si="4"/>
        <v>294.97500000000002</v>
      </c>
      <c r="Q14" s="124">
        <f t="shared" si="5"/>
        <v>3539.7000000000003</v>
      </c>
      <c r="R14" s="124">
        <f t="shared" si="6"/>
        <v>852.71373000000006</v>
      </c>
      <c r="S14" s="125">
        <f t="shared" si="7"/>
        <v>4392.4137300000002</v>
      </c>
      <c r="T14" s="390"/>
      <c r="U14" s="765"/>
    </row>
    <row r="15" spans="1:21" s="109" customFormat="1" x14ac:dyDescent="0.25">
      <c r="B15" s="779" t="s">
        <v>22</v>
      </c>
      <c r="C15" s="780" t="s">
        <v>23</v>
      </c>
      <c r="D15" s="780" t="s">
        <v>25</v>
      </c>
      <c r="E15" s="780">
        <v>10</v>
      </c>
      <c r="F15" s="781">
        <v>2</v>
      </c>
      <c r="G15" s="782">
        <v>1115</v>
      </c>
      <c r="H15" s="783">
        <v>832</v>
      </c>
      <c r="I15" s="784">
        <v>124.8</v>
      </c>
      <c r="J15" s="785">
        <v>0.5</v>
      </c>
      <c r="K15" s="771">
        <f>H15*1.27</f>
        <v>1056.6400000000001</v>
      </c>
      <c r="L15" s="5">
        <f t="shared" si="0"/>
        <v>1056.6400000000001</v>
      </c>
      <c r="M15" s="122">
        <f>N15-I15</f>
        <v>33.696000000000012</v>
      </c>
      <c r="N15" s="123">
        <f>I15/H15*L15</f>
        <v>158.49600000000001</v>
      </c>
      <c r="O15" s="5">
        <f t="shared" si="3"/>
        <v>258.33600000000013</v>
      </c>
      <c r="P15" s="123">
        <f t="shared" si="4"/>
        <v>129.16800000000006</v>
      </c>
      <c r="Q15" s="124">
        <f t="shared" si="5"/>
        <v>1550.0160000000008</v>
      </c>
      <c r="R15" s="124">
        <f t="shared" si="6"/>
        <v>373.39885440000018</v>
      </c>
      <c r="S15" s="125">
        <f t="shared" si="7"/>
        <v>1923.4148544000009</v>
      </c>
      <c r="T15" s="390"/>
      <c r="U15" s="765"/>
    </row>
    <row r="16" spans="1:21" s="109" customFormat="1" x14ac:dyDescent="0.25">
      <c r="B16" s="786" t="s">
        <v>26</v>
      </c>
      <c r="C16" s="667" t="s">
        <v>23</v>
      </c>
      <c r="D16" s="667" t="s">
        <v>25</v>
      </c>
      <c r="E16" s="667">
        <v>9</v>
      </c>
      <c r="F16" s="767">
        <v>2</v>
      </c>
      <c r="G16" s="772">
        <v>1015</v>
      </c>
      <c r="H16" s="665">
        <v>704</v>
      </c>
      <c r="I16" s="773">
        <v>0</v>
      </c>
      <c r="J16" s="770">
        <v>0.5</v>
      </c>
      <c r="K16" s="771">
        <f t="shared" si="8"/>
        <v>894.08</v>
      </c>
      <c r="L16" s="5">
        <f t="shared" si="0"/>
        <v>894.08</v>
      </c>
      <c r="M16" s="122">
        <f t="shared" si="1"/>
        <v>0</v>
      </c>
      <c r="N16" s="123">
        <f t="shared" si="2"/>
        <v>0</v>
      </c>
      <c r="O16" s="5">
        <f t="shared" si="3"/>
        <v>190.08000000000004</v>
      </c>
      <c r="P16" s="123">
        <f t="shared" si="4"/>
        <v>95.04000000000002</v>
      </c>
      <c r="Q16" s="124">
        <f t="shared" si="5"/>
        <v>1140.4800000000002</v>
      </c>
      <c r="R16" s="124">
        <f t="shared" si="6"/>
        <v>274.74163200000004</v>
      </c>
      <c r="S16" s="125">
        <f t="shared" si="7"/>
        <v>1415.2216320000002</v>
      </c>
      <c r="T16" s="390"/>
      <c r="U16" s="765"/>
    </row>
    <row r="17" spans="2:21" s="109" customFormat="1" x14ac:dyDescent="0.25">
      <c r="B17" s="766" t="s">
        <v>27</v>
      </c>
      <c r="C17" s="667" t="s">
        <v>23</v>
      </c>
      <c r="D17" s="667" t="s">
        <v>24</v>
      </c>
      <c r="E17" s="667">
        <v>10</v>
      </c>
      <c r="F17" s="767">
        <v>3</v>
      </c>
      <c r="G17" s="772">
        <v>1287</v>
      </c>
      <c r="H17" s="665">
        <v>920</v>
      </c>
      <c r="I17" s="773">
        <v>0</v>
      </c>
      <c r="J17" s="770">
        <v>0.5</v>
      </c>
      <c r="K17" s="771">
        <f t="shared" si="8"/>
        <v>1168.4000000000001</v>
      </c>
      <c r="L17" s="5">
        <f t="shared" si="0"/>
        <v>1168.4000000000001</v>
      </c>
      <c r="M17" s="122">
        <f t="shared" si="1"/>
        <v>0</v>
      </c>
      <c r="N17" s="123">
        <f t="shared" si="2"/>
        <v>0</v>
      </c>
      <c r="O17" s="5">
        <f t="shared" si="3"/>
        <v>248.40000000000009</v>
      </c>
      <c r="P17" s="123">
        <f t="shared" si="4"/>
        <v>124.20000000000005</v>
      </c>
      <c r="Q17" s="124">
        <f t="shared" si="5"/>
        <v>1490.4000000000005</v>
      </c>
      <c r="R17" s="124">
        <f t="shared" si="6"/>
        <v>359.03736000000015</v>
      </c>
      <c r="S17" s="125">
        <f t="shared" si="7"/>
        <v>1849.4373600000008</v>
      </c>
      <c r="T17" s="390"/>
      <c r="U17" s="765"/>
    </row>
    <row r="18" spans="2:21" s="109" customFormat="1" x14ac:dyDescent="0.25">
      <c r="B18" s="766" t="s">
        <v>28</v>
      </c>
      <c r="C18" s="667" t="s">
        <v>23</v>
      </c>
      <c r="D18" s="667" t="s">
        <v>24</v>
      </c>
      <c r="E18" s="667">
        <v>10</v>
      </c>
      <c r="F18" s="767">
        <v>3</v>
      </c>
      <c r="G18" s="772">
        <v>1287</v>
      </c>
      <c r="H18" s="665">
        <v>920</v>
      </c>
      <c r="I18" s="773">
        <v>0</v>
      </c>
      <c r="J18" s="770">
        <v>0.5</v>
      </c>
      <c r="K18" s="771">
        <f t="shared" si="8"/>
        <v>1168.4000000000001</v>
      </c>
      <c r="L18" s="5">
        <f t="shared" si="0"/>
        <v>1168.4000000000001</v>
      </c>
      <c r="M18" s="122">
        <f t="shared" si="1"/>
        <v>0</v>
      </c>
      <c r="N18" s="123">
        <f t="shared" si="2"/>
        <v>0</v>
      </c>
      <c r="O18" s="5">
        <f t="shared" si="3"/>
        <v>248.40000000000009</v>
      </c>
      <c r="P18" s="123">
        <f t="shared" si="4"/>
        <v>124.20000000000005</v>
      </c>
      <c r="Q18" s="124">
        <f t="shared" si="5"/>
        <v>1490.4000000000005</v>
      </c>
      <c r="R18" s="124">
        <f t="shared" si="6"/>
        <v>359.03736000000015</v>
      </c>
      <c r="S18" s="125">
        <f t="shared" si="7"/>
        <v>1849.4373600000008</v>
      </c>
      <c r="T18" s="390"/>
      <c r="U18" s="765"/>
    </row>
    <row r="19" spans="2:21" s="109" customFormat="1" x14ac:dyDescent="0.25">
      <c r="B19" s="766" t="s">
        <v>29</v>
      </c>
      <c r="C19" s="667" t="s">
        <v>23</v>
      </c>
      <c r="D19" s="667" t="s">
        <v>24</v>
      </c>
      <c r="E19" s="667">
        <v>10</v>
      </c>
      <c r="F19" s="767">
        <v>3</v>
      </c>
      <c r="G19" s="772">
        <v>1287</v>
      </c>
      <c r="H19" s="665">
        <v>920</v>
      </c>
      <c r="I19" s="773">
        <v>0</v>
      </c>
      <c r="J19" s="770">
        <v>0.5</v>
      </c>
      <c r="K19" s="771">
        <f t="shared" si="8"/>
        <v>1168.4000000000001</v>
      </c>
      <c r="L19" s="5">
        <f>IF(K19&lt;=G19,K19,G19)</f>
        <v>1168.4000000000001</v>
      </c>
      <c r="M19" s="122">
        <f t="shared" si="1"/>
        <v>0</v>
      </c>
      <c r="N19" s="123">
        <f t="shared" si="2"/>
        <v>0</v>
      </c>
      <c r="O19" s="5">
        <f t="shared" si="3"/>
        <v>248.40000000000009</v>
      </c>
      <c r="P19" s="123">
        <f t="shared" si="4"/>
        <v>124.20000000000005</v>
      </c>
      <c r="Q19" s="124">
        <f t="shared" si="5"/>
        <v>1490.4000000000005</v>
      </c>
      <c r="R19" s="124">
        <f t="shared" si="6"/>
        <v>359.03736000000015</v>
      </c>
      <c r="S19" s="125">
        <f t="shared" si="7"/>
        <v>1849.4373600000008</v>
      </c>
      <c r="T19" s="390"/>
      <c r="U19" s="765"/>
    </row>
    <row r="20" spans="2:21" s="109" customFormat="1" x14ac:dyDescent="0.25">
      <c r="B20" s="766" t="s">
        <v>30</v>
      </c>
      <c r="C20" s="667" t="s">
        <v>23</v>
      </c>
      <c r="D20" s="667" t="s">
        <v>24</v>
      </c>
      <c r="E20" s="667">
        <v>10</v>
      </c>
      <c r="F20" s="767">
        <v>3</v>
      </c>
      <c r="G20" s="772">
        <v>1287</v>
      </c>
      <c r="H20" s="665">
        <v>920</v>
      </c>
      <c r="I20" s="773">
        <v>0</v>
      </c>
      <c r="J20" s="770">
        <v>0.5</v>
      </c>
      <c r="K20" s="771">
        <f t="shared" si="8"/>
        <v>1168.4000000000001</v>
      </c>
      <c r="L20" s="5">
        <f t="shared" si="0"/>
        <v>1168.4000000000001</v>
      </c>
      <c r="M20" s="122">
        <f t="shared" si="1"/>
        <v>0</v>
      </c>
      <c r="N20" s="123">
        <f t="shared" si="2"/>
        <v>0</v>
      </c>
      <c r="O20" s="5">
        <f t="shared" si="3"/>
        <v>248.40000000000009</v>
      </c>
      <c r="P20" s="123">
        <f t="shared" si="4"/>
        <v>124.20000000000005</v>
      </c>
      <c r="Q20" s="124">
        <f t="shared" si="5"/>
        <v>1490.4000000000005</v>
      </c>
      <c r="R20" s="124">
        <f t="shared" si="6"/>
        <v>359.03736000000015</v>
      </c>
      <c r="S20" s="125">
        <f t="shared" si="7"/>
        <v>1849.4373600000008</v>
      </c>
      <c r="T20" s="390"/>
      <c r="U20" s="765"/>
    </row>
    <row r="21" spans="2:21" s="109" customFormat="1" x14ac:dyDescent="0.25">
      <c r="B21" s="786" t="s">
        <v>31</v>
      </c>
      <c r="C21" s="667" t="s">
        <v>23</v>
      </c>
      <c r="D21" s="667" t="s">
        <v>24</v>
      </c>
      <c r="E21" s="667">
        <v>10</v>
      </c>
      <c r="F21" s="767">
        <v>3</v>
      </c>
      <c r="G21" s="772">
        <v>1287</v>
      </c>
      <c r="H21" s="665">
        <v>920</v>
      </c>
      <c r="I21" s="773">
        <v>0</v>
      </c>
      <c r="J21" s="770">
        <v>1.5</v>
      </c>
      <c r="K21" s="771">
        <f t="shared" si="8"/>
        <v>1168.4000000000001</v>
      </c>
      <c r="L21" s="5">
        <f t="shared" si="0"/>
        <v>1168.4000000000001</v>
      </c>
      <c r="M21" s="122">
        <f t="shared" si="1"/>
        <v>0</v>
      </c>
      <c r="N21" s="123">
        <f t="shared" si="2"/>
        <v>0</v>
      </c>
      <c r="O21" s="5">
        <f t="shared" si="3"/>
        <v>248.40000000000009</v>
      </c>
      <c r="P21" s="123">
        <f t="shared" si="4"/>
        <v>372.60000000000014</v>
      </c>
      <c r="Q21" s="124">
        <f t="shared" si="5"/>
        <v>4471.2000000000016</v>
      </c>
      <c r="R21" s="124">
        <f t="shared" si="6"/>
        <v>1077.1120800000003</v>
      </c>
      <c r="S21" s="125">
        <f t="shared" si="7"/>
        <v>5548.3120800000015</v>
      </c>
      <c r="T21" s="390"/>
      <c r="U21" s="765"/>
    </row>
    <row r="22" spans="2:21" s="109" customFormat="1" ht="25.5" x14ac:dyDescent="0.25">
      <c r="B22" s="766" t="s">
        <v>32</v>
      </c>
      <c r="C22" s="667" t="s">
        <v>23</v>
      </c>
      <c r="D22" s="667" t="s">
        <v>24</v>
      </c>
      <c r="E22" s="667">
        <v>10</v>
      </c>
      <c r="F22" s="767">
        <v>3</v>
      </c>
      <c r="G22" s="772">
        <v>1287</v>
      </c>
      <c r="H22" s="665">
        <v>1100</v>
      </c>
      <c r="I22" s="773">
        <v>0</v>
      </c>
      <c r="J22" s="770">
        <v>1</v>
      </c>
      <c r="K22" s="771">
        <f t="shared" si="8"/>
        <v>1397</v>
      </c>
      <c r="L22" s="5">
        <f t="shared" si="0"/>
        <v>1287</v>
      </c>
      <c r="M22" s="122">
        <f t="shared" si="1"/>
        <v>0</v>
      </c>
      <c r="N22" s="123">
        <f t="shared" si="2"/>
        <v>0</v>
      </c>
      <c r="O22" s="5">
        <f t="shared" si="3"/>
        <v>187</v>
      </c>
      <c r="P22" s="123">
        <f t="shared" si="4"/>
        <v>187</v>
      </c>
      <c r="Q22" s="124">
        <f t="shared" si="5"/>
        <v>2244</v>
      </c>
      <c r="R22" s="124">
        <f t="shared" si="6"/>
        <v>540.57960000000003</v>
      </c>
      <c r="S22" s="125">
        <f t="shared" si="7"/>
        <v>2784.5796</v>
      </c>
      <c r="T22" s="390"/>
      <c r="U22" s="765"/>
    </row>
    <row r="23" spans="2:21" s="109" customFormat="1" ht="51" x14ac:dyDescent="0.25">
      <c r="B23" s="766" t="s">
        <v>33</v>
      </c>
      <c r="C23" s="667" t="s">
        <v>23</v>
      </c>
      <c r="D23" s="667" t="s">
        <v>24</v>
      </c>
      <c r="E23" s="667">
        <v>10</v>
      </c>
      <c r="F23" s="767">
        <v>3</v>
      </c>
      <c r="G23" s="772">
        <v>1287</v>
      </c>
      <c r="H23" s="665">
        <v>950</v>
      </c>
      <c r="I23" s="773">
        <v>0</v>
      </c>
      <c r="J23" s="770">
        <v>0.5</v>
      </c>
      <c r="K23" s="771">
        <f t="shared" si="8"/>
        <v>1206.5</v>
      </c>
      <c r="L23" s="5">
        <f t="shared" si="0"/>
        <v>1206.5</v>
      </c>
      <c r="M23" s="122">
        <f t="shared" si="1"/>
        <v>0</v>
      </c>
      <c r="N23" s="123">
        <f t="shared" si="2"/>
        <v>0</v>
      </c>
      <c r="O23" s="5">
        <f t="shared" si="3"/>
        <v>256.5</v>
      </c>
      <c r="P23" s="123">
        <f t="shared" si="4"/>
        <v>128.25</v>
      </c>
      <c r="Q23" s="124">
        <f t="shared" si="5"/>
        <v>1539</v>
      </c>
      <c r="R23" s="124">
        <f t="shared" si="6"/>
        <v>370.74509999999998</v>
      </c>
      <c r="S23" s="125">
        <f t="shared" si="7"/>
        <v>1909.7451000000001</v>
      </c>
      <c r="T23" s="390"/>
      <c r="U23" s="765"/>
    </row>
    <row r="24" spans="2:21" s="109" customFormat="1" ht="25.5" x14ac:dyDescent="0.25">
      <c r="B24" s="766" t="s">
        <v>34</v>
      </c>
      <c r="C24" s="667" t="s">
        <v>23</v>
      </c>
      <c r="D24" s="667" t="s">
        <v>24</v>
      </c>
      <c r="E24" s="667">
        <v>10</v>
      </c>
      <c r="F24" s="767">
        <v>3</v>
      </c>
      <c r="G24" s="772">
        <v>1287</v>
      </c>
      <c r="H24" s="665">
        <v>950</v>
      </c>
      <c r="I24" s="773">
        <v>0</v>
      </c>
      <c r="J24" s="770">
        <v>0.5</v>
      </c>
      <c r="K24" s="771">
        <f t="shared" si="8"/>
        <v>1206.5</v>
      </c>
      <c r="L24" s="5">
        <f t="shared" si="0"/>
        <v>1206.5</v>
      </c>
      <c r="M24" s="122">
        <f t="shared" si="1"/>
        <v>0</v>
      </c>
      <c r="N24" s="123">
        <f t="shared" si="2"/>
        <v>0</v>
      </c>
      <c r="O24" s="5">
        <f t="shared" si="3"/>
        <v>256.5</v>
      </c>
      <c r="P24" s="123">
        <f t="shared" si="4"/>
        <v>128.25</v>
      </c>
      <c r="Q24" s="124">
        <f t="shared" si="5"/>
        <v>1539</v>
      </c>
      <c r="R24" s="124">
        <f t="shared" si="6"/>
        <v>370.74509999999998</v>
      </c>
      <c r="S24" s="125">
        <f t="shared" si="7"/>
        <v>1909.7451000000001</v>
      </c>
      <c r="T24" s="390"/>
      <c r="U24" s="765"/>
    </row>
    <row r="25" spans="2:21" s="109" customFormat="1" ht="25.5" x14ac:dyDescent="0.25">
      <c r="B25" s="766" t="s">
        <v>34</v>
      </c>
      <c r="C25" s="667" t="s">
        <v>23</v>
      </c>
      <c r="D25" s="667" t="s">
        <v>24</v>
      </c>
      <c r="E25" s="667">
        <v>10</v>
      </c>
      <c r="F25" s="767">
        <v>2</v>
      </c>
      <c r="G25" s="772">
        <v>1115</v>
      </c>
      <c r="H25" s="665">
        <v>832</v>
      </c>
      <c r="I25" s="773">
        <v>0</v>
      </c>
      <c r="J25" s="770">
        <v>0.5</v>
      </c>
      <c r="K25" s="771">
        <f t="shared" si="8"/>
        <v>1056.6400000000001</v>
      </c>
      <c r="L25" s="5">
        <f t="shared" si="0"/>
        <v>1056.6400000000001</v>
      </c>
      <c r="M25" s="122">
        <f t="shared" si="1"/>
        <v>0</v>
      </c>
      <c r="N25" s="123">
        <f t="shared" si="2"/>
        <v>0</v>
      </c>
      <c r="O25" s="5">
        <f t="shared" si="3"/>
        <v>224.6400000000001</v>
      </c>
      <c r="P25" s="123">
        <f t="shared" si="4"/>
        <v>112.32000000000005</v>
      </c>
      <c r="Q25" s="124">
        <f t="shared" si="5"/>
        <v>1347.8400000000006</v>
      </c>
      <c r="R25" s="124">
        <f t="shared" si="6"/>
        <v>324.69465600000012</v>
      </c>
      <c r="S25" s="125">
        <f t="shared" si="7"/>
        <v>1672.5346560000007</v>
      </c>
      <c r="T25" s="390"/>
      <c r="U25" s="765"/>
    </row>
    <row r="26" spans="2:21" s="109" customFormat="1" x14ac:dyDescent="0.25">
      <c r="B26" s="786" t="s">
        <v>35</v>
      </c>
      <c r="C26" s="667" t="s">
        <v>23</v>
      </c>
      <c r="D26" s="667" t="s">
        <v>24</v>
      </c>
      <c r="E26" s="667">
        <v>10</v>
      </c>
      <c r="F26" s="767">
        <v>3</v>
      </c>
      <c r="G26" s="772">
        <v>1287</v>
      </c>
      <c r="H26" s="665">
        <v>950</v>
      </c>
      <c r="I26" s="773">
        <v>0</v>
      </c>
      <c r="J26" s="770">
        <v>1</v>
      </c>
      <c r="K26" s="771">
        <f t="shared" si="8"/>
        <v>1206.5</v>
      </c>
      <c r="L26" s="5">
        <f t="shared" si="0"/>
        <v>1206.5</v>
      </c>
      <c r="M26" s="122">
        <f t="shared" si="1"/>
        <v>0</v>
      </c>
      <c r="N26" s="123">
        <f t="shared" si="2"/>
        <v>0</v>
      </c>
      <c r="O26" s="5">
        <f t="shared" si="3"/>
        <v>256.5</v>
      </c>
      <c r="P26" s="123">
        <f t="shared" si="4"/>
        <v>256.5</v>
      </c>
      <c r="Q26" s="124">
        <f t="shared" si="5"/>
        <v>3078</v>
      </c>
      <c r="R26" s="124">
        <f t="shared" si="6"/>
        <v>741.49019999999996</v>
      </c>
      <c r="S26" s="125">
        <f t="shared" si="7"/>
        <v>3819.4902000000002</v>
      </c>
      <c r="T26" s="390"/>
      <c r="U26" s="765"/>
    </row>
    <row r="27" spans="2:21" s="109" customFormat="1" ht="25.5" x14ac:dyDescent="0.25">
      <c r="B27" s="766" t="s">
        <v>36</v>
      </c>
      <c r="C27" s="667" t="s">
        <v>23</v>
      </c>
      <c r="D27" s="667" t="s">
        <v>24</v>
      </c>
      <c r="E27" s="667">
        <v>10</v>
      </c>
      <c r="F27" s="767">
        <v>3</v>
      </c>
      <c r="G27" s="772">
        <v>1287</v>
      </c>
      <c r="H27" s="665">
        <v>950</v>
      </c>
      <c r="I27" s="773">
        <v>0</v>
      </c>
      <c r="J27" s="770">
        <v>1</v>
      </c>
      <c r="K27" s="771">
        <f t="shared" si="8"/>
        <v>1206.5</v>
      </c>
      <c r="L27" s="5">
        <f t="shared" si="0"/>
        <v>1206.5</v>
      </c>
      <c r="M27" s="122">
        <f t="shared" si="1"/>
        <v>0</v>
      </c>
      <c r="N27" s="123">
        <f t="shared" si="2"/>
        <v>0</v>
      </c>
      <c r="O27" s="5">
        <f t="shared" si="3"/>
        <v>256.5</v>
      </c>
      <c r="P27" s="123">
        <f t="shared" si="4"/>
        <v>256.5</v>
      </c>
      <c r="Q27" s="124">
        <f t="shared" si="5"/>
        <v>3078</v>
      </c>
      <c r="R27" s="124">
        <f t="shared" si="6"/>
        <v>741.49019999999996</v>
      </c>
      <c r="S27" s="125">
        <f t="shared" si="7"/>
        <v>3819.4902000000002</v>
      </c>
      <c r="T27" s="390"/>
      <c r="U27" s="765"/>
    </row>
    <row r="28" spans="2:21" s="109" customFormat="1" x14ac:dyDescent="0.25">
      <c r="B28" s="766" t="s">
        <v>37</v>
      </c>
      <c r="C28" s="667" t="s">
        <v>23</v>
      </c>
      <c r="D28" s="667" t="s">
        <v>38</v>
      </c>
      <c r="E28" s="667">
        <v>9</v>
      </c>
      <c r="F28" s="767">
        <v>3</v>
      </c>
      <c r="G28" s="772">
        <v>1190</v>
      </c>
      <c r="H28" s="665">
        <v>670</v>
      </c>
      <c r="I28" s="773">
        <v>0</v>
      </c>
      <c r="J28" s="770">
        <v>1.75</v>
      </c>
      <c r="K28" s="771">
        <f t="shared" si="8"/>
        <v>850.9</v>
      </c>
      <c r="L28" s="5">
        <f t="shared" si="0"/>
        <v>850.9</v>
      </c>
      <c r="M28" s="122">
        <f t="shared" si="1"/>
        <v>0</v>
      </c>
      <c r="N28" s="123">
        <f t="shared" si="2"/>
        <v>0</v>
      </c>
      <c r="O28" s="5">
        <f t="shared" si="3"/>
        <v>180.89999999999998</v>
      </c>
      <c r="P28" s="123">
        <f t="shared" si="4"/>
        <v>316.57499999999993</v>
      </c>
      <c r="Q28" s="124">
        <f t="shared" si="5"/>
        <v>3798.8999999999992</v>
      </c>
      <c r="R28" s="124">
        <f t="shared" si="6"/>
        <v>915.15500999999983</v>
      </c>
      <c r="S28" s="125">
        <f t="shared" si="7"/>
        <v>4714.0550099999991</v>
      </c>
      <c r="T28" s="390"/>
      <c r="U28" s="765"/>
    </row>
    <row r="29" spans="2:21" s="109" customFormat="1" x14ac:dyDescent="0.25">
      <c r="B29" s="787" t="s">
        <v>37</v>
      </c>
      <c r="C29" s="788" t="s">
        <v>23</v>
      </c>
      <c r="D29" s="788" t="s">
        <v>38</v>
      </c>
      <c r="E29" s="788">
        <v>9</v>
      </c>
      <c r="F29" s="789">
        <v>1</v>
      </c>
      <c r="G29" s="790">
        <v>835</v>
      </c>
      <c r="H29" s="666">
        <v>510</v>
      </c>
      <c r="I29" s="773">
        <v>0</v>
      </c>
      <c r="J29" s="791">
        <v>1</v>
      </c>
      <c r="K29" s="771">
        <f t="shared" si="8"/>
        <v>647.70000000000005</v>
      </c>
      <c r="L29" s="5">
        <f t="shared" si="0"/>
        <v>647.70000000000005</v>
      </c>
      <c r="M29" s="122">
        <f t="shared" si="1"/>
        <v>0</v>
      </c>
      <c r="N29" s="123">
        <f t="shared" si="2"/>
        <v>0</v>
      </c>
      <c r="O29" s="5">
        <f t="shared" si="3"/>
        <v>137.70000000000005</v>
      </c>
      <c r="P29" s="123">
        <f t="shared" si="4"/>
        <v>137.70000000000005</v>
      </c>
      <c r="Q29" s="124">
        <f t="shared" si="5"/>
        <v>1652.4000000000005</v>
      </c>
      <c r="R29" s="124">
        <f t="shared" si="6"/>
        <v>398.06316000000015</v>
      </c>
      <c r="S29" s="125">
        <f t="shared" si="7"/>
        <v>2050.4631600000007</v>
      </c>
      <c r="T29" s="390"/>
      <c r="U29" s="765"/>
    </row>
    <row r="30" spans="2:21" s="52" customFormat="1" x14ac:dyDescent="0.25">
      <c r="B30" s="53" t="s">
        <v>39</v>
      </c>
      <c r="C30" s="54"/>
      <c r="D30" s="54"/>
      <c r="E30" s="54"/>
      <c r="F30" s="55"/>
      <c r="G30" s="56"/>
      <c r="H30" s="6"/>
      <c r="I30" s="57"/>
      <c r="J30" s="405">
        <f>SUM(J11:J29)</f>
        <v>21.75</v>
      </c>
      <c r="K30" s="58"/>
      <c r="L30" s="7"/>
      <c r="M30" s="59"/>
      <c r="N30" s="57"/>
      <c r="O30" s="7"/>
      <c r="P30" s="57"/>
      <c r="Q30" s="60">
        <f>SUM(Q11:Q29)</f>
        <v>61009.836000000018</v>
      </c>
      <c r="R30" s="60">
        <f t="shared" ref="R30:S30" si="9">SUM(R11:R29)</f>
        <v>14697.269492400002</v>
      </c>
      <c r="S30" s="61">
        <f t="shared" si="9"/>
        <v>75707.105492400005</v>
      </c>
      <c r="T30" s="390"/>
      <c r="U30" s="406"/>
    </row>
    <row r="31" spans="2:21" s="109" customFormat="1" x14ac:dyDescent="0.25">
      <c r="B31" s="110" t="s">
        <v>40</v>
      </c>
      <c r="C31" s="111"/>
      <c r="D31" s="111"/>
      <c r="E31" s="111"/>
      <c r="F31" s="111"/>
      <c r="G31" s="792"/>
      <c r="H31" s="113"/>
      <c r="I31" s="117"/>
      <c r="J31" s="793"/>
      <c r="K31" s="116"/>
      <c r="L31" s="117"/>
      <c r="M31" s="118"/>
      <c r="N31" s="117"/>
      <c r="O31" s="117"/>
      <c r="P31" s="117"/>
      <c r="Q31" s="119"/>
      <c r="R31" s="119"/>
      <c r="S31" s="120"/>
      <c r="T31" s="390"/>
      <c r="U31" s="765"/>
    </row>
    <row r="32" spans="2:21" s="109" customFormat="1" ht="25.5" x14ac:dyDescent="0.25">
      <c r="B32" s="766" t="s">
        <v>41</v>
      </c>
      <c r="C32" s="667" t="s">
        <v>42</v>
      </c>
      <c r="D32" s="667" t="s">
        <v>43</v>
      </c>
      <c r="E32" s="667">
        <v>11</v>
      </c>
      <c r="F32" s="767">
        <v>3</v>
      </c>
      <c r="G32" s="772">
        <v>1382</v>
      </c>
      <c r="H32" s="665">
        <v>1200</v>
      </c>
      <c r="I32" s="773">
        <v>0</v>
      </c>
      <c r="J32" s="770">
        <v>1</v>
      </c>
      <c r="K32" s="771">
        <f t="shared" ref="K32:K41" si="10">H32*1.27</f>
        <v>1524</v>
      </c>
      <c r="L32" s="5">
        <f t="shared" ref="L32:L41" si="11">IF(K32&lt;=G32,K32,G32)</f>
        <v>1382</v>
      </c>
      <c r="M32" s="122">
        <f t="shared" ref="M32:M41" si="12">N32-I32</f>
        <v>0</v>
      </c>
      <c r="N32" s="123">
        <f t="shared" ref="N32:N41" si="13">I32/H32*L32</f>
        <v>0</v>
      </c>
      <c r="O32" s="5">
        <f t="shared" ref="O32:O41" si="14">L32-H32+M32</f>
        <v>182</v>
      </c>
      <c r="P32" s="123">
        <f t="shared" ref="P32:P41" si="15">O32*J32</f>
        <v>182</v>
      </c>
      <c r="Q32" s="124">
        <f t="shared" ref="Q32:Q41" si="16">P32*12</f>
        <v>2184</v>
      </c>
      <c r="R32" s="124">
        <f t="shared" ref="R32:R41" si="17">Q32*0.2409</f>
        <v>526.12559999999996</v>
      </c>
      <c r="S32" s="125">
        <f t="shared" ref="S32:S41" si="18">Q32+R32</f>
        <v>2710.1255999999998</v>
      </c>
      <c r="T32" s="390"/>
      <c r="U32" s="765"/>
    </row>
    <row r="33" spans="1:21" s="795" customFormat="1" x14ac:dyDescent="0.25">
      <c r="A33" s="109"/>
      <c r="B33" s="786" t="s">
        <v>44</v>
      </c>
      <c r="C33" s="667" t="s">
        <v>42</v>
      </c>
      <c r="D33" s="667" t="s">
        <v>45</v>
      </c>
      <c r="E33" s="667">
        <v>8</v>
      </c>
      <c r="F33" s="767">
        <v>3</v>
      </c>
      <c r="G33" s="772">
        <v>1093</v>
      </c>
      <c r="H33" s="665">
        <v>800</v>
      </c>
      <c r="I33" s="773">
        <v>0</v>
      </c>
      <c r="J33" s="770">
        <v>1</v>
      </c>
      <c r="K33" s="771">
        <f t="shared" si="10"/>
        <v>1016</v>
      </c>
      <c r="L33" s="5">
        <f t="shared" si="11"/>
        <v>1016</v>
      </c>
      <c r="M33" s="122">
        <f t="shared" si="12"/>
        <v>0</v>
      </c>
      <c r="N33" s="123">
        <f t="shared" si="13"/>
        <v>0</v>
      </c>
      <c r="O33" s="5">
        <f t="shared" si="14"/>
        <v>216</v>
      </c>
      <c r="P33" s="123">
        <f t="shared" si="15"/>
        <v>216</v>
      </c>
      <c r="Q33" s="124">
        <f t="shared" si="16"/>
        <v>2592</v>
      </c>
      <c r="R33" s="124">
        <f t="shared" si="17"/>
        <v>624.41280000000006</v>
      </c>
      <c r="S33" s="125">
        <f t="shared" si="18"/>
        <v>3216.4128000000001</v>
      </c>
      <c r="T33" s="390"/>
      <c r="U33" s="794"/>
    </row>
    <row r="34" spans="1:21" s="109" customFormat="1" ht="25.5" x14ac:dyDescent="0.25">
      <c r="B34" s="766" t="s">
        <v>46</v>
      </c>
      <c r="C34" s="667" t="s">
        <v>42</v>
      </c>
      <c r="D34" s="667" t="s">
        <v>24</v>
      </c>
      <c r="E34" s="667">
        <v>7</v>
      </c>
      <c r="F34" s="767">
        <v>3</v>
      </c>
      <c r="G34" s="772">
        <v>996</v>
      </c>
      <c r="H34" s="665">
        <v>620</v>
      </c>
      <c r="I34" s="773">
        <v>0</v>
      </c>
      <c r="J34" s="770">
        <v>1</v>
      </c>
      <c r="K34" s="771">
        <f>H34*1.27</f>
        <v>787.4</v>
      </c>
      <c r="L34" s="5">
        <f>IF(K34&lt;=G34,K34,G34)</f>
        <v>787.4</v>
      </c>
      <c r="M34" s="122">
        <f t="shared" si="12"/>
        <v>0</v>
      </c>
      <c r="N34" s="123">
        <f t="shared" si="13"/>
        <v>0</v>
      </c>
      <c r="O34" s="5">
        <f t="shared" si="14"/>
        <v>167.39999999999998</v>
      </c>
      <c r="P34" s="123">
        <f t="shared" si="15"/>
        <v>167.39999999999998</v>
      </c>
      <c r="Q34" s="124">
        <f t="shared" si="16"/>
        <v>2008.7999999999997</v>
      </c>
      <c r="R34" s="124">
        <f t="shared" si="17"/>
        <v>483.91991999999993</v>
      </c>
      <c r="S34" s="125">
        <f t="shared" si="18"/>
        <v>2492.7199199999995</v>
      </c>
      <c r="T34" s="390"/>
      <c r="U34" s="765"/>
    </row>
    <row r="35" spans="1:21" s="109" customFormat="1" x14ac:dyDescent="0.25">
      <c r="B35" s="766" t="s">
        <v>47</v>
      </c>
      <c r="C35" s="667" t="s">
        <v>42</v>
      </c>
      <c r="D35" s="667" t="s">
        <v>24</v>
      </c>
      <c r="E35" s="667">
        <v>7</v>
      </c>
      <c r="F35" s="767">
        <v>3</v>
      </c>
      <c r="G35" s="772">
        <v>996</v>
      </c>
      <c r="H35" s="665">
        <v>620</v>
      </c>
      <c r="I35" s="773">
        <v>0</v>
      </c>
      <c r="J35" s="770">
        <v>6</v>
      </c>
      <c r="K35" s="771">
        <f t="shared" si="10"/>
        <v>787.4</v>
      </c>
      <c r="L35" s="5">
        <f t="shared" si="11"/>
        <v>787.4</v>
      </c>
      <c r="M35" s="122">
        <f t="shared" si="12"/>
        <v>0</v>
      </c>
      <c r="N35" s="123">
        <f t="shared" si="13"/>
        <v>0</v>
      </c>
      <c r="O35" s="5">
        <f t="shared" si="14"/>
        <v>167.39999999999998</v>
      </c>
      <c r="P35" s="123">
        <f t="shared" si="15"/>
        <v>1004.3999999999999</v>
      </c>
      <c r="Q35" s="124">
        <f t="shared" si="16"/>
        <v>12052.8</v>
      </c>
      <c r="R35" s="124">
        <f t="shared" si="17"/>
        <v>2903.5195199999998</v>
      </c>
      <c r="S35" s="125">
        <f t="shared" si="18"/>
        <v>14956.319519999999</v>
      </c>
      <c r="T35" s="390"/>
      <c r="U35" s="765"/>
    </row>
    <row r="36" spans="1:21" s="109" customFormat="1" x14ac:dyDescent="0.25">
      <c r="B36" s="766" t="s">
        <v>48</v>
      </c>
      <c r="C36" s="667" t="s">
        <v>42</v>
      </c>
      <c r="D36" s="667" t="s">
        <v>25</v>
      </c>
      <c r="E36" s="667">
        <v>6</v>
      </c>
      <c r="F36" s="767">
        <v>3</v>
      </c>
      <c r="G36" s="772">
        <v>899</v>
      </c>
      <c r="H36" s="665">
        <v>570</v>
      </c>
      <c r="I36" s="773">
        <v>0</v>
      </c>
      <c r="J36" s="770">
        <v>1</v>
      </c>
      <c r="K36" s="771">
        <f t="shared" si="10"/>
        <v>723.9</v>
      </c>
      <c r="L36" s="5">
        <f t="shared" si="11"/>
        <v>723.9</v>
      </c>
      <c r="M36" s="122">
        <f t="shared" si="12"/>
        <v>0</v>
      </c>
      <c r="N36" s="123">
        <f t="shared" si="13"/>
        <v>0</v>
      </c>
      <c r="O36" s="5">
        <f t="shared" si="14"/>
        <v>153.89999999999998</v>
      </c>
      <c r="P36" s="123">
        <f t="shared" si="15"/>
        <v>153.89999999999998</v>
      </c>
      <c r="Q36" s="124">
        <f t="shared" si="16"/>
        <v>1846.7999999999997</v>
      </c>
      <c r="R36" s="124">
        <f t="shared" si="17"/>
        <v>444.89411999999993</v>
      </c>
      <c r="S36" s="125">
        <f t="shared" si="18"/>
        <v>2291.6941199999997</v>
      </c>
      <c r="T36" s="390"/>
      <c r="U36" s="765"/>
    </row>
    <row r="37" spans="1:21" s="109" customFormat="1" x14ac:dyDescent="0.25">
      <c r="B37" s="766" t="s">
        <v>48</v>
      </c>
      <c r="C37" s="667" t="s">
        <v>42</v>
      </c>
      <c r="D37" s="667" t="s">
        <v>25</v>
      </c>
      <c r="E37" s="667">
        <v>6</v>
      </c>
      <c r="F37" s="767">
        <v>3</v>
      </c>
      <c r="G37" s="772">
        <v>899</v>
      </c>
      <c r="H37" s="665">
        <v>570</v>
      </c>
      <c r="I37" s="773">
        <v>0</v>
      </c>
      <c r="J37" s="770">
        <v>1</v>
      </c>
      <c r="K37" s="771">
        <f t="shared" si="10"/>
        <v>723.9</v>
      </c>
      <c r="L37" s="5">
        <f t="shared" si="11"/>
        <v>723.9</v>
      </c>
      <c r="M37" s="122">
        <f t="shared" si="12"/>
        <v>0</v>
      </c>
      <c r="N37" s="123">
        <f t="shared" si="13"/>
        <v>0</v>
      </c>
      <c r="O37" s="5">
        <f t="shared" si="14"/>
        <v>153.89999999999998</v>
      </c>
      <c r="P37" s="123">
        <f t="shared" si="15"/>
        <v>153.89999999999998</v>
      </c>
      <c r="Q37" s="124">
        <f t="shared" si="16"/>
        <v>1846.7999999999997</v>
      </c>
      <c r="R37" s="124">
        <f t="shared" si="17"/>
        <v>444.89411999999993</v>
      </c>
      <c r="S37" s="125">
        <f t="shared" si="18"/>
        <v>2291.6941199999997</v>
      </c>
      <c r="T37" s="390"/>
      <c r="U37" s="765"/>
    </row>
    <row r="38" spans="1:21" s="109" customFormat="1" x14ac:dyDescent="0.25">
      <c r="B38" s="766" t="s">
        <v>49</v>
      </c>
      <c r="C38" s="667" t="s">
        <v>42</v>
      </c>
      <c r="D38" s="667" t="s">
        <v>24</v>
      </c>
      <c r="E38" s="667">
        <v>7</v>
      </c>
      <c r="F38" s="767">
        <v>3</v>
      </c>
      <c r="G38" s="772">
        <v>996</v>
      </c>
      <c r="H38" s="665">
        <v>620</v>
      </c>
      <c r="I38" s="773">
        <v>0</v>
      </c>
      <c r="J38" s="770">
        <v>0.75</v>
      </c>
      <c r="K38" s="771">
        <f t="shared" si="10"/>
        <v>787.4</v>
      </c>
      <c r="L38" s="5">
        <f t="shared" si="11"/>
        <v>787.4</v>
      </c>
      <c r="M38" s="122">
        <f t="shared" si="12"/>
        <v>0</v>
      </c>
      <c r="N38" s="123">
        <f t="shared" si="13"/>
        <v>0</v>
      </c>
      <c r="O38" s="5">
        <f t="shared" si="14"/>
        <v>167.39999999999998</v>
      </c>
      <c r="P38" s="123">
        <f t="shared" si="15"/>
        <v>125.54999999999998</v>
      </c>
      <c r="Q38" s="124">
        <f t="shared" si="16"/>
        <v>1506.6</v>
      </c>
      <c r="R38" s="124">
        <f t="shared" si="17"/>
        <v>362.93993999999998</v>
      </c>
      <c r="S38" s="125">
        <f t="shared" si="18"/>
        <v>1869.5399399999999</v>
      </c>
      <c r="T38" s="390"/>
      <c r="U38" s="765"/>
    </row>
    <row r="39" spans="1:21" s="109" customFormat="1" x14ac:dyDescent="0.25">
      <c r="B39" s="766" t="s">
        <v>50</v>
      </c>
      <c r="C39" s="667" t="s">
        <v>23</v>
      </c>
      <c r="D39" s="667" t="s">
        <v>51</v>
      </c>
      <c r="E39" s="667">
        <v>9</v>
      </c>
      <c r="F39" s="767">
        <v>2</v>
      </c>
      <c r="G39" s="772">
        <v>1015</v>
      </c>
      <c r="H39" s="665">
        <v>700</v>
      </c>
      <c r="I39" s="773">
        <v>0</v>
      </c>
      <c r="J39" s="770">
        <v>1</v>
      </c>
      <c r="K39" s="771">
        <f t="shared" si="10"/>
        <v>889</v>
      </c>
      <c r="L39" s="5">
        <f t="shared" si="11"/>
        <v>889</v>
      </c>
      <c r="M39" s="122">
        <f t="shared" si="12"/>
        <v>0</v>
      </c>
      <c r="N39" s="123">
        <f t="shared" si="13"/>
        <v>0</v>
      </c>
      <c r="O39" s="5">
        <f t="shared" si="14"/>
        <v>189</v>
      </c>
      <c r="P39" s="123">
        <f t="shared" si="15"/>
        <v>189</v>
      </c>
      <c r="Q39" s="124">
        <f t="shared" si="16"/>
        <v>2268</v>
      </c>
      <c r="R39" s="124">
        <f t="shared" si="17"/>
        <v>546.36120000000005</v>
      </c>
      <c r="S39" s="125">
        <f t="shared" si="18"/>
        <v>2814.3612000000003</v>
      </c>
      <c r="T39" s="390"/>
      <c r="U39" s="765"/>
    </row>
    <row r="40" spans="1:21" s="109" customFormat="1" x14ac:dyDescent="0.25">
      <c r="B40" s="766" t="s">
        <v>52</v>
      </c>
      <c r="C40" s="667" t="s">
        <v>42</v>
      </c>
      <c r="D40" s="667" t="s">
        <v>24</v>
      </c>
      <c r="E40" s="667">
        <v>7</v>
      </c>
      <c r="F40" s="767">
        <v>3</v>
      </c>
      <c r="G40" s="772">
        <v>996</v>
      </c>
      <c r="H40" s="665">
        <v>685</v>
      </c>
      <c r="I40" s="773">
        <v>0</v>
      </c>
      <c r="J40" s="770">
        <v>4</v>
      </c>
      <c r="K40" s="771">
        <f t="shared" si="10"/>
        <v>869.95</v>
      </c>
      <c r="L40" s="5">
        <f t="shared" si="11"/>
        <v>869.95</v>
      </c>
      <c r="M40" s="122">
        <f t="shared" si="12"/>
        <v>0</v>
      </c>
      <c r="N40" s="123">
        <f t="shared" si="13"/>
        <v>0</v>
      </c>
      <c r="O40" s="5">
        <f t="shared" si="14"/>
        <v>184.95000000000005</v>
      </c>
      <c r="P40" s="123">
        <f t="shared" si="15"/>
        <v>739.80000000000018</v>
      </c>
      <c r="Q40" s="124">
        <f t="shared" si="16"/>
        <v>8877.6000000000022</v>
      </c>
      <c r="R40" s="124">
        <f t="shared" si="17"/>
        <v>2138.6138400000004</v>
      </c>
      <c r="S40" s="125">
        <f t="shared" si="18"/>
        <v>11016.213840000002</v>
      </c>
      <c r="T40" s="390"/>
      <c r="U40" s="765"/>
    </row>
    <row r="41" spans="1:21" s="109" customFormat="1" x14ac:dyDescent="0.25">
      <c r="B41" s="766" t="s">
        <v>53</v>
      </c>
      <c r="C41" s="667">
        <v>23</v>
      </c>
      <c r="D41" s="667" t="s">
        <v>54</v>
      </c>
      <c r="E41" s="667">
        <v>4</v>
      </c>
      <c r="F41" s="767">
        <v>3</v>
      </c>
      <c r="G41" s="772">
        <v>705</v>
      </c>
      <c r="H41" s="665">
        <v>520</v>
      </c>
      <c r="I41" s="773">
        <v>0</v>
      </c>
      <c r="J41" s="770">
        <v>5</v>
      </c>
      <c r="K41" s="771">
        <f t="shared" si="10"/>
        <v>660.4</v>
      </c>
      <c r="L41" s="5">
        <f t="shared" si="11"/>
        <v>660.4</v>
      </c>
      <c r="M41" s="122">
        <f t="shared" si="12"/>
        <v>0</v>
      </c>
      <c r="N41" s="123">
        <f t="shared" si="13"/>
        <v>0</v>
      </c>
      <c r="O41" s="5">
        <f t="shared" si="14"/>
        <v>140.39999999999998</v>
      </c>
      <c r="P41" s="123">
        <f t="shared" si="15"/>
        <v>701.99999999999989</v>
      </c>
      <c r="Q41" s="124">
        <f t="shared" si="16"/>
        <v>8423.9999999999982</v>
      </c>
      <c r="R41" s="124">
        <f t="shared" si="17"/>
        <v>2029.3415999999995</v>
      </c>
      <c r="S41" s="125">
        <f t="shared" si="18"/>
        <v>10453.341599999998</v>
      </c>
      <c r="T41" s="390"/>
      <c r="U41" s="765"/>
    </row>
    <row r="42" spans="1:21" s="52" customFormat="1" x14ac:dyDescent="0.25">
      <c r="B42" s="407" t="s">
        <v>39</v>
      </c>
      <c r="C42" s="54"/>
      <c r="D42" s="54"/>
      <c r="E42" s="54"/>
      <c r="F42" s="54"/>
      <c r="G42" s="56"/>
      <c r="H42" s="6"/>
      <c r="I42" s="57"/>
      <c r="J42" s="405">
        <f>SUM(J32:J41)</f>
        <v>21.75</v>
      </c>
      <c r="K42" s="58"/>
      <c r="L42" s="7"/>
      <c r="M42" s="59"/>
      <c r="N42" s="57"/>
      <c r="O42" s="7"/>
      <c r="P42" s="57"/>
      <c r="Q42" s="60">
        <f>SUM(Q32:Q41)</f>
        <v>43607.399999999994</v>
      </c>
      <c r="R42" s="60">
        <f>SUM(R32:R41)</f>
        <v>10505.022660000001</v>
      </c>
      <c r="S42" s="61">
        <f>SUM(S32:S41)</f>
        <v>54112.422659999997</v>
      </c>
      <c r="T42" s="390"/>
      <c r="U42" s="406"/>
    </row>
    <row r="43" spans="1:21" s="109" customFormat="1" ht="13.5" thickBot="1" x14ac:dyDescent="0.3">
      <c r="B43" s="796" t="s">
        <v>55</v>
      </c>
      <c r="C43" s="797"/>
      <c r="D43" s="797"/>
      <c r="E43" s="797"/>
      <c r="F43" s="798"/>
      <c r="G43" s="799"/>
      <c r="H43" s="800"/>
      <c r="I43" s="798"/>
      <c r="J43" s="801">
        <f>J30+J42</f>
        <v>43.5</v>
      </c>
      <c r="K43" s="802"/>
      <c r="L43" s="798"/>
      <c r="M43" s="798"/>
      <c r="N43" s="798"/>
      <c r="O43" s="798"/>
      <c r="P43" s="798"/>
      <c r="Q43" s="803">
        <f>Q30+Q42</f>
        <v>104617.236</v>
      </c>
      <c r="R43" s="803">
        <f>R30+R42</f>
        <v>25202.292152400005</v>
      </c>
      <c r="S43" s="804">
        <f>S30+S42</f>
        <v>129819.5281524</v>
      </c>
      <c r="T43" s="390"/>
      <c r="U43" s="765"/>
    </row>
    <row r="44" spans="1:21" s="805" customFormat="1" ht="11.25" customHeight="1" thickBot="1" x14ac:dyDescent="0.3">
      <c r="B44" s="806"/>
      <c r="C44" s="807"/>
      <c r="D44" s="807"/>
      <c r="E44" s="807"/>
      <c r="F44" s="807"/>
      <c r="G44" s="808"/>
      <c r="H44" s="809"/>
      <c r="I44" s="810"/>
      <c r="J44" s="809"/>
      <c r="K44" s="810"/>
      <c r="L44" s="810"/>
      <c r="M44" s="807"/>
      <c r="N44" s="810"/>
      <c r="O44" s="810"/>
      <c r="P44" s="810"/>
      <c r="Q44" s="811"/>
      <c r="R44" s="811"/>
      <c r="S44" s="811"/>
      <c r="T44" s="382"/>
      <c r="U44" s="810"/>
    </row>
    <row r="45" spans="1:21" s="396" customFormat="1" ht="15" x14ac:dyDescent="0.25">
      <c r="B45" s="408" t="s">
        <v>1</v>
      </c>
      <c r="C45" s="383"/>
      <c r="D45" s="383"/>
      <c r="E45" s="383"/>
      <c r="F45" s="383"/>
      <c r="G45" s="409"/>
      <c r="H45" s="400"/>
      <c r="I45" s="383"/>
      <c r="J45" s="410"/>
      <c r="K45" s="383"/>
      <c r="L45" s="383"/>
      <c r="M45" s="381"/>
      <c r="N45" s="383"/>
      <c r="O45" s="383"/>
      <c r="P45" s="383"/>
      <c r="Q45" s="402"/>
      <c r="R45" s="402"/>
      <c r="S45" s="403"/>
      <c r="T45" s="404"/>
      <c r="U45" s="404"/>
    </row>
    <row r="46" spans="1:21" s="109" customFormat="1" x14ac:dyDescent="0.25">
      <c r="B46" s="758" t="s">
        <v>19</v>
      </c>
      <c r="C46" s="283"/>
      <c r="D46" s="283"/>
      <c r="E46" s="283"/>
      <c r="F46" s="283"/>
      <c r="G46" s="812"/>
      <c r="H46" s="813"/>
      <c r="I46" s="283"/>
      <c r="J46" s="814"/>
      <c r="K46" s="283"/>
      <c r="L46" s="283"/>
      <c r="M46" s="815"/>
      <c r="N46" s="283"/>
      <c r="O46" s="283"/>
      <c r="P46" s="283"/>
      <c r="Q46" s="306"/>
      <c r="R46" s="306"/>
      <c r="S46" s="307"/>
      <c r="T46" s="390"/>
      <c r="U46" s="765"/>
    </row>
    <row r="47" spans="1:21" s="109" customFormat="1" ht="25.5" x14ac:dyDescent="0.25">
      <c r="B47" s="816" t="s">
        <v>56</v>
      </c>
      <c r="C47" s="817" t="s">
        <v>57</v>
      </c>
      <c r="D47" s="817" t="s">
        <v>43</v>
      </c>
      <c r="E47" s="818">
        <v>13</v>
      </c>
      <c r="F47" s="819" t="s">
        <v>58</v>
      </c>
      <c r="G47" s="677">
        <v>1917</v>
      </c>
      <c r="H47" s="723">
        <v>1821</v>
      </c>
      <c r="I47" s="773">
        <v>0</v>
      </c>
      <c r="J47" s="820">
        <v>1</v>
      </c>
      <c r="K47" s="668">
        <f t="shared" ref="K47:K110" si="19">H47*1.27</f>
        <v>2312.67</v>
      </c>
      <c r="L47" s="5">
        <f t="shared" ref="L47:L77" si="20">IF(K47&lt;=G47,K47,G47)</f>
        <v>1917</v>
      </c>
      <c r="M47" s="122">
        <f>I47*0.27</f>
        <v>0</v>
      </c>
      <c r="N47" s="123">
        <f>I47+M47</f>
        <v>0</v>
      </c>
      <c r="O47" s="5">
        <f>L47-H47+M47</f>
        <v>96</v>
      </c>
      <c r="P47" s="123">
        <f>O47*J47</f>
        <v>96</v>
      </c>
      <c r="Q47" s="124">
        <f>P47*12</f>
        <v>1152</v>
      </c>
      <c r="R47" s="124">
        <f t="shared" ref="R47:R54" si="21">Q47*0.2409</f>
        <v>277.51679999999999</v>
      </c>
      <c r="S47" s="125">
        <f>Q47+R47</f>
        <v>1429.5167999999999</v>
      </c>
      <c r="T47" s="390"/>
      <c r="U47" s="765"/>
    </row>
    <row r="48" spans="1:21" s="109" customFormat="1" x14ac:dyDescent="0.25">
      <c r="B48" s="816" t="s">
        <v>59</v>
      </c>
      <c r="C48" s="817" t="s">
        <v>57</v>
      </c>
      <c r="D48" s="817" t="s">
        <v>43</v>
      </c>
      <c r="E48" s="818">
        <v>13</v>
      </c>
      <c r="F48" s="819" t="s">
        <v>58</v>
      </c>
      <c r="G48" s="677">
        <v>1917</v>
      </c>
      <c r="H48" s="723">
        <v>1821</v>
      </c>
      <c r="I48" s="123">
        <v>0</v>
      </c>
      <c r="J48" s="820">
        <v>1</v>
      </c>
      <c r="K48" s="668">
        <f t="shared" si="19"/>
        <v>2312.67</v>
      </c>
      <c r="L48" s="5">
        <f t="shared" si="20"/>
        <v>1917</v>
      </c>
      <c r="M48" s="122">
        <f t="shared" ref="M48:M54" si="22">I48*0.27</f>
        <v>0</v>
      </c>
      <c r="N48" s="123">
        <f t="shared" ref="N48:N77" si="23">I48+M48</f>
        <v>0</v>
      </c>
      <c r="O48" s="5">
        <f>L48-H48+M48</f>
        <v>96</v>
      </c>
      <c r="P48" s="123">
        <f t="shared" ref="P48:P77" si="24">O48*J48</f>
        <v>96</v>
      </c>
      <c r="Q48" s="124">
        <f t="shared" ref="Q48:Q77" si="25">P48*12</f>
        <v>1152</v>
      </c>
      <c r="R48" s="124">
        <f t="shared" si="21"/>
        <v>277.51679999999999</v>
      </c>
      <c r="S48" s="125">
        <f t="shared" ref="S48:S77" si="26">Q48+R48</f>
        <v>1429.5167999999999</v>
      </c>
      <c r="T48" s="390"/>
      <c r="U48" s="765"/>
    </row>
    <row r="49" spans="2:21" s="109" customFormat="1" x14ac:dyDescent="0.25">
      <c r="B49" s="821" t="s">
        <v>60</v>
      </c>
      <c r="C49" s="822" t="s">
        <v>61</v>
      </c>
      <c r="D49" s="822" t="s">
        <v>62</v>
      </c>
      <c r="E49" s="822" t="s">
        <v>63</v>
      </c>
      <c r="F49" s="822" t="s">
        <v>58</v>
      </c>
      <c r="G49" s="677">
        <v>1647</v>
      </c>
      <c r="H49" s="5">
        <v>1482</v>
      </c>
      <c r="I49" s="123">
        <v>0</v>
      </c>
      <c r="J49" s="823">
        <v>3</v>
      </c>
      <c r="K49" s="668">
        <f t="shared" si="19"/>
        <v>1882.14</v>
      </c>
      <c r="L49" s="5">
        <f t="shared" si="20"/>
        <v>1647</v>
      </c>
      <c r="M49" s="122">
        <f t="shared" si="22"/>
        <v>0</v>
      </c>
      <c r="N49" s="123">
        <f t="shared" si="23"/>
        <v>0</v>
      </c>
      <c r="O49" s="5">
        <f t="shared" ref="O49:O77" si="27">L49-H49+M49</f>
        <v>165</v>
      </c>
      <c r="P49" s="123">
        <f t="shared" si="24"/>
        <v>495</v>
      </c>
      <c r="Q49" s="124">
        <f t="shared" si="25"/>
        <v>5940</v>
      </c>
      <c r="R49" s="124">
        <f t="shared" si="21"/>
        <v>1430.9459999999999</v>
      </c>
      <c r="S49" s="125">
        <f t="shared" si="26"/>
        <v>7370.9459999999999</v>
      </c>
      <c r="T49" s="390"/>
      <c r="U49" s="765"/>
    </row>
    <row r="50" spans="2:21" s="109" customFormat="1" x14ac:dyDescent="0.25">
      <c r="B50" s="824" t="s">
        <v>64</v>
      </c>
      <c r="C50" s="822" t="s">
        <v>65</v>
      </c>
      <c r="D50" s="822" t="s">
        <v>45</v>
      </c>
      <c r="E50" s="822" t="s">
        <v>63</v>
      </c>
      <c r="F50" s="822" t="s">
        <v>58</v>
      </c>
      <c r="G50" s="677">
        <v>1647</v>
      </c>
      <c r="H50" s="5">
        <v>1482</v>
      </c>
      <c r="I50" s="773">
        <v>0</v>
      </c>
      <c r="J50" s="823">
        <v>2</v>
      </c>
      <c r="K50" s="668">
        <f t="shared" si="19"/>
        <v>1882.14</v>
      </c>
      <c r="L50" s="5">
        <f t="shared" si="20"/>
        <v>1647</v>
      </c>
      <c r="M50" s="122">
        <f t="shared" si="22"/>
        <v>0</v>
      </c>
      <c r="N50" s="123">
        <f t="shared" si="23"/>
        <v>0</v>
      </c>
      <c r="O50" s="5">
        <f t="shared" si="27"/>
        <v>165</v>
      </c>
      <c r="P50" s="123">
        <f t="shared" si="24"/>
        <v>330</v>
      </c>
      <c r="Q50" s="124">
        <f t="shared" si="25"/>
        <v>3960</v>
      </c>
      <c r="R50" s="124">
        <f t="shared" si="21"/>
        <v>953.96400000000006</v>
      </c>
      <c r="S50" s="125">
        <f t="shared" si="26"/>
        <v>4913.9639999999999</v>
      </c>
      <c r="T50" s="390"/>
      <c r="U50" s="765"/>
    </row>
    <row r="51" spans="2:21" s="109" customFormat="1" ht="25.5" x14ac:dyDescent="0.25">
      <c r="B51" s="821" t="s">
        <v>66</v>
      </c>
      <c r="C51" s="822" t="s">
        <v>57</v>
      </c>
      <c r="D51" s="822" t="s">
        <v>45</v>
      </c>
      <c r="E51" s="822" t="s">
        <v>67</v>
      </c>
      <c r="F51" s="822" t="s">
        <v>58</v>
      </c>
      <c r="G51" s="677">
        <v>1382</v>
      </c>
      <c r="H51" s="505">
        <v>1382</v>
      </c>
      <c r="I51" s="773">
        <v>0</v>
      </c>
      <c r="J51" s="820">
        <v>1</v>
      </c>
      <c r="K51" s="668">
        <f t="shared" si="19"/>
        <v>1755.14</v>
      </c>
      <c r="L51" s="5">
        <f t="shared" si="20"/>
        <v>1382</v>
      </c>
      <c r="M51" s="122">
        <f t="shared" si="22"/>
        <v>0</v>
      </c>
      <c r="N51" s="123">
        <f t="shared" si="23"/>
        <v>0</v>
      </c>
      <c r="O51" s="5">
        <f t="shared" si="27"/>
        <v>0</v>
      </c>
      <c r="P51" s="123">
        <f t="shared" si="24"/>
        <v>0</v>
      </c>
      <c r="Q51" s="124">
        <f t="shared" si="25"/>
        <v>0</v>
      </c>
      <c r="R51" s="124">
        <f t="shared" si="21"/>
        <v>0</v>
      </c>
      <c r="S51" s="125">
        <f t="shared" si="26"/>
        <v>0</v>
      </c>
      <c r="T51" s="390"/>
      <c r="U51" s="765"/>
    </row>
    <row r="52" spans="2:21" s="109" customFormat="1" x14ac:dyDescent="0.25">
      <c r="B52" s="824" t="s">
        <v>68</v>
      </c>
      <c r="C52" s="817" t="s">
        <v>69</v>
      </c>
      <c r="D52" s="822" t="s">
        <v>43</v>
      </c>
      <c r="E52" s="822" t="s">
        <v>67</v>
      </c>
      <c r="F52" s="822" t="s">
        <v>58</v>
      </c>
      <c r="G52" s="677">
        <v>1382</v>
      </c>
      <c r="H52" s="5">
        <v>1313</v>
      </c>
      <c r="I52" s="773">
        <v>0</v>
      </c>
      <c r="J52" s="823">
        <v>1</v>
      </c>
      <c r="K52" s="668">
        <f t="shared" si="19"/>
        <v>1667.51</v>
      </c>
      <c r="L52" s="5">
        <f t="shared" si="20"/>
        <v>1382</v>
      </c>
      <c r="M52" s="122">
        <f t="shared" si="22"/>
        <v>0</v>
      </c>
      <c r="N52" s="123">
        <f t="shared" si="23"/>
        <v>0</v>
      </c>
      <c r="O52" s="5">
        <f t="shared" si="27"/>
        <v>69</v>
      </c>
      <c r="P52" s="123">
        <f t="shared" si="24"/>
        <v>69</v>
      </c>
      <c r="Q52" s="124">
        <f t="shared" si="25"/>
        <v>828</v>
      </c>
      <c r="R52" s="124">
        <f t="shared" si="21"/>
        <v>199.46520000000001</v>
      </c>
      <c r="S52" s="125">
        <f t="shared" si="26"/>
        <v>1027.4652000000001</v>
      </c>
      <c r="T52" s="390"/>
      <c r="U52" s="765"/>
    </row>
    <row r="53" spans="2:21" s="109" customFormat="1" x14ac:dyDescent="0.25">
      <c r="B53" s="824" t="s">
        <v>70</v>
      </c>
      <c r="C53" s="822" t="s">
        <v>71</v>
      </c>
      <c r="D53" s="822" t="s">
        <v>45</v>
      </c>
      <c r="E53" s="822">
        <v>10</v>
      </c>
      <c r="F53" s="822">
        <v>3</v>
      </c>
      <c r="G53" s="677">
        <v>1287</v>
      </c>
      <c r="H53" s="5">
        <v>1287</v>
      </c>
      <c r="I53" s="773">
        <v>0</v>
      </c>
      <c r="J53" s="823">
        <v>1</v>
      </c>
      <c r="K53" s="668">
        <f t="shared" si="19"/>
        <v>1634.49</v>
      </c>
      <c r="L53" s="5">
        <f t="shared" si="20"/>
        <v>1287</v>
      </c>
      <c r="M53" s="122">
        <f t="shared" si="22"/>
        <v>0</v>
      </c>
      <c r="N53" s="123">
        <f t="shared" si="23"/>
        <v>0</v>
      </c>
      <c r="O53" s="5">
        <f t="shared" si="27"/>
        <v>0</v>
      </c>
      <c r="P53" s="123">
        <f t="shared" si="24"/>
        <v>0</v>
      </c>
      <c r="Q53" s="124">
        <f t="shared" si="25"/>
        <v>0</v>
      </c>
      <c r="R53" s="124">
        <f t="shared" si="21"/>
        <v>0</v>
      </c>
      <c r="S53" s="125">
        <f t="shared" si="26"/>
        <v>0</v>
      </c>
      <c r="T53" s="390"/>
      <c r="U53" s="765"/>
    </row>
    <row r="54" spans="2:21" s="109" customFormat="1" x14ac:dyDescent="0.25">
      <c r="B54" s="824" t="s">
        <v>72</v>
      </c>
      <c r="C54" s="822" t="s">
        <v>61</v>
      </c>
      <c r="D54" s="822" t="s">
        <v>24</v>
      </c>
      <c r="E54" s="822" t="s">
        <v>65</v>
      </c>
      <c r="F54" s="822" t="s">
        <v>58</v>
      </c>
      <c r="G54" s="677">
        <v>1287</v>
      </c>
      <c r="H54" s="505">
        <v>1122</v>
      </c>
      <c r="I54" s="773">
        <v>0</v>
      </c>
      <c r="J54" s="820">
        <v>8</v>
      </c>
      <c r="K54" s="668">
        <f t="shared" si="19"/>
        <v>1424.94</v>
      </c>
      <c r="L54" s="5">
        <f t="shared" si="20"/>
        <v>1287</v>
      </c>
      <c r="M54" s="122">
        <f t="shared" si="22"/>
        <v>0</v>
      </c>
      <c r="N54" s="123">
        <f t="shared" si="23"/>
        <v>0</v>
      </c>
      <c r="O54" s="5">
        <f t="shared" si="27"/>
        <v>165</v>
      </c>
      <c r="P54" s="123">
        <f t="shared" si="24"/>
        <v>1320</v>
      </c>
      <c r="Q54" s="124">
        <f t="shared" si="25"/>
        <v>15840</v>
      </c>
      <c r="R54" s="124">
        <f t="shared" si="21"/>
        <v>3815.8560000000002</v>
      </c>
      <c r="S54" s="125">
        <f t="shared" si="26"/>
        <v>19655.856</v>
      </c>
      <c r="T54" s="390"/>
      <c r="U54" s="765"/>
    </row>
    <row r="55" spans="2:21" s="52" customFormat="1" x14ac:dyDescent="0.25">
      <c r="B55" s="407" t="s">
        <v>39</v>
      </c>
      <c r="C55" s="54"/>
      <c r="D55" s="54"/>
      <c r="E55" s="54"/>
      <c r="F55" s="54"/>
      <c r="G55" s="56"/>
      <c r="H55" s="6"/>
      <c r="I55" s="57"/>
      <c r="J55" s="405">
        <f>SUM(J47:J54)</f>
        <v>18</v>
      </c>
      <c r="K55" s="58"/>
      <c r="L55" s="7"/>
      <c r="M55" s="59"/>
      <c r="N55" s="57"/>
      <c r="O55" s="7"/>
      <c r="P55" s="57"/>
      <c r="Q55" s="60">
        <f>SUM(Q47:Q54)</f>
        <v>28872</v>
      </c>
      <c r="R55" s="60">
        <f>SUM(R47:R54)</f>
        <v>6955.2648000000008</v>
      </c>
      <c r="S55" s="61">
        <f t="shared" ref="S55" si="28">SUM(S47:S54)</f>
        <v>35827.264799999997</v>
      </c>
      <c r="T55" s="390"/>
      <c r="U55" s="406"/>
    </row>
    <row r="56" spans="2:21" s="109" customFormat="1" x14ac:dyDescent="0.25">
      <c r="B56" s="110" t="s">
        <v>40</v>
      </c>
      <c r="C56" s="111"/>
      <c r="D56" s="111"/>
      <c r="E56" s="111"/>
      <c r="F56" s="111"/>
      <c r="G56" s="792"/>
      <c r="H56" s="113"/>
      <c r="I56" s="117"/>
      <c r="J56" s="793"/>
      <c r="K56" s="116"/>
      <c r="L56" s="117"/>
      <c r="M56" s="118"/>
      <c r="N56" s="117"/>
      <c r="O56" s="117"/>
      <c r="P56" s="117"/>
      <c r="Q56" s="119"/>
      <c r="R56" s="119"/>
      <c r="S56" s="120"/>
      <c r="T56" s="390"/>
      <c r="U56" s="765"/>
    </row>
    <row r="57" spans="2:21" s="109" customFormat="1" x14ac:dyDescent="0.25">
      <c r="B57" s="821" t="s">
        <v>73</v>
      </c>
      <c r="C57" s="822" t="s">
        <v>23</v>
      </c>
      <c r="D57" s="822" t="s">
        <v>51</v>
      </c>
      <c r="E57" s="822" t="s">
        <v>74</v>
      </c>
      <c r="F57" s="822" t="s">
        <v>58</v>
      </c>
      <c r="G57" s="677">
        <v>1190</v>
      </c>
      <c r="H57" s="5">
        <v>927</v>
      </c>
      <c r="I57" s="773">
        <v>0</v>
      </c>
      <c r="J57" s="823">
        <v>2</v>
      </c>
      <c r="K57" s="668">
        <f t="shared" si="19"/>
        <v>1177.29</v>
      </c>
      <c r="L57" s="5">
        <f t="shared" si="20"/>
        <v>1177.29</v>
      </c>
      <c r="M57" s="122">
        <f>I57*0.27</f>
        <v>0</v>
      </c>
      <c r="N57" s="123">
        <f t="shared" si="23"/>
        <v>0</v>
      </c>
      <c r="O57" s="5">
        <f t="shared" si="27"/>
        <v>250.28999999999996</v>
      </c>
      <c r="P57" s="123">
        <f t="shared" si="24"/>
        <v>500.57999999999993</v>
      </c>
      <c r="Q57" s="124">
        <f t="shared" si="25"/>
        <v>6006.9599999999991</v>
      </c>
      <c r="R57" s="124">
        <f t="shared" ref="R57:R69" si="29">Q57*0.2409</f>
        <v>1447.0766639999997</v>
      </c>
      <c r="S57" s="125">
        <f t="shared" si="26"/>
        <v>7454.0366639999993</v>
      </c>
      <c r="T57" s="390"/>
      <c r="U57" s="765"/>
    </row>
    <row r="58" spans="2:21" s="109" customFormat="1" x14ac:dyDescent="0.25">
      <c r="B58" s="824" t="s">
        <v>75</v>
      </c>
      <c r="C58" s="817" t="s">
        <v>61</v>
      </c>
      <c r="D58" s="822" t="s">
        <v>51</v>
      </c>
      <c r="E58" s="822" t="s">
        <v>74</v>
      </c>
      <c r="F58" s="822" t="s">
        <v>58</v>
      </c>
      <c r="G58" s="677">
        <v>1190</v>
      </c>
      <c r="H58" s="5">
        <v>872</v>
      </c>
      <c r="I58" s="773">
        <v>0</v>
      </c>
      <c r="J58" s="823">
        <v>11</v>
      </c>
      <c r="K58" s="668">
        <f t="shared" si="19"/>
        <v>1107.44</v>
      </c>
      <c r="L58" s="5">
        <f t="shared" si="20"/>
        <v>1107.44</v>
      </c>
      <c r="M58" s="122">
        <f t="shared" ref="M58:M69" si="30">I58*0.27</f>
        <v>0</v>
      </c>
      <c r="N58" s="123">
        <f t="shared" si="23"/>
        <v>0</v>
      </c>
      <c r="O58" s="5">
        <f t="shared" si="27"/>
        <v>235.44000000000005</v>
      </c>
      <c r="P58" s="123">
        <f t="shared" si="24"/>
        <v>2589.8400000000006</v>
      </c>
      <c r="Q58" s="124">
        <f t="shared" si="25"/>
        <v>31078.080000000009</v>
      </c>
      <c r="R58" s="124">
        <f t="shared" si="29"/>
        <v>7486.7094720000023</v>
      </c>
      <c r="S58" s="125">
        <f t="shared" si="26"/>
        <v>38564.789472000011</v>
      </c>
      <c r="T58" s="390"/>
      <c r="U58" s="765"/>
    </row>
    <row r="59" spans="2:21" s="109" customFormat="1" x14ac:dyDescent="0.25">
      <c r="B59" s="824" t="s">
        <v>76</v>
      </c>
      <c r="C59" s="817" t="s">
        <v>61</v>
      </c>
      <c r="D59" s="822" t="s">
        <v>51</v>
      </c>
      <c r="E59" s="822" t="s">
        <v>74</v>
      </c>
      <c r="F59" s="822" t="s">
        <v>58</v>
      </c>
      <c r="G59" s="677">
        <v>1190</v>
      </c>
      <c r="H59" s="5">
        <v>872</v>
      </c>
      <c r="I59" s="773">
        <v>0</v>
      </c>
      <c r="J59" s="823">
        <v>1</v>
      </c>
      <c r="K59" s="668">
        <f t="shared" si="19"/>
        <v>1107.44</v>
      </c>
      <c r="L59" s="5">
        <f t="shared" si="20"/>
        <v>1107.44</v>
      </c>
      <c r="M59" s="122">
        <f t="shared" si="30"/>
        <v>0</v>
      </c>
      <c r="N59" s="123">
        <f t="shared" si="23"/>
        <v>0</v>
      </c>
      <c r="O59" s="5">
        <f t="shared" si="27"/>
        <v>235.44000000000005</v>
      </c>
      <c r="P59" s="123">
        <f t="shared" si="24"/>
        <v>235.44000000000005</v>
      </c>
      <c r="Q59" s="124">
        <f t="shared" si="25"/>
        <v>2825.2800000000007</v>
      </c>
      <c r="R59" s="124">
        <f t="shared" si="29"/>
        <v>680.60995200000013</v>
      </c>
      <c r="S59" s="125">
        <f t="shared" si="26"/>
        <v>3505.8899520000009</v>
      </c>
      <c r="T59" s="390"/>
      <c r="U59" s="765"/>
    </row>
    <row r="60" spans="2:21" s="109" customFormat="1" x14ac:dyDescent="0.25">
      <c r="B60" s="821" t="s">
        <v>77</v>
      </c>
      <c r="C60" s="822" t="s">
        <v>69</v>
      </c>
      <c r="D60" s="822" t="s">
        <v>45</v>
      </c>
      <c r="E60" s="822" t="s">
        <v>78</v>
      </c>
      <c r="F60" s="822" t="s">
        <v>58</v>
      </c>
      <c r="G60" s="677">
        <v>1093</v>
      </c>
      <c r="H60" s="5">
        <v>900</v>
      </c>
      <c r="I60" s="773">
        <v>0</v>
      </c>
      <c r="J60" s="823">
        <v>3</v>
      </c>
      <c r="K60" s="668">
        <f t="shared" si="19"/>
        <v>1143</v>
      </c>
      <c r="L60" s="5">
        <f t="shared" si="20"/>
        <v>1093</v>
      </c>
      <c r="M60" s="122">
        <f t="shared" si="30"/>
        <v>0</v>
      </c>
      <c r="N60" s="123">
        <f t="shared" si="23"/>
        <v>0</v>
      </c>
      <c r="O60" s="5">
        <f t="shared" si="27"/>
        <v>193</v>
      </c>
      <c r="P60" s="123">
        <f t="shared" si="24"/>
        <v>579</v>
      </c>
      <c r="Q60" s="124">
        <f t="shared" si="25"/>
        <v>6948</v>
      </c>
      <c r="R60" s="124">
        <f t="shared" si="29"/>
        <v>1673.7732000000001</v>
      </c>
      <c r="S60" s="125">
        <f t="shared" si="26"/>
        <v>8621.7731999999996</v>
      </c>
      <c r="T60" s="390"/>
      <c r="U60" s="765"/>
    </row>
    <row r="61" spans="2:21" s="109" customFormat="1" x14ac:dyDescent="0.25">
      <c r="B61" s="824" t="s">
        <v>79</v>
      </c>
      <c r="C61" s="817" t="s">
        <v>61</v>
      </c>
      <c r="D61" s="822" t="s">
        <v>80</v>
      </c>
      <c r="E61" s="822" t="s">
        <v>78</v>
      </c>
      <c r="F61" s="822" t="s">
        <v>58</v>
      </c>
      <c r="G61" s="677">
        <v>1093</v>
      </c>
      <c r="H61" s="5">
        <v>897</v>
      </c>
      <c r="I61" s="773">
        <v>0</v>
      </c>
      <c r="J61" s="820">
        <v>1</v>
      </c>
      <c r="K61" s="668">
        <f t="shared" si="19"/>
        <v>1139.19</v>
      </c>
      <c r="L61" s="5">
        <f t="shared" si="20"/>
        <v>1093</v>
      </c>
      <c r="M61" s="122">
        <f t="shared" si="30"/>
        <v>0</v>
      </c>
      <c r="N61" s="123">
        <f t="shared" si="23"/>
        <v>0</v>
      </c>
      <c r="O61" s="5">
        <f t="shared" si="27"/>
        <v>196</v>
      </c>
      <c r="P61" s="123">
        <f t="shared" si="24"/>
        <v>196</v>
      </c>
      <c r="Q61" s="124">
        <f t="shared" si="25"/>
        <v>2352</v>
      </c>
      <c r="R61" s="124">
        <f t="shared" si="29"/>
        <v>566.59680000000003</v>
      </c>
      <c r="S61" s="125">
        <f t="shared" si="26"/>
        <v>2918.5968000000003</v>
      </c>
      <c r="T61" s="390"/>
      <c r="U61" s="765"/>
    </row>
    <row r="62" spans="2:21" s="109" customFormat="1" x14ac:dyDescent="0.25">
      <c r="B62" s="821" t="s">
        <v>81</v>
      </c>
      <c r="C62" s="817" t="s">
        <v>61</v>
      </c>
      <c r="D62" s="822" t="s">
        <v>80</v>
      </c>
      <c r="E62" s="822" t="s">
        <v>78</v>
      </c>
      <c r="F62" s="822" t="s">
        <v>58</v>
      </c>
      <c r="G62" s="677">
        <v>1093</v>
      </c>
      <c r="H62" s="5">
        <v>890</v>
      </c>
      <c r="I62" s="773">
        <v>0</v>
      </c>
      <c r="J62" s="820">
        <v>11</v>
      </c>
      <c r="K62" s="668">
        <f t="shared" si="19"/>
        <v>1130.3</v>
      </c>
      <c r="L62" s="5">
        <f t="shared" si="20"/>
        <v>1093</v>
      </c>
      <c r="M62" s="122">
        <f t="shared" si="30"/>
        <v>0</v>
      </c>
      <c r="N62" s="123">
        <f t="shared" si="23"/>
        <v>0</v>
      </c>
      <c r="O62" s="5">
        <f t="shared" si="27"/>
        <v>203</v>
      </c>
      <c r="P62" s="123">
        <f t="shared" si="24"/>
        <v>2233</v>
      </c>
      <c r="Q62" s="124">
        <f t="shared" si="25"/>
        <v>26796</v>
      </c>
      <c r="R62" s="124">
        <f t="shared" si="29"/>
        <v>6455.1563999999998</v>
      </c>
      <c r="S62" s="125">
        <f t="shared" si="26"/>
        <v>33251.1564</v>
      </c>
      <c r="T62" s="390"/>
      <c r="U62" s="765"/>
    </row>
    <row r="63" spans="2:21" s="109" customFormat="1" x14ac:dyDescent="0.25">
      <c r="B63" s="824" t="s">
        <v>82</v>
      </c>
      <c r="C63" s="817" t="s">
        <v>61</v>
      </c>
      <c r="D63" s="822" t="s">
        <v>80</v>
      </c>
      <c r="E63" s="822" t="s">
        <v>83</v>
      </c>
      <c r="F63" s="822" t="s">
        <v>58</v>
      </c>
      <c r="G63" s="677">
        <v>996</v>
      </c>
      <c r="H63" s="505">
        <v>897</v>
      </c>
      <c r="I63" s="773">
        <v>0</v>
      </c>
      <c r="J63" s="820">
        <v>1</v>
      </c>
      <c r="K63" s="668">
        <f t="shared" si="19"/>
        <v>1139.19</v>
      </c>
      <c r="L63" s="5">
        <f t="shared" si="20"/>
        <v>996</v>
      </c>
      <c r="M63" s="122">
        <f t="shared" si="30"/>
        <v>0</v>
      </c>
      <c r="N63" s="123">
        <f t="shared" si="23"/>
        <v>0</v>
      </c>
      <c r="O63" s="5">
        <f t="shared" si="27"/>
        <v>99</v>
      </c>
      <c r="P63" s="123">
        <f t="shared" si="24"/>
        <v>99</v>
      </c>
      <c r="Q63" s="124">
        <f t="shared" si="25"/>
        <v>1188</v>
      </c>
      <c r="R63" s="124">
        <f t="shared" si="29"/>
        <v>286.18920000000003</v>
      </c>
      <c r="S63" s="125">
        <f t="shared" si="26"/>
        <v>1474.1892</v>
      </c>
      <c r="T63" s="390"/>
      <c r="U63" s="765"/>
    </row>
    <row r="64" spans="2:21" s="109" customFormat="1" ht="25.5" x14ac:dyDescent="0.25">
      <c r="B64" s="821" t="s">
        <v>84</v>
      </c>
      <c r="C64" s="817" t="s">
        <v>85</v>
      </c>
      <c r="D64" s="822" t="s">
        <v>54</v>
      </c>
      <c r="E64" s="822">
        <v>8</v>
      </c>
      <c r="F64" s="822">
        <v>3</v>
      </c>
      <c r="G64" s="677">
        <v>1093</v>
      </c>
      <c r="H64" s="505">
        <v>897</v>
      </c>
      <c r="I64" s="773">
        <v>0</v>
      </c>
      <c r="J64" s="820">
        <v>1</v>
      </c>
      <c r="K64" s="668">
        <f t="shared" si="19"/>
        <v>1139.19</v>
      </c>
      <c r="L64" s="5">
        <f t="shared" si="20"/>
        <v>1093</v>
      </c>
      <c r="M64" s="122">
        <f t="shared" si="30"/>
        <v>0</v>
      </c>
      <c r="N64" s="123">
        <f t="shared" si="23"/>
        <v>0</v>
      </c>
      <c r="O64" s="5">
        <f t="shared" si="27"/>
        <v>196</v>
      </c>
      <c r="P64" s="123">
        <f t="shared" si="24"/>
        <v>196</v>
      </c>
      <c r="Q64" s="124">
        <f t="shared" si="25"/>
        <v>2352</v>
      </c>
      <c r="R64" s="124">
        <f t="shared" si="29"/>
        <v>566.59680000000003</v>
      </c>
      <c r="S64" s="125">
        <f t="shared" si="26"/>
        <v>2918.5968000000003</v>
      </c>
      <c r="T64" s="390"/>
      <c r="U64" s="765"/>
    </row>
    <row r="65" spans="2:21" s="109" customFormat="1" x14ac:dyDescent="0.25">
      <c r="B65" s="821" t="s">
        <v>86</v>
      </c>
      <c r="C65" s="817" t="s">
        <v>69</v>
      </c>
      <c r="D65" s="822" t="s">
        <v>24</v>
      </c>
      <c r="E65" s="822" t="s">
        <v>83</v>
      </c>
      <c r="F65" s="822" t="s">
        <v>58</v>
      </c>
      <c r="G65" s="677">
        <v>996</v>
      </c>
      <c r="H65" s="505">
        <v>830</v>
      </c>
      <c r="I65" s="773">
        <v>0</v>
      </c>
      <c r="J65" s="820">
        <v>28.25</v>
      </c>
      <c r="K65" s="668">
        <f t="shared" si="19"/>
        <v>1054.0999999999999</v>
      </c>
      <c r="L65" s="5">
        <f t="shared" si="20"/>
        <v>996</v>
      </c>
      <c r="M65" s="122">
        <f t="shared" si="30"/>
        <v>0</v>
      </c>
      <c r="N65" s="123">
        <f t="shared" si="23"/>
        <v>0</v>
      </c>
      <c r="O65" s="5">
        <f t="shared" si="27"/>
        <v>166</v>
      </c>
      <c r="P65" s="123">
        <f t="shared" si="24"/>
        <v>4689.5</v>
      </c>
      <c r="Q65" s="124">
        <f t="shared" si="25"/>
        <v>56274</v>
      </c>
      <c r="R65" s="124">
        <f t="shared" si="29"/>
        <v>13556.4066</v>
      </c>
      <c r="S65" s="125">
        <f t="shared" si="26"/>
        <v>69830.406600000002</v>
      </c>
      <c r="T65" s="390"/>
      <c r="U65" s="765"/>
    </row>
    <row r="66" spans="2:21" s="109" customFormat="1" ht="25.5" x14ac:dyDescent="0.25">
      <c r="B66" s="821" t="s">
        <v>87</v>
      </c>
      <c r="C66" s="817" t="s">
        <v>88</v>
      </c>
      <c r="D66" s="822" t="s">
        <v>24</v>
      </c>
      <c r="E66" s="822" t="s">
        <v>83</v>
      </c>
      <c r="F66" s="822" t="s">
        <v>58</v>
      </c>
      <c r="G66" s="677">
        <v>996</v>
      </c>
      <c r="H66" s="505">
        <v>830</v>
      </c>
      <c r="I66" s="773">
        <v>0</v>
      </c>
      <c r="J66" s="820">
        <v>5.75</v>
      </c>
      <c r="K66" s="668">
        <f t="shared" si="19"/>
        <v>1054.0999999999999</v>
      </c>
      <c r="L66" s="5">
        <f t="shared" si="20"/>
        <v>996</v>
      </c>
      <c r="M66" s="122">
        <f t="shared" si="30"/>
        <v>0</v>
      </c>
      <c r="N66" s="123">
        <f t="shared" si="23"/>
        <v>0</v>
      </c>
      <c r="O66" s="5">
        <f t="shared" si="27"/>
        <v>166</v>
      </c>
      <c r="P66" s="123">
        <f t="shared" si="24"/>
        <v>954.5</v>
      </c>
      <c r="Q66" s="124">
        <f t="shared" si="25"/>
        <v>11454</v>
      </c>
      <c r="R66" s="124">
        <f t="shared" si="29"/>
        <v>2759.2685999999999</v>
      </c>
      <c r="S66" s="125">
        <f t="shared" si="26"/>
        <v>14213.268599999999</v>
      </c>
      <c r="T66" s="390"/>
      <c r="U66" s="765"/>
    </row>
    <row r="67" spans="2:21" s="109" customFormat="1" x14ac:dyDescent="0.25">
      <c r="B67" s="821" t="s">
        <v>89</v>
      </c>
      <c r="C67" s="817" t="s">
        <v>69</v>
      </c>
      <c r="D67" s="822" t="s">
        <v>25</v>
      </c>
      <c r="E67" s="822" t="s">
        <v>90</v>
      </c>
      <c r="F67" s="822" t="s">
        <v>91</v>
      </c>
      <c r="G67" s="677">
        <v>740</v>
      </c>
      <c r="H67" s="505">
        <v>658</v>
      </c>
      <c r="I67" s="773">
        <v>0</v>
      </c>
      <c r="J67" s="820">
        <v>1</v>
      </c>
      <c r="K67" s="668">
        <f t="shared" si="19"/>
        <v>835.66</v>
      </c>
      <c r="L67" s="5">
        <f t="shared" si="20"/>
        <v>740</v>
      </c>
      <c r="M67" s="122">
        <f t="shared" si="30"/>
        <v>0</v>
      </c>
      <c r="N67" s="123">
        <f t="shared" si="23"/>
        <v>0</v>
      </c>
      <c r="O67" s="5">
        <f t="shared" si="27"/>
        <v>82</v>
      </c>
      <c r="P67" s="123">
        <f t="shared" si="24"/>
        <v>82</v>
      </c>
      <c r="Q67" s="124">
        <f t="shared" si="25"/>
        <v>984</v>
      </c>
      <c r="R67" s="124">
        <f t="shared" si="29"/>
        <v>237.04560000000001</v>
      </c>
      <c r="S67" s="125">
        <f t="shared" si="26"/>
        <v>1221.0455999999999</v>
      </c>
      <c r="T67" s="390"/>
      <c r="U67" s="765"/>
    </row>
    <row r="68" spans="2:21" s="109" customFormat="1" x14ac:dyDescent="0.25">
      <c r="B68" s="821" t="s">
        <v>89</v>
      </c>
      <c r="C68" s="817" t="s">
        <v>69</v>
      </c>
      <c r="D68" s="822" t="s">
        <v>25</v>
      </c>
      <c r="E68" s="822" t="s">
        <v>90</v>
      </c>
      <c r="F68" s="822" t="s">
        <v>58</v>
      </c>
      <c r="G68" s="677">
        <v>899</v>
      </c>
      <c r="H68" s="505">
        <v>770</v>
      </c>
      <c r="I68" s="773">
        <v>0</v>
      </c>
      <c r="J68" s="820">
        <v>1</v>
      </c>
      <c r="K68" s="668">
        <f t="shared" si="19"/>
        <v>977.9</v>
      </c>
      <c r="L68" s="5">
        <f t="shared" si="20"/>
        <v>899</v>
      </c>
      <c r="M68" s="122">
        <f t="shared" si="30"/>
        <v>0</v>
      </c>
      <c r="N68" s="123">
        <f t="shared" si="23"/>
        <v>0</v>
      </c>
      <c r="O68" s="5">
        <f t="shared" si="27"/>
        <v>129</v>
      </c>
      <c r="P68" s="123">
        <f t="shared" si="24"/>
        <v>129</v>
      </c>
      <c r="Q68" s="124">
        <f t="shared" si="25"/>
        <v>1548</v>
      </c>
      <c r="R68" s="124">
        <f t="shared" si="29"/>
        <v>372.91320000000002</v>
      </c>
      <c r="S68" s="125">
        <f t="shared" si="26"/>
        <v>1920.9132</v>
      </c>
      <c r="T68" s="390"/>
      <c r="U68" s="765"/>
    </row>
    <row r="69" spans="2:21" s="109" customFormat="1" x14ac:dyDescent="0.25">
      <c r="B69" s="821" t="s">
        <v>92</v>
      </c>
      <c r="C69" s="817" t="s">
        <v>71</v>
      </c>
      <c r="D69" s="822" t="s">
        <v>93</v>
      </c>
      <c r="E69" s="822" t="s">
        <v>90</v>
      </c>
      <c r="F69" s="822" t="s">
        <v>58</v>
      </c>
      <c r="G69" s="677">
        <v>899</v>
      </c>
      <c r="H69" s="505">
        <v>750</v>
      </c>
      <c r="I69" s="773">
        <v>0</v>
      </c>
      <c r="J69" s="820">
        <v>1</v>
      </c>
      <c r="K69" s="668">
        <f t="shared" si="19"/>
        <v>952.5</v>
      </c>
      <c r="L69" s="5">
        <f t="shared" si="20"/>
        <v>899</v>
      </c>
      <c r="M69" s="122">
        <f t="shared" si="30"/>
        <v>0</v>
      </c>
      <c r="N69" s="123">
        <f t="shared" si="23"/>
        <v>0</v>
      </c>
      <c r="O69" s="5">
        <f t="shared" si="27"/>
        <v>149</v>
      </c>
      <c r="P69" s="123">
        <f t="shared" si="24"/>
        <v>149</v>
      </c>
      <c r="Q69" s="124">
        <f t="shared" si="25"/>
        <v>1788</v>
      </c>
      <c r="R69" s="124">
        <f t="shared" si="29"/>
        <v>430.72919999999999</v>
      </c>
      <c r="S69" s="125">
        <f t="shared" si="26"/>
        <v>2218.7291999999998</v>
      </c>
      <c r="T69" s="390"/>
      <c r="U69" s="765"/>
    </row>
    <row r="70" spans="2:21" s="52" customFormat="1" x14ac:dyDescent="0.25">
      <c r="B70" s="407" t="s">
        <v>39</v>
      </c>
      <c r="C70" s="54"/>
      <c r="D70" s="54"/>
      <c r="E70" s="54"/>
      <c r="F70" s="54"/>
      <c r="G70" s="56"/>
      <c r="H70" s="6"/>
      <c r="I70" s="57"/>
      <c r="J70" s="405">
        <f>SUM(J57:J69)</f>
        <v>68</v>
      </c>
      <c r="K70" s="58"/>
      <c r="L70" s="7"/>
      <c r="M70" s="59"/>
      <c r="N70" s="57"/>
      <c r="O70" s="7"/>
      <c r="P70" s="57"/>
      <c r="Q70" s="60">
        <f>SUM(Q57:Q69)</f>
        <v>151594.32</v>
      </c>
      <c r="R70" s="60">
        <f t="shared" ref="R70:S70" si="31">SUM(R57:R69)</f>
        <v>36519.071688000011</v>
      </c>
      <c r="S70" s="61">
        <f t="shared" si="31"/>
        <v>188113.39168800006</v>
      </c>
      <c r="T70" s="390"/>
      <c r="U70" s="406"/>
    </row>
    <row r="71" spans="2:21" s="109" customFormat="1" x14ac:dyDescent="0.25">
      <c r="B71" s="110" t="s">
        <v>94</v>
      </c>
      <c r="C71" s="111"/>
      <c r="D71" s="111"/>
      <c r="E71" s="111"/>
      <c r="F71" s="111"/>
      <c r="G71" s="792"/>
      <c r="H71" s="113"/>
      <c r="I71" s="117"/>
      <c r="J71" s="793"/>
      <c r="K71" s="116"/>
      <c r="L71" s="117"/>
      <c r="M71" s="118"/>
      <c r="N71" s="117"/>
      <c r="O71" s="117"/>
      <c r="P71" s="117"/>
      <c r="Q71" s="119"/>
      <c r="R71" s="119"/>
      <c r="S71" s="120"/>
      <c r="T71" s="390"/>
      <c r="U71" s="765"/>
    </row>
    <row r="72" spans="2:21" s="109" customFormat="1" x14ac:dyDescent="0.25">
      <c r="B72" s="821" t="s">
        <v>95</v>
      </c>
      <c r="C72" s="822" t="s">
        <v>69</v>
      </c>
      <c r="D72" s="822" t="s">
        <v>54</v>
      </c>
      <c r="E72" s="822" t="s">
        <v>96</v>
      </c>
      <c r="F72" s="822" t="s">
        <v>58</v>
      </c>
      <c r="G72" s="677">
        <v>802</v>
      </c>
      <c r="H72" s="505">
        <v>680</v>
      </c>
      <c r="I72" s="773">
        <v>0</v>
      </c>
      <c r="J72" s="820">
        <v>10.5</v>
      </c>
      <c r="K72" s="668">
        <f t="shared" si="19"/>
        <v>863.6</v>
      </c>
      <c r="L72" s="5">
        <f t="shared" si="20"/>
        <v>802</v>
      </c>
      <c r="M72" s="122">
        <f>I72*0.27</f>
        <v>0</v>
      </c>
      <c r="N72" s="123">
        <f t="shared" si="23"/>
        <v>0</v>
      </c>
      <c r="O72" s="5">
        <f t="shared" si="27"/>
        <v>122</v>
      </c>
      <c r="P72" s="123">
        <f t="shared" si="24"/>
        <v>1281</v>
      </c>
      <c r="Q72" s="124">
        <f t="shared" si="25"/>
        <v>15372</v>
      </c>
      <c r="R72" s="124">
        <f t="shared" ref="R72:R77" si="32">Q72*0.2409</f>
        <v>3703.1147999999998</v>
      </c>
      <c r="S72" s="125">
        <f t="shared" si="26"/>
        <v>19075.114799999999</v>
      </c>
      <c r="T72" s="390"/>
      <c r="U72" s="765"/>
    </row>
    <row r="73" spans="2:21" s="109" customFormat="1" x14ac:dyDescent="0.25">
      <c r="B73" s="824" t="s">
        <v>95</v>
      </c>
      <c r="C73" s="817" t="s">
        <v>69</v>
      </c>
      <c r="D73" s="822" t="s">
        <v>54</v>
      </c>
      <c r="E73" s="822" t="s">
        <v>96</v>
      </c>
      <c r="F73" s="822" t="s">
        <v>91</v>
      </c>
      <c r="G73" s="677">
        <v>665</v>
      </c>
      <c r="H73" s="505">
        <v>601</v>
      </c>
      <c r="I73" s="773">
        <v>0</v>
      </c>
      <c r="J73" s="820">
        <v>1</v>
      </c>
      <c r="K73" s="668">
        <f t="shared" si="19"/>
        <v>763.27</v>
      </c>
      <c r="L73" s="5">
        <f t="shared" si="20"/>
        <v>665</v>
      </c>
      <c r="M73" s="122">
        <f t="shared" ref="M73:M77" si="33">I73*0.27</f>
        <v>0</v>
      </c>
      <c r="N73" s="123">
        <f t="shared" si="23"/>
        <v>0</v>
      </c>
      <c r="O73" s="5">
        <f t="shared" si="27"/>
        <v>64</v>
      </c>
      <c r="P73" s="123">
        <f t="shared" si="24"/>
        <v>64</v>
      </c>
      <c r="Q73" s="124">
        <f t="shared" si="25"/>
        <v>768</v>
      </c>
      <c r="R73" s="124">
        <f t="shared" si="32"/>
        <v>185.0112</v>
      </c>
      <c r="S73" s="125">
        <f t="shared" si="26"/>
        <v>953.01120000000003</v>
      </c>
      <c r="T73" s="390"/>
      <c r="U73" s="765"/>
    </row>
    <row r="74" spans="2:21" s="109" customFormat="1" x14ac:dyDescent="0.25">
      <c r="B74" s="824" t="s">
        <v>97</v>
      </c>
      <c r="C74" s="817" t="s">
        <v>71</v>
      </c>
      <c r="D74" s="822" t="s">
        <v>54</v>
      </c>
      <c r="E74" s="822">
        <v>4</v>
      </c>
      <c r="F74" s="822" t="s">
        <v>58</v>
      </c>
      <c r="G74" s="677">
        <v>705</v>
      </c>
      <c r="H74" s="505">
        <v>625</v>
      </c>
      <c r="I74" s="773">
        <v>0</v>
      </c>
      <c r="J74" s="820">
        <v>11.5</v>
      </c>
      <c r="K74" s="668">
        <f t="shared" si="19"/>
        <v>793.75</v>
      </c>
      <c r="L74" s="5">
        <f t="shared" si="20"/>
        <v>705</v>
      </c>
      <c r="M74" s="122">
        <f t="shared" si="33"/>
        <v>0</v>
      </c>
      <c r="N74" s="123">
        <f t="shared" si="23"/>
        <v>0</v>
      </c>
      <c r="O74" s="5">
        <f t="shared" si="27"/>
        <v>80</v>
      </c>
      <c r="P74" s="123">
        <f t="shared" si="24"/>
        <v>920</v>
      </c>
      <c r="Q74" s="124">
        <f t="shared" si="25"/>
        <v>11040</v>
      </c>
      <c r="R74" s="124">
        <f t="shared" si="32"/>
        <v>2659.5360000000001</v>
      </c>
      <c r="S74" s="125">
        <f t="shared" si="26"/>
        <v>13699.536</v>
      </c>
      <c r="T74" s="390"/>
      <c r="U74" s="765"/>
    </row>
    <row r="75" spans="2:21" s="109" customFormat="1" x14ac:dyDescent="0.25">
      <c r="B75" s="821" t="s">
        <v>97</v>
      </c>
      <c r="C75" s="822" t="s">
        <v>71</v>
      </c>
      <c r="D75" s="822" t="s">
        <v>54</v>
      </c>
      <c r="E75" s="822">
        <v>4</v>
      </c>
      <c r="F75" s="822" t="s">
        <v>91</v>
      </c>
      <c r="G75" s="677">
        <v>580</v>
      </c>
      <c r="H75" s="505">
        <v>548</v>
      </c>
      <c r="I75" s="773">
        <v>0</v>
      </c>
      <c r="J75" s="820">
        <v>1</v>
      </c>
      <c r="K75" s="668">
        <f t="shared" si="19"/>
        <v>695.96</v>
      </c>
      <c r="L75" s="5">
        <f t="shared" si="20"/>
        <v>580</v>
      </c>
      <c r="M75" s="122">
        <f t="shared" si="33"/>
        <v>0</v>
      </c>
      <c r="N75" s="123">
        <f t="shared" si="23"/>
        <v>0</v>
      </c>
      <c r="O75" s="5">
        <f t="shared" si="27"/>
        <v>32</v>
      </c>
      <c r="P75" s="123">
        <f t="shared" si="24"/>
        <v>32</v>
      </c>
      <c r="Q75" s="124">
        <f t="shared" si="25"/>
        <v>384</v>
      </c>
      <c r="R75" s="124">
        <f t="shared" si="32"/>
        <v>92.505600000000001</v>
      </c>
      <c r="S75" s="125">
        <f t="shared" si="26"/>
        <v>476.50560000000002</v>
      </c>
      <c r="T75" s="390"/>
      <c r="U75" s="765"/>
    </row>
    <row r="76" spans="2:21" s="109" customFormat="1" x14ac:dyDescent="0.25">
      <c r="B76" s="821" t="s">
        <v>98</v>
      </c>
      <c r="C76" s="822" t="s">
        <v>99</v>
      </c>
      <c r="D76" s="822" t="s">
        <v>24</v>
      </c>
      <c r="E76" s="822">
        <v>4</v>
      </c>
      <c r="F76" s="822">
        <v>3</v>
      </c>
      <c r="G76" s="677">
        <v>705</v>
      </c>
      <c r="H76" s="505">
        <v>625</v>
      </c>
      <c r="I76" s="773">
        <v>0</v>
      </c>
      <c r="J76" s="820">
        <v>2</v>
      </c>
      <c r="K76" s="668">
        <f t="shared" si="19"/>
        <v>793.75</v>
      </c>
      <c r="L76" s="5">
        <f t="shared" si="20"/>
        <v>705</v>
      </c>
      <c r="M76" s="122">
        <f t="shared" si="33"/>
        <v>0</v>
      </c>
      <c r="N76" s="123">
        <f t="shared" si="23"/>
        <v>0</v>
      </c>
      <c r="O76" s="5">
        <f t="shared" si="27"/>
        <v>80</v>
      </c>
      <c r="P76" s="123">
        <f t="shared" si="24"/>
        <v>160</v>
      </c>
      <c r="Q76" s="124">
        <f t="shared" si="25"/>
        <v>1920</v>
      </c>
      <c r="R76" s="124">
        <f t="shared" si="32"/>
        <v>462.52800000000002</v>
      </c>
      <c r="S76" s="125">
        <f t="shared" si="26"/>
        <v>2382.5280000000002</v>
      </c>
      <c r="T76" s="390"/>
      <c r="U76" s="765"/>
    </row>
    <row r="77" spans="2:21" s="109" customFormat="1" x14ac:dyDescent="0.25">
      <c r="B77" s="821" t="s">
        <v>100</v>
      </c>
      <c r="C77" s="822" t="s">
        <v>42</v>
      </c>
      <c r="D77" s="822" t="s">
        <v>80</v>
      </c>
      <c r="E77" s="822">
        <v>3</v>
      </c>
      <c r="F77" s="822" t="s">
        <v>58</v>
      </c>
      <c r="G77" s="677">
        <v>608</v>
      </c>
      <c r="H77" s="505">
        <v>571</v>
      </c>
      <c r="I77" s="773">
        <v>0</v>
      </c>
      <c r="J77" s="820">
        <v>9</v>
      </c>
      <c r="K77" s="668">
        <f t="shared" si="19"/>
        <v>725.17</v>
      </c>
      <c r="L77" s="5">
        <f t="shared" si="20"/>
        <v>608</v>
      </c>
      <c r="M77" s="122">
        <f t="shared" si="33"/>
        <v>0</v>
      </c>
      <c r="N77" s="123">
        <f t="shared" si="23"/>
        <v>0</v>
      </c>
      <c r="O77" s="5">
        <f t="shared" si="27"/>
        <v>37</v>
      </c>
      <c r="P77" s="123">
        <f t="shared" si="24"/>
        <v>333</v>
      </c>
      <c r="Q77" s="124">
        <f t="shared" si="25"/>
        <v>3996</v>
      </c>
      <c r="R77" s="124">
        <f t="shared" si="32"/>
        <v>962.63639999999998</v>
      </c>
      <c r="S77" s="125">
        <f t="shared" si="26"/>
        <v>4958.6364000000003</v>
      </c>
      <c r="T77" s="390"/>
      <c r="U77" s="765"/>
    </row>
    <row r="78" spans="2:21" s="52" customFormat="1" x14ac:dyDescent="0.25">
      <c r="B78" s="407" t="s">
        <v>39</v>
      </c>
      <c r="C78" s="54"/>
      <c r="D78" s="54"/>
      <c r="E78" s="54"/>
      <c r="F78" s="54"/>
      <c r="G78" s="56"/>
      <c r="H78" s="6"/>
      <c r="I78" s="57"/>
      <c r="J78" s="405">
        <f>SUM(J72:J77)</f>
        <v>35</v>
      </c>
      <c r="K78" s="58"/>
      <c r="L78" s="7"/>
      <c r="M78" s="59"/>
      <c r="N78" s="57"/>
      <c r="O78" s="7"/>
      <c r="P78" s="57"/>
      <c r="Q78" s="60">
        <f>SUM(Q72:Q77)</f>
        <v>33480</v>
      </c>
      <c r="R78" s="60">
        <f>SUM(R72:R77)</f>
        <v>8065.3320000000012</v>
      </c>
      <c r="S78" s="61">
        <f>SUM(S72:S77)</f>
        <v>41545.331999999995</v>
      </c>
      <c r="T78" s="390"/>
      <c r="U78" s="406"/>
    </row>
    <row r="79" spans="2:21" s="109" customFormat="1" ht="13.5" thickBot="1" x14ac:dyDescent="0.3">
      <c r="B79" s="796" t="s">
        <v>55</v>
      </c>
      <c r="C79" s="797"/>
      <c r="D79" s="797"/>
      <c r="E79" s="797"/>
      <c r="F79" s="798"/>
      <c r="G79" s="799"/>
      <c r="H79" s="800"/>
      <c r="I79" s="798"/>
      <c r="J79" s="801">
        <f>J55+J70+J78</f>
        <v>121</v>
      </c>
      <c r="K79" s="802"/>
      <c r="L79" s="798"/>
      <c r="M79" s="798"/>
      <c r="N79" s="798"/>
      <c r="O79" s="798"/>
      <c r="P79" s="798"/>
      <c r="Q79" s="803">
        <f>Q55+Q70+Q78</f>
        <v>213946.32</v>
      </c>
      <c r="R79" s="803">
        <f>R55+R70+R78</f>
        <v>51539.668488000018</v>
      </c>
      <c r="S79" s="804">
        <f>S55+S70+S78</f>
        <v>265485.98848800006</v>
      </c>
      <c r="T79" s="390"/>
      <c r="U79" s="765"/>
    </row>
    <row r="80" spans="2:21" s="805" customFormat="1" ht="11.25" customHeight="1" thickBot="1" x14ac:dyDescent="0.3">
      <c r="B80" s="806"/>
      <c r="C80" s="807"/>
      <c r="D80" s="807"/>
      <c r="E80" s="807"/>
      <c r="F80" s="807"/>
      <c r="G80" s="808"/>
      <c r="H80" s="809"/>
      <c r="I80" s="810"/>
      <c r="J80" s="809"/>
      <c r="K80" s="810"/>
      <c r="L80" s="810"/>
      <c r="M80" s="807"/>
      <c r="N80" s="810"/>
      <c r="O80" s="810"/>
      <c r="P80" s="810"/>
      <c r="Q80" s="811"/>
      <c r="R80" s="811"/>
      <c r="S80" s="811"/>
      <c r="T80" s="382"/>
      <c r="U80" s="810"/>
    </row>
    <row r="81" spans="2:21" s="396" customFormat="1" ht="15" x14ac:dyDescent="0.25">
      <c r="B81" s="408" t="s">
        <v>101</v>
      </c>
      <c r="C81" s="383"/>
      <c r="D81" s="383"/>
      <c r="E81" s="383"/>
      <c r="F81" s="383"/>
      <c r="G81" s="409"/>
      <c r="H81" s="400"/>
      <c r="I81" s="383"/>
      <c r="J81" s="410"/>
      <c r="K81" s="412"/>
      <c r="L81" s="383"/>
      <c r="M81" s="381"/>
      <c r="N81" s="383"/>
      <c r="O81" s="383"/>
      <c r="P81" s="383"/>
      <c r="Q81" s="402"/>
      <c r="R81" s="402"/>
      <c r="S81" s="403"/>
      <c r="T81" s="404"/>
      <c r="U81" s="404"/>
    </row>
    <row r="82" spans="2:21" s="109" customFormat="1" x14ac:dyDescent="0.25">
      <c r="B82" s="825" t="s">
        <v>102</v>
      </c>
      <c r="C82" s="826"/>
      <c r="D82" s="826"/>
      <c r="E82" s="826"/>
      <c r="F82" s="826"/>
      <c r="G82" s="13"/>
      <c r="H82" s="827"/>
      <c r="I82" s="285"/>
      <c r="J82" s="828"/>
      <c r="K82" s="829"/>
      <c r="L82" s="117"/>
      <c r="M82" s="118"/>
      <c r="N82" s="117"/>
      <c r="O82" s="117"/>
      <c r="P82" s="117"/>
      <c r="Q82" s="119"/>
      <c r="R82" s="119"/>
      <c r="S82" s="120"/>
      <c r="T82" s="390"/>
      <c r="U82" s="765"/>
    </row>
    <row r="83" spans="2:21" s="64" customFormat="1" x14ac:dyDescent="0.2">
      <c r="B83" s="413" t="s">
        <v>72</v>
      </c>
      <c r="C83" s="414" t="s">
        <v>61</v>
      </c>
      <c r="D83" s="414" t="s">
        <v>24</v>
      </c>
      <c r="E83" s="414" t="s">
        <v>65</v>
      </c>
      <c r="F83" s="414" t="s">
        <v>58</v>
      </c>
      <c r="G83" s="415">
        <v>1287</v>
      </c>
      <c r="H83" s="416">
        <v>889</v>
      </c>
      <c r="I83" s="22">
        <v>0</v>
      </c>
      <c r="J83" s="417">
        <v>7</v>
      </c>
      <c r="K83" s="8">
        <f t="shared" ref="K83" si="34">H83*1.27</f>
        <v>1129.03</v>
      </c>
      <c r="L83" s="5">
        <f t="shared" ref="L83" si="35">IF(K83&lt;=G83,K83,G83)</f>
        <v>1129.03</v>
      </c>
      <c r="M83" s="830">
        <f t="shared" ref="M83" si="36">N83-I83</f>
        <v>0</v>
      </c>
      <c r="N83" s="505">
        <f t="shared" ref="N83" si="37">I83/H83*L83</f>
        <v>0</v>
      </c>
      <c r="O83" s="5">
        <f t="shared" ref="O83" si="38">L83-H83+M83</f>
        <v>240.02999999999997</v>
      </c>
      <c r="P83" s="123">
        <f t="shared" ref="P83" si="39">O83*J83</f>
        <v>1680.2099999999998</v>
      </c>
      <c r="Q83" s="124">
        <f t="shared" ref="Q83" si="40">P83*12</f>
        <v>20162.519999999997</v>
      </c>
      <c r="R83" s="124">
        <f t="shared" ref="R83" si="41">Q83*0.2409</f>
        <v>4857.1510679999992</v>
      </c>
      <c r="S83" s="125">
        <f t="shared" ref="S83" si="42">Q83+R83</f>
        <v>25019.671067999996</v>
      </c>
    </row>
    <row r="84" spans="2:21" s="52" customFormat="1" x14ac:dyDescent="0.25">
      <c r="B84" s="407" t="s">
        <v>39</v>
      </c>
      <c r="C84" s="54"/>
      <c r="D84" s="54"/>
      <c r="E84" s="54"/>
      <c r="F84" s="54"/>
      <c r="G84" s="56"/>
      <c r="H84" s="6"/>
      <c r="I84" s="57"/>
      <c r="J84" s="405">
        <f>SUM(J83:J83)</f>
        <v>7</v>
      </c>
      <c r="K84" s="65"/>
      <c r="L84" s="7"/>
      <c r="M84" s="59"/>
      <c r="N84" s="57"/>
      <c r="O84" s="7"/>
      <c r="P84" s="57"/>
      <c r="Q84" s="60">
        <f t="shared" ref="Q84:S84" si="43">SUM(Q83:Q83)</f>
        <v>20162.519999999997</v>
      </c>
      <c r="R84" s="60">
        <f t="shared" si="43"/>
        <v>4857.1510679999992</v>
      </c>
      <c r="S84" s="61">
        <f t="shared" si="43"/>
        <v>25019.671067999996</v>
      </c>
      <c r="T84" s="390"/>
      <c r="U84" s="406"/>
    </row>
    <row r="85" spans="2:21" s="109" customFormat="1" x14ac:dyDescent="0.25">
      <c r="B85" s="831" t="s">
        <v>103</v>
      </c>
      <c r="C85" s="832"/>
      <c r="D85" s="832"/>
      <c r="E85" s="832"/>
      <c r="F85" s="832"/>
      <c r="G85" s="833"/>
      <c r="H85" s="834"/>
      <c r="I85" s="835"/>
      <c r="J85" s="836"/>
      <c r="K85" s="829"/>
      <c r="L85" s="117"/>
      <c r="M85" s="118"/>
      <c r="N85" s="117"/>
      <c r="O85" s="117"/>
      <c r="P85" s="117"/>
      <c r="Q85" s="119"/>
      <c r="R85" s="119"/>
      <c r="S85" s="120"/>
      <c r="T85" s="390"/>
      <c r="U85" s="765"/>
    </row>
    <row r="86" spans="2:21" s="66" customFormat="1" ht="15" customHeight="1" x14ac:dyDescent="0.2">
      <c r="B86" s="837" t="s">
        <v>81</v>
      </c>
      <c r="C86" s="822" t="s">
        <v>61</v>
      </c>
      <c r="D86" s="822" t="s">
        <v>80</v>
      </c>
      <c r="E86" s="822" t="s">
        <v>78</v>
      </c>
      <c r="F86" s="822" t="s">
        <v>58</v>
      </c>
      <c r="G86" s="411">
        <v>1093</v>
      </c>
      <c r="H86" s="14">
        <v>774</v>
      </c>
      <c r="I86" s="22">
        <v>0</v>
      </c>
      <c r="J86" s="417">
        <v>2.75</v>
      </c>
      <c r="K86" s="8">
        <f t="shared" ref="K86:K88" si="44">H86*1.27</f>
        <v>982.98</v>
      </c>
      <c r="L86" s="5">
        <f t="shared" ref="L86:L88" si="45">IF(K86&lt;=G86,K86,G86)</f>
        <v>982.98</v>
      </c>
      <c r="M86" s="830">
        <f t="shared" ref="M86:M88" si="46">N86-I86</f>
        <v>0</v>
      </c>
      <c r="N86" s="505">
        <f t="shared" ref="N86:N88" si="47">I86/H86*L86</f>
        <v>0</v>
      </c>
      <c r="O86" s="5">
        <f t="shared" ref="O86:O88" si="48">L86-H86+M86</f>
        <v>208.98000000000002</v>
      </c>
      <c r="P86" s="123">
        <f t="shared" ref="P86:P88" si="49">O86*J86</f>
        <v>574.69500000000005</v>
      </c>
      <c r="Q86" s="124">
        <f t="shared" ref="Q86:Q88" si="50">P86*12</f>
        <v>6896.34</v>
      </c>
      <c r="R86" s="124">
        <f t="shared" ref="R86:R88" si="51">Q86*0.2409</f>
        <v>1661.3283060000001</v>
      </c>
      <c r="S86" s="125">
        <f t="shared" ref="S86:S88" si="52">Q86+R86</f>
        <v>8557.6683059999996</v>
      </c>
    </row>
    <row r="87" spans="2:21" s="64" customFormat="1" x14ac:dyDescent="0.2">
      <c r="B87" s="824" t="s">
        <v>86</v>
      </c>
      <c r="C87" s="817" t="s">
        <v>69</v>
      </c>
      <c r="D87" s="822" t="s">
        <v>24</v>
      </c>
      <c r="E87" s="822" t="s">
        <v>83</v>
      </c>
      <c r="F87" s="822" t="s">
        <v>58</v>
      </c>
      <c r="G87" s="411">
        <v>996</v>
      </c>
      <c r="H87" s="14">
        <v>549</v>
      </c>
      <c r="I87" s="22">
        <v>0</v>
      </c>
      <c r="J87" s="417">
        <v>20</v>
      </c>
      <c r="K87" s="8">
        <f t="shared" si="44"/>
        <v>697.23</v>
      </c>
      <c r="L87" s="5">
        <f t="shared" si="45"/>
        <v>697.23</v>
      </c>
      <c r="M87" s="830">
        <f t="shared" si="46"/>
        <v>0</v>
      </c>
      <c r="N87" s="505">
        <f t="shared" si="47"/>
        <v>0</v>
      </c>
      <c r="O87" s="5">
        <f t="shared" si="48"/>
        <v>148.23000000000002</v>
      </c>
      <c r="P87" s="123">
        <f t="shared" si="49"/>
        <v>2964.6000000000004</v>
      </c>
      <c r="Q87" s="124">
        <f t="shared" si="50"/>
        <v>35575.200000000004</v>
      </c>
      <c r="R87" s="124">
        <f t="shared" si="51"/>
        <v>8570.0656800000015</v>
      </c>
      <c r="S87" s="125">
        <f t="shared" si="52"/>
        <v>44145.265680000004</v>
      </c>
    </row>
    <row r="88" spans="2:21" s="64" customFormat="1" x14ac:dyDescent="0.2">
      <c r="B88" s="838" t="s">
        <v>76</v>
      </c>
      <c r="C88" s="817" t="s">
        <v>61</v>
      </c>
      <c r="D88" s="822" t="s">
        <v>51</v>
      </c>
      <c r="E88" s="822" t="s">
        <v>74</v>
      </c>
      <c r="F88" s="822" t="s">
        <v>58</v>
      </c>
      <c r="G88" s="411">
        <v>1190</v>
      </c>
      <c r="H88" s="14">
        <v>549</v>
      </c>
      <c r="I88" s="22">
        <v>0</v>
      </c>
      <c r="J88" s="417">
        <v>5</v>
      </c>
      <c r="K88" s="8">
        <f t="shared" si="44"/>
        <v>697.23</v>
      </c>
      <c r="L88" s="5">
        <f t="shared" si="45"/>
        <v>697.23</v>
      </c>
      <c r="M88" s="830">
        <f t="shared" si="46"/>
        <v>0</v>
      </c>
      <c r="N88" s="505">
        <f t="shared" si="47"/>
        <v>0</v>
      </c>
      <c r="O88" s="5">
        <f t="shared" si="48"/>
        <v>148.23000000000002</v>
      </c>
      <c r="P88" s="123">
        <f t="shared" si="49"/>
        <v>741.15000000000009</v>
      </c>
      <c r="Q88" s="124">
        <f t="shared" si="50"/>
        <v>8893.8000000000011</v>
      </c>
      <c r="R88" s="124">
        <f t="shared" si="51"/>
        <v>2142.5164200000004</v>
      </c>
      <c r="S88" s="125">
        <f t="shared" si="52"/>
        <v>11036.316420000001</v>
      </c>
    </row>
    <row r="89" spans="2:21" s="52" customFormat="1" x14ac:dyDescent="0.25">
      <c r="B89" s="407" t="s">
        <v>39</v>
      </c>
      <c r="C89" s="54"/>
      <c r="D89" s="54"/>
      <c r="E89" s="54"/>
      <c r="F89" s="54"/>
      <c r="G89" s="56"/>
      <c r="H89" s="6"/>
      <c r="I89" s="57"/>
      <c r="J89" s="405">
        <f>SUM(J86:J88)</f>
        <v>27.75</v>
      </c>
      <c r="K89" s="65"/>
      <c r="L89" s="7"/>
      <c r="M89" s="59"/>
      <c r="N89" s="57"/>
      <c r="O89" s="7"/>
      <c r="P89" s="57"/>
      <c r="Q89" s="60">
        <f t="shared" ref="Q89:S89" si="53">SUM(Q86:Q88)</f>
        <v>51365.340000000011</v>
      </c>
      <c r="R89" s="60">
        <f t="shared" si="53"/>
        <v>12373.910406000001</v>
      </c>
      <c r="S89" s="61">
        <f t="shared" si="53"/>
        <v>63739.250406000006</v>
      </c>
      <c r="T89" s="390"/>
      <c r="U89" s="406"/>
    </row>
    <row r="90" spans="2:21" s="109" customFormat="1" x14ac:dyDescent="0.25">
      <c r="B90" s="831" t="s">
        <v>104</v>
      </c>
      <c r="C90" s="832"/>
      <c r="D90" s="832"/>
      <c r="E90" s="832"/>
      <c r="F90" s="832"/>
      <c r="G90" s="833"/>
      <c r="H90" s="834"/>
      <c r="I90" s="835"/>
      <c r="J90" s="836"/>
      <c r="K90" s="829"/>
      <c r="L90" s="117"/>
      <c r="M90" s="118"/>
      <c r="N90" s="117"/>
      <c r="O90" s="117"/>
      <c r="P90" s="117"/>
      <c r="Q90" s="119"/>
      <c r="R90" s="119"/>
      <c r="S90" s="120"/>
      <c r="T90" s="390"/>
      <c r="U90" s="765"/>
    </row>
    <row r="91" spans="2:21" s="64" customFormat="1" x14ac:dyDescent="0.2">
      <c r="B91" s="839" t="s">
        <v>97</v>
      </c>
      <c r="C91" s="817" t="s">
        <v>71</v>
      </c>
      <c r="D91" s="822" t="s">
        <v>54</v>
      </c>
      <c r="E91" s="822">
        <v>4</v>
      </c>
      <c r="F91" s="822" t="s">
        <v>58</v>
      </c>
      <c r="G91" s="411">
        <v>705</v>
      </c>
      <c r="H91" s="14">
        <v>408</v>
      </c>
      <c r="I91" s="22">
        <v>0</v>
      </c>
      <c r="J91" s="417">
        <v>5</v>
      </c>
      <c r="K91" s="8">
        <f t="shared" ref="K91:K92" si="54">H91*1.27</f>
        <v>518.16</v>
      </c>
      <c r="L91" s="5">
        <f t="shared" ref="L91:L92" si="55">IF(K91&lt;=G91,K91,G91)</f>
        <v>518.16</v>
      </c>
      <c r="M91" s="830">
        <f t="shared" ref="M91:M92" si="56">N91-I91</f>
        <v>0</v>
      </c>
      <c r="N91" s="505">
        <f t="shared" ref="N91:N92" si="57">I91/H91*L91</f>
        <v>0</v>
      </c>
      <c r="O91" s="5">
        <f t="shared" ref="O91:O92" si="58">L91-H91+M91</f>
        <v>110.15999999999997</v>
      </c>
      <c r="P91" s="123">
        <f t="shared" ref="P91:P92" si="59">O91*J91</f>
        <v>550.79999999999984</v>
      </c>
      <c r="Q91" s="124">
        <f t="shared" ref="Q91:Q92" si="60">P91*12</f>
        <v>6609.5999999999985</v>
      </c>
      <c r="R91" s="124">
        <f t="shared" ref="R91:R92" si="61">Q91*0.2409</f>
        <v>1592.2526399999997</v>
      </c>
      <c r="S91" s="125">
        <f t="shared" ref="S91:S92" si="62">Q91+R91</f>
        <v>8201.8526399999973</v>
      </c>
    </row>
    <row r="92" spans="2:21" s="64" customFormat="1" x14ac:dyDescent="0.2">
      <c r="B92" s="837" t="s">
        <v>100</v>
      </c>
      <c r="C92" s="817" t="s">
        <v>42</v>
      </c>
      <c r="D92" s="822" t="s">
        <v>80</v>
      </c>
      <c r="E92" s="822">
        <v>3</v>
      </c>
      <c r="F92" s="822">
        <v>1</v>
      </c>
      <c r="G92" s="411">
        <v>608</v>
      </c>
      <c r="H92" s="14">
        <v>389</v>
      </c>
      <c r="I92" s="22">
        <v>0</v>
      </c>
      <c r="J92" s="417">
        <v>3.75</v>
      </c>
      <c r="K92" s="8">
        <f t="shared" si="54"/>
        <v>494.03000000000003</v>
      </c>
      <c r="L92" s="5">
        <f t="shared" si="55"/>
        <v>494.03000000000003</v>
      </c>
      <c r="M92" s="830">
        <f t="shared" si="56"/>
        <v>0</v>
      </c>
      <c r="N92" s="505">
        <f t="shared" si="57"/>
        <v>0</v>
      </c>
      <c r="O92" s="5">
        <f t="shared" si="58"/>
        <v>105.03000000000003</v>
      </c>
      <c r="P92" s="123">
        <f t="shared" si="59"/>
        <v>393.86250000000013</v>
      </c>
      <c r="Q92" s="124">
        <f t="shared" si="60"/>
        <v>4726.3500000000013</v>
      </c>
      <c r="R92" s="124">
        <f t="shared" si="61"/>
        <v>1138.5777150000004</v>
      </c>
      <c r="S92" s="125">
        <f t="shared" si="62"/>
        <v>5864.9277150000016</v>
      </c>
    </row>
    <row r="93" spans="2:21" s="64" customFormat="1" x14ac:dyDescent="0.2">
      <c r="B93" s="407" t="s">
        <v>39</v>
      </c>
      <c r="C93" s="54"/>
      <c r="D93" s="54"/>
      <c r="E93" s="54"/>
      <c r="F93" s="54"/>
      <c r="G93" s="56"/>
      <c r="H93" s="6"/>
      <c r="I93" s="57"/>
      <c r="J93" s="405">
        <f>SUM(J91:J92)</f>
        <v>8.75</v>
      </c>
      <c r="K93" s="65"/>
      <c r="L93" s="7"/>
      <c r="M93" s="59"/>
      <c r="N93" s="57"/>
      <c r="O93" s="7"/>
      <c r="P93" s="57"/>
      <c r="Q93" s="60">
        <f t="shared" ref="Q93:S93" si="63">SUM(Q91:Q92)</f>
        <v>11335.95</v>
      </c>
      <c r="R93" s="60">
        <f t="shared" si="63"/>
        <v>2730.8303550000001</v>
      </c>
      <c r="S93" s="61">
        <f t="shared" si="63"/>
        <v>14066.780354999999</v>
      </c>
    </row>
    <row r="94" spans="2:21" s="109" customFormat="1" ht="13.5" thickBot="1" x14ac:dyDescent="0.3">
      <c r="B94" s="796" t="s">
        <v>105</v>
      </c>
      <c r="C94" s="797"/>
      <c r="D94" s="797"/>
      <c r="E94" s="797"/>
      <c r="F94" s="798"/>
      <c r="G94" s="799"/>
      <c r="H94" s="800"/>
      <c r="I94" s="798"/>
      <c r="J94" s="801">
        <f>J84+J89+J93</f>
        <v>43.5</v>
      </c>
      <c r="K94" s="840"/>
      <c r="L94" s="798"/>
      <c r="M94" s="798"/>
      <c r="N94" s="798"/>
      <c r="O94" s="798"/>
      <c r="P94" s="798"/>
      <c r="Q94" s="803">
        <f t="shared" ref="Q94:S94" si="64">Q84+Q89+Q93</f>
        <v>82863.810000000012</v>
      </c>
      <c r="R94" s="803">
        <f t="shared" si="64"/>
        <v>19961.891829</v>
      </c>
      <c r="S94" s="804">
        <f t="shared" si="64"/>
        <v>102825.701829</v>
      </c>
      <c r="T94" s="390"/>
      <c r="U94" s="765"/>
    </row>
    <row r="95" spans="2:21" s="805" customFormat="1" ht="11.25" customHeight="1" thickBot="1" x14ac:dyDescent="0.3">
      <c r="B95" s="806"/>
      <c r="C95" s="807"/>
      <c r="D95" s="807"/>
      <c r="E95" s="807"/>
      <c r="F95" s="807"/>
      <c r="G95" s="808"/>
      <c r="H95" s="809"/>
      <c r="I95" s="810"/>
      <c r="J95" s="809"/>
      <c r="K95" s="810"/>
      <c r="L95" s="810"/>
      <c r="M95" s="807"/>
      <c r="N95" s="810"/>
      <c r="O95" s="810"/>
      <c r="P95" s="810"/>
      <c r="Q95" s="811"/>
      <c r="R95" s="811"/>
      <c r="S95" s="811"/>
      <c r="T95" s="382"/>
      <c r="U95" s="810"/>
    </row>
    <row r="96" spans="2:21" s="396" customFormat="1" ht="15" x14ac:dyDescent="0.25">
      <c r="B96" s="408" t="s">
        <v>2</v>
      </c>
      <c r="C96" s="383"/>
      <c r="D96" s="383"/>
      <c r="E96" s="383"/>
      <c r="F96" s="383"/>
      <c r="G96" s="409"/>
      <c r="H96" s="400"/>
      <c r="I96" s="383"/>
      <c r="J96" s="410"/>
      <c r="K96" s="412"/>
      <c r="L96" s="383"/>
      <c r="M96" s="381"/>
      <c r="N96" s="383"/>
      <c r="O96" s="383"/>
      <c r="P96" s="383"/>
      <c r="Q96" s="402"/>
      <c r="R96" s="402"/>
      <c r="S96" s="403"/>
      <c r="T96" s="404"/>
      <c r="U96" s="404"/>
    </row>
    <row r="97" spans="2:21" s="109" customFormat="1" x14ac:dyDescent="0.25">
      <c r="B97" s="758" t="s">
        <v>19</v>
      </c>
      <c r="C97" s="283"/>
      <c r="D97" s="283"/>
      <c r="E97" s="283"/>
      <c r="F97" s="283"/>
      <c r="G97" s="812"/>
      <c r="H97" s="813"/>
      <c r="I97" s="283"/>
      <c r="J97" s="814"/>
      <c r="K97" s="841"/>
      <c r="L97" s="283"/>
      <c r="M97" s="815"/>
      <c r="N97" s="283"/>
      <c r="O97" s="283"/>
      <c r="P97" s="283"/>
      <c r="Q97" s="306"/>
      <c r="R97" s="306"/>
      <c r="S97" s="307"/>
      <c r="T97" s="390"/>
      <c r="U97" s="765"/>
    </row>
    <row r="98" spans="2:21" s="109" customFormat="1" x14ac:dyDescent="0.25">
      <c r="B98" s="669" t="s">
        <v>106</v>
      </c>
      <c r="C98" s="670" t="s">
        <v>107</v>
      </c>
      <c r="D98" s="670" t="s">
        <v>108</v>
      </c>
      <c r="E98" s="670" t="s">
        <v>109</v>
      </c>
      <c r="F98" s="670" t="s">
        <v>58</v>
      </c>
      <c r="G98" s="671">
        <v>2353</v>
      </c>
      <c r="H98" s="672">
        <v>2110</v>
      </c>
      <c r="I98" s="773">
        <v>0</v>
      </c>
      <c r="J98" s="842">
        <v>1</v>
      </c>
      <c r="K98" s="8">
        <f t="shared" si="19"/>
        <v>2679.7</v>
      </c>
      <c r="L98" s="5">
        <f>IF(K98&lt;=G98,K98,G98)</f>
        <v>2353</v>
      </c>
      <c r="M98" s="830">
        <f t="shared" ref="M98:M150" si="65">N98-I98</f>
        <v>0</v>
      </c>
      <c r="N98" s="505">
        <f t="shared" ref="N98:N150" si="66">I98/H98*L98</f>
        <v>0</v>
      </c>
      <c r="O98" s="5">
        <f t="shared" ref="O98:O150" si="67">L98-H98+M98</f>
        <v>243</v>
      </c>
      <c r="P98" s="123">
        <f t="shared" ref="P98:P150" si="68">O98*J98</f>
        <v>243</v>
      </c>
      <c r="Q98" s="124">
        <f t="shared" ref="Q98:Q150" si="69">P98*12</f>
        <v>2916</v>
      </c>
      <c r="R98" s="124">
        <f>Q98*0.2409</f>
        <v>702.46439999999996</v>
      </c>
      <c r="S98" s="125">
        <f t="shared" ref="S98:S150" si="70">Q98+R98</f>
        <v>3618.4643999999998</v>
      </c>
      <c r="T98" s="390"/>
      <c r="U98" s="765"/>
    </row>
    <row r="99" spans="2:21" s="109" customFormat="1" x14ac:dyDescent="0.25">
      <c r="B99" s="673" t="s">
        <v>110</v>
      </c>
      <c r="C99" s="674" t="s">
        <v>107</v>
      </c>
      <c r="D99" s="674" t="s">
        <v>111</v>
      </c>
      <c r="E99" s="674" t="s">
        <v>112</v>
      </c>
      <c r="F99" s="822" t="s">
        <v>58</v>
      </c>
      <c r="G99" s="677">
        <v>2264</v>
      </c>
      <c r="H99" s="505">
        <v>2063.16</v>
      </c>
      <c r="I99" s="773">
        <v>0</v>
      </c>
      <c r="J99" s="843">
        <v>1</v>
      </c>
      <c r="K99" s="8">
        <f t="shared" si="19"/>
        <v>2620.2131999999997</v>
      </c>
      <c r="L99" s="5">
        <f t="shared" ref="L99:L150" si="71">IF(K99&lt;=G99,K99,G99)</f>
        <v>2264</v>
      </c>
      <c r="M99" s="830">
        <f t="shared" si="65"/>
        <v>0</v>
      </c>
      <c r="N99" s="505">
        <f t="shared" si="66"/>
        <v>0</v>
      </c>
      <c r="O99" s="5">
        <f t="shared" si="67"/>
        <v>200.84000000000015</v>
      </c>
      <c r="P99" s="123">
        <f t="shared" si="68"/>
        <v>200.84000000000015</v>
      </c>
      <c r="Q99" s="124">
        <f t="shared" si="69"/>
        <v>2410.0800000000017</v>
      </c>
      <c r="R99" s="124">
        <f t="shared" ref="R99:R150" si="72">Q99*0.2409</f>
        <v>580.58827200000042</v>
      </c>
      <c r="S99" s="125">
        <f t="shared" si="70"/>
        <v>2990.6682720000022</v>
      </c>
      <c r="T99" s="390"/>
      <c r="U99" s="765"/>
    </row>
    <row r="100" spans="2:21" s="109" customFormat="1" x14ac:dyDescent="0.25">
      <c r="B100" s="669" t="s">
        <v>113</v>
      </c>
      <c r="C100" s="670" t="s">
        <v>107</v>
      </c>
      <c r="D100" s="670" t="s">
        <v>114</v>
      </c>
      <c r="E100" s="670" t="s">
        <v>112</v>
      </c>
      <c r="F100" s="670" t="s">
        <v>58</v>
      </c>
      <c r="G100" s="671">
        <v>2264</v>
      </c>
      <c r="H100" s="672">
        <v>1650</v>
      </c>
      <c r="I100" s="773">
        <v>0</v>
      </c>
      <c r="J100" s="842">
        <v>2</v>
      </c>
      <c r="K100" s="8">
        <f t="shared" si="19"/>
        <v>2095.5</v>
      </c>
      <c r="L100" s="5">
        <f t="shared" si="71"/>
        <v>2095.5</v>
      </c>
      <c r="M100" s="830">
        <f t="shared" si="65"/>
        <v>0</v>
      </c>
      <c r="N100" s="505">
        <f t="shared" si="66"/>
        <v>0</v>
      </c>
      <c r="O100" s="5">
        <f t="shared" si="67"/>
        <v>445.5</v>
      </c>
      <c r="P100" s="123">
        <f t="shared" si="68"/>
        <v>891</v>
      </c>
      <c r="Q100" s="124">
        <f t="shared" si="69"/>
        <v>10692</v>
      </c>
      <c r="R100" s="124">
        <f t="shared" si="72"/>
        <v>2575.7028</v>
      </c>
      <c r="S100" s="125">
        <f t="shared" si="70"/>
        <v>13267.702799999999</v>
      </c>
      <c r="T100" s="390"/>
      <c r="U100" s="765"/>
    </row>
    <row r="101" spans="2:21" s="109" customFormat="1" x14ac:dyDescent="0.2">
      <c r="B101" s="675" t="s">
        <v>115</v>
      </c>
      <c r="C101" s="676" t="s">
        <v>107</v>
      </c>
      <c r="D101" s="676" t="s">
        <v>116</v>
      </c>
      <c r="E101" s="676" t="s">
        <v>63</v>
      </c>
      <c r="F101" s="676">
        <v>3</v>
      </c>
      <c r="G101" s="677">
        <v>1647</v>
      </c>
      <c r="H101" s="678">
        <v>1406</v>
      </c>
      <c r="I101" s="773">
        <v>0</v>
      </c>
      <c r="J101" s="844">
        <v>2</v>
      </c>
      <c r="K101" s="8">
        <f t="shared" si="19"/>
        <v>1785.6200000000001</v>
      </c>
      <c r="L101" s="5">
        <f t="shared" si="71"/>
        <v>1647</v>
      </c>
      <c r="M101" s="830">
        <f t="shared" si="65"/>
        <v>0</v>
      </c>
      <c r="N101" s="505">
        <f t="shared" si="66"/>
        <v>0</v>
      </c>
      <c r="O101" s="5">
        <f t="shared" si="67"/>
        <v>241</v>
      </c>
      <c r="P101" s="123">
        <f t="shared" si="68"/>
        <v>482</v>
      </c>
      <c r="Q101" s="124">
        <f t="shared" si="69"/>
        <v>5784</v>
      </c>
      <c r="R101" s="124">
        <f t="shared" si="72"/>
        <v>1393.3656000000001</v>
      </c>
      <c r="S101" s="125">
        <f t="shared" si="70"/>
        <v>7177.3656000000001</v>
      </c>
      <c r="T101" s="390"/>
      <c r="U101" s="765"/>
    </row>
    <row r="102" spans="2:21" s="109" customFormat="1" x14ac:dyDescent="0.2">
      <c r="B102" s="675" t="s">
        <v>117</v>
      </c>
      <c r="C102" s="676" t="s">
        <v>107</v>
      </c>
      <c r="D102" s="676" t="s">
        <v>118</v>
      </c>
      <c r="E102" s="676" t="s">
        <v>99</v>
      </c>
      <c r="F102" s="676">
        <v>3</v>
      </c>
      <c r="G102" s="677">
        <v>1917</v>
      </c>
      <c r="H102" s="678">
        <v>1533</v>
      </c>
      <c r="I102" s="773">
        <v>0</v>
      </c>
      <c r="J102" s="844">
        <v>2</v>
      </c>
      <c r="K102" s="8">
        <f t="shared" si="19"/>
        <v>1946.91</v>
      </c>
      <c r="L102" s="5">
        <f t="shared" si="71"/>
        <v>1917</v>
      </c>
      <c r="M102" s="830">
        <f t="shared" si="65"/>
        <v>0</v>
      </c>
      <c r="N102" s="505">
        <f t="shared" si="66"/>
        <v>0</v>
      </c>
      <c r="O102" s="5">
        <f t="shared" si="67"/>
        <v>384</v>
      </c>
      <c r="P102" s="123">
        <f t="shared" si="68"/>
        <v>768</v>
      </c>
      <c r="Q102" s="124">
        <f t="shared" si="69"/>
        <v>9216</v>
      </c>
      <c r="R102" s="124">
        <f t="shared" si="72"/>
        <v>2220.1343999999999</v>
      </c>
      <c r="S102" s="125">
        <f t="shared" si="70"/>
        <v>11436.134399999999</v>
      </c>
      <c r="T102" s="390"/>
      <c r="U102" s="765"/>
    </row>
    <row r="103" spans="2:21" s="109" customFormat="1" x14ac:dyDescent="0.2">
      <c r="B103" s="679" t="s">
        <v>119</v>
      </c>
      <c r="C103" s="676" t="s">
        <v>23</v>
      </c>
      <c r="D103" s="676" t="s">
        <v>62</v>
      </c>
      <c r="E103" s="676" t="s">
        <v>99</v>
      </c>
      <c r="F103" s="676" t="s">
        <v>58</v>
      </c>
      <c r="G103" s="677">
        <v>1917</v>
      </c>
      <c r="H103" s="678">
        <v>1010.24</v>
      </c>
      <c r="I103" s="773">
        <v>0</v>
      </c>
      <c r="J103" s="844">
        <v>3</v>
      </c>
      <c r="K103" s="8">
        <f t="shared" si="19"/>
        <v>1283.0047999999999</v>
      </c>
      <c r="L103" s="5">
        <f t="shared" si="71"/>
        <v>1283.0047999999999</v>
      </c>
      <c r="M103" s="830">
        <f t="shared" si="65"/>
        <v>0</v>
      </c>
      <c r="N103" s="505">
        <f t="shared" si="66"/>
        <v>0</v>
      </c>
      <c r="O103" s="5">
        <f t="shared" si="67"/>
        <v>272.76479999999992</v>
      </c>
      <c r="P103" s="123">
        <f t="shared" si="68"/>
        <v>818.29439999999977</v>
      </c>
      <c r="Q103" s="124">
        <f t="shared" si="69"/>
        <v>9819.5327999999972</v>
      </c>
      <c r="R103" s="124">
        <f t="shared" si="72"/>
        <v>2365.5254515199995</v>
      </c>
      <c r="S103" s="125">
        <f t="shared" si="70"/>
        <v>12185.058251519997</v>
      </c>
      <c r="T103" s="390"/>
      <c r="U103" s="765"/>
    </row>
    <row r="104" spans="2:21" s="109" customFormat="1" x14ac:dyDescent="0.25">
      <c r="B104" s="680" t="s">
        <v>120</v>
      </c>
      <c r="C104" s="670" t="s">
        <v>107</v>
      </c>
      <c r="D104" s="670" t="s">
        <v>114</v>
      </c>
      <c r="E104" s="670" t="s">
        <v>99</v>
      </c>
      <c r="F104" s="670" t="s">
        <v>58</v>
      </c>
      <c r="G104" s="677">
        <v>1917</v>
      </c>
      <c r="H104" s="678">
        <v>1010.24</v>
      </c>
      <c r="I104" s="773">
        <v>0</v>
      </c>
      <c r="J104" s="844">
        <v>3</v>
      </c>
      <c r="K104" s="8">
        <f t="shared" si="19"/>
        <v>1283.0047999999999</v>
      </c>
      <c r="L104" s="5">
        <f t="shared" si="71"/>
        <v>1283.0047999999999</v>
      </c>
      <c r="M104" s="830">
        <f t="shared" si="65"/>
        <v>0</v>
      </c>
      <c r="N104" s="505">
        <f t="shared" si="66"/>
        <v>0</v>
      </c>
      <c r="O104" s="5">
        <f t="shared" si="67"/>
        <v>272.76479999999992</v>
      </c>
      <c r="P104" s="123">
        <f t="shared" si="68"/>
        <v>818.29439999999977</v>
      </c>
      <c r="Q104" s="124">
        <f t="shared" si="69"/>
        <v>9819.5327999999972</v>
      </c>
      <c r="R104" s="124">
        <f t="shared" si="72"/>
        <v>2365.5254515199995</v>
      </c>
      <c r="S104" s="125">
        <f t="shared" si="70"/>
        <v>12185.058251519997</v>
      </c>
      <c r="T104" s="390"/>
      <c r="U104" s="765"/>
    </row>
    <row r="105" spans="2:21" s="109" customFormat="1" x14ac:dyDescent="0.2">
      <c r="B105" s="675" t="s">
        <v>121</v>
      </c>
      <c r="C105" s="676" t="s">
        <v>107</v>
      </c>
      <c r="D105" s="676" t="s">
        <v>122</v>
      </c>
      <c r="E105" s="676" t="s">
        <v>63</v>
      </c>
      <c r="F105" s="676">
        <v>3</v>
      </c>
      <c r="G105" s="677">
        <v>1647</v>
      </c>
      <c r="H105" s="678">
        <v>1647</v>
      </c>
      <c r="I105" s="773">
        <v>0</v>
      </c>
      <c r="J105" s="844">
        <v>1</v>
      </c>
      <c r="K105" s="8">
        <f t="shared" si="19"/>
        <v>2091.69</v>
      </c>
      <c r="L105" s="5">
        <f t="shared" si="71"/>
        <v>1647</v>
      </c>
      <c r="M105" s="830">
        <f t="shared" si="65"/>
        <v>0</v>
      </c>
      <c r="N105" s="505">
        <f t="shared" si="66"/>
        <v>0</v>
      </c>
      <c r="O105" s="5">
        <f t="shared" si="67"/>
        <v>0</v>
      </c>
      <c r="P105" s="123">
        <f t="shared" si="68"/>
        <v>0</v>
      </c>
      <c r="Q105" s="124">
        <f t="shared" si="69"/>
        <v>0</v>
      </c>
      <c r="R105" s="124">
        <f t="shared" si="72"/>
        <v>0</v>
      </c>
      <c r="S105" s="125">
        <f t="shared" si="70"/>
        <v>0</v>
      </c>
      <c r="T105" s="390"/>
      <c r="U105" s="765"/>
    </row>
    <row r="106" spans="2:21" s="109" customFormat="1" x14ac:dyDescent="0.25">
      <c r="B106" s="669" t="s">
        <v>123</v>
      </c>
      <c r="C106" s="670" t="s">
        <v>23</v>
      </c>
      <c r="D106" s="670" t="s">
        <v>122</v>
      </c>
      <c r="E106" s="670" t="s">
        <v>63</v>
      </c>
      <c r="F106" s="681">
        <v>3</v>
      </c>
      <c r="G106" s="677">
        <v>1647</v>
      </c>
      <c r="H106" s="672">
        <v>1495</v>
      </c>
      <c r="I106" s="773">
        <v>0</v>
      </c>
      <c r="J106" s="842">
        <v>1</v>
      </c>
      <c r="K106" s="8">
        <f t="shared" si="19"/>
        <v>1898.65</v>
      </c>
      <c r="L106" s="5">
        <f t="shared" si="71"/>
        <v>1647</v>
      </c>
      <c r="M106" s="830">
        <f t="shared" si="65"/>
        <v>0</v>
      </c>
      <c r="N106" s="505">
        <f t="shared" si="66"/>
        <v>0</v>
      </c>
      <c r="O106" s="5">
        <f t="shared" si="67"/>
        <v>152</v>
      </c>
      <c r="P106" s="123">
        <f t="shared" si="68"/>
        <v>152</v>
      </c>
      <c r="Q106" s="124">
        <f t="shared" si="69"/>
        <v>1824</v>
      </c>
      <c r="R106" s="124">
        <f t="shared" si="72"/>
        <v>439.40160000000003</v>
      </c>
      <c r="S106" s="125">
        <f t="shared" si="70"/>
        <v>2263.4016000000001</v>
      </c>
      <c r="T106" s="390"/>
      <c r="U106" s="765"/>
    </row>
    <row r="107" spans="2:21" s="109" customFormat="1" x14ac:dyDescent="0.25">
      <c r="B107" s="669" t="s">
        <v>124</v>
      </c>
      <c r="C107" s="670" t="s">
        <v>23</v>
      </c>
      <c r="D107" s="670" t="s">
        <v>122</v>
      </c>
      <c r="E107" s="670" t="s">
        <v>63</v>
      </c>
      <c r="F107" s="670">
        <v>3</v>
      </c>
      <c r="G107" s="677">
        <v>1647</v>
      </c>
      <c r="H107" s="672">
        <v>1643.42</v>
      </c>
      <c r="I107" s="773">
        <v>0</v>
      </c>
      <c r="J107" s="842">
        <v>2</v>
      </c>
      <c r="K107" s="8">
        <f t="shared" si="19"/>
        <v>2087.1433999999999</v>
      </c>
      <c r="L107" s="5">
        <f t="shared" si="71"/>
        <v>1647</v>
      </c>
      <c r="M107" s="830">
        <f t="shared" si="65"/>
        <v>0</v>
      </c>
      <c r="N107" s="505">
        <f t="shared" si="66"/>
        <v>0</v>
      </c>
      <c r="O107" s="5">
        <f t="shared" si="67"/>
        <v>3.5799999999999272</v>
      </c>
      <c r="P107" s="123">
        <f t="shared" si="68"/>
        <v>7.1599999999998545</v>
      </c>
      <c r="Q107" s="124">
        <f t="shared" si="69"/>
        <v>85.919999999998254</v>
      </c>
      <c r="R107" s="124">
        <f t="shared" si="72"/>
        <v>20.698127999999581</v>
      </c>
      <c r="S107" s="125">
        <f t="shared" si="70"/>
        <v>106.61812799999784</v>
      </c>
      <c r="T107" s="390"/>
      <c r="U107" s="765"/>
    </row>
    <row r="108" spans="2:21" s="109" customFormat="1" x14ac:dyDescent="0.25">
      <c r="B108" s="669" t="s">
        <v>124</v>
      </c>
      <c r="C108" s="670" t="s">
        <v>23</v>
      </c>
      <c r="D108" s="670" t="s">
        <v>122</v>
      </c>
      <c r="E108" s="670" t="s">
        <v>63</v>
      </c>
      <c r="F108" s="670" t="s">
        <v>58</v>
      </c>
      <c r="G108" s="677">
        <v>1647</v>
      </c>
      <c r="H108" s="672">
        <v>1450</v>
      </c>
      <c r="I108" s="773">
        <v>0</v>
      </c>
      <c r="J108" s="842">
        <v>2</v>
      </c>
      <c r="K108" s="8">
        <f t="shared" si="19"/>
        <v>1841.5</v>
      </c>
      <c r="L108" s="5">
        <f t="shared" si="71"/>
        <v>1647</v>
      </c>
      <c r="M108" s="830">
        <f t="shared" si="65"/>
        <v>0</v>
      </c>
      <c r="N108" s="505">
        <f t="shared" si="66"/>
        <v>0</v>
      </c>
      <c r="O108" s="5">
        <f t="shared" si="67"/>
        <v>197</v>
      </c>
      <c r="P108" s="123">
        <f t="shared" si="68"/>
        <v>394</v>
      </c>
      <c r="Q108" s="124">
        <f t="shared" si="69"/>
        <v>4728</v>
      </c>
      <c r="R108" s="124">
        <f t="shared" si="72"/>
        <v>1138.9752000000001</v>
      </c>
      <c r="S108" s="125">
        <f t="shared" si="70"/>
        <v>5866.9751999999999</v>
      </c>
      <c r="T108" s="390"/>
      <c r="U108" s="765"/>
    </row>
    <row r="109" spans="2:21" s="109" customFormat="1" x14ac:dyDescent="0.2">
      <c r="B109" s="675" t="s">
        <v>124</v>
      </c>
      <c r="C109" s="676" t="s">
        <v>23</v>
      </c>
      <c r="D109" s="676" t="s">
        <v>122</v>
      </c>
      <c r="E109" s="676" t="s">
        <v>63</v>
      </c>
      <c r="F109" s="676" t="s">
        <v>58</v>
      </c>
      <c r="G109" s="677">
        <v>1647</v>
      </c>
      <c r="H109" s="678">
        <v>1636</v>
      </c>
      <c r="I109" s="773">
        <v>0</v>
      </c>
      <c r="J109" s="844">
        <v>2</v>
      </c>
      <c r="K109" s="8">
        <f t="shared" si="19"/>
        <v>2077.7200000000003</v>
      </c>
      <c r="L109" s="5">
        <f t="shared" si="71"/>
        <v>1647</v>
      </c>
      <c r="M109" s="830">
        <f t="shared" si="65"/>
        <v>0</v>
      </c>
      <c r="N109" s="505">
        <f t="shared" si="66"/>
        <v>0</v>
      </c>
      <c r="O109" s="5">
        <f t="shared" si="67"/>
        <v>11</v>
      </c>
      <c r="P109" s="123">
        <f t="shared" si="68"/>
        <v>22</v>
      </c>
      <c r="Q109" s="124">
        <f t="shared" si="69"/>
        <v>264</v>
      </c>
      <c r="R109" s="124">
        <f t="shared" si="72"/>
        <v>63.5976</v>
      </c>
      <c r="S109" s="125">
        <f t="shared" si="70"/>
        <v>327.5976</v>
      </c>
      <c r="T109" s="390"/>
      <c r="U109" s="765"/>
    </row>
    <row r="110" spans="2:21" s="109" customFormat="1" x14ac:dyDescent="0.2">
      <c r="B110" s="675" t="s">
        <v>125</v>
      </c>
      <c r="C110" s="676" t="s">
        <v>23</v>
      </c>
      <c r="D110" s="676" t="s">
        <v>122</v>
      </c>
      <c r="E110" s="676" t="s">
        <v>63</v>
      </c>
      <c r="F110" s="676">
        <v>3</v>
      </c>
      <c r="G110" s="677">
        <v>1647</v>
      </c>
      <c r="H110" s="678">
        <v>622.51</v>
      </c>
      <c r="I110" s="773">
        <v>0</v>
      </c>
      <c r="J110" s="844">
        <v>1</v>
      </c>
      <c r="K110" s="8">
        <f t="shared" si="19"/>
        <v>790.58770000000004</v>
      </c>
      <c r="L110" s="5">
        <f t="shared" si="71"/>
        <v>790.58770000000004</v>
      </c>
      <c r="M110" s="830">
        <f t="shared" si="65"/>
        <v>0</v>
      </c>
      <c r="N110" s="505">
        <f t="shared" si="66"/>
        <v>0</v>
      </c>
      <c r="O110" s="5">
        <f t="shared" si="67"/>
        <v>168.07770000000005</v>
      </c>
      <c r="P110" s="123">
        <f t="shared" si="68"/>
        <v>168.07770000000005</v>
      </c>
      <c r="Q110" s="124">
        <f t="shared" si="69"/>
        <v>2016.9324000000006</v>
      </c>
      <c r="R110" s="124">
        <f t="shared" si="72"/>
        <v>485.87901516000016</v>
      </c>
      <c r="S110" s="125">
        <f t="shared" si="70"/>
        <v>2502.8114151600007</v>
      </c>
      <c r="T110" s="390"/>
      <c r="U110" s="765"/>
    </row>
    <row r="111" spans="2:21" s="109" customFormat="1" ht="25.5" x14ac:dyDescent="0.2">
      <c r="B111" s="675" t="s">
        <v>126</v>
      </c>
      <c r="C111" s="676" t="s">
        <v>107</v>
      </c>
      <c r="D111" s="676" t="s">
        <v>127</v>
      </c>
      <c r="E111" s="676" t="s">
        <v>67</v>
      </c>
      <c r="F111" s="676">
        <v>3</v>
      </c>
      <c r="G111" s="677">
        <v>1382</v>
      </c>
      <c r="H111" s="5">
        <v>1233</v>
      </c>
      <c r="I111" s="123">
        <v>0</v>
      </c>
      <c r="J111" s="844">
        <v>2</v>
      </c>
      <c r="K111" s="8">
        <f t="shared" ref="K111:K150" si="73">H111*1.27</f>
        <v>1565.91</v>
      </c>
      <c r="L111" s="5">
        <f t="shared" si="71"/>
        <v>1382</v>
      </c>
      <c r="M111" s="830">
        <f t="shared" si="65"/>
        <v>0</v>
      </c>
      <c r="N111" s="505">
        <f t="shared" si="66"/>
        <v>0</v>
      </c>
      <c r="O111" s="5">
        <f t="shared" si="67"/>
        <v>149</v>
      </c>
      <c r="P111" s="123">
        <f t="shared" si="68"/>
        <v>298</v>
      </c>
      <c r="Q111" s="124">
        <f t="shared" si="69"/>
        <v>3576</v>
      </c>
      <c r="R111" s="124">
        <f t="shared" si="72"/>
        <v>861.45839999999998</v>
      </c>
      <c r="S111" s="125">
        <f t="shared" si="70"/>
        <v>4437.4583999999995</v>
      </c>
      <c r="T111" s="390"/>
      <c r="U111" s="765"/>
    </row>
    <row r="112" spans="2:21" s="109" customFormat="1" ht="25.5" x14ac:dyDescent="0.2">
      <c r="B112" s="675" t="s">
        <v>128</v>
      </c>
      <c r="C112" s="676" t="s">
        <v>23</v>
      </c>
      <c r="D112" s="676" t="s">
        <v>24</v>
      </c>
      <c r="E112" s="676" t="s">
        <v>65</v>
      </c>
      <c r="F112" s="676">
        <v>3</v>
      </c>
      <c r="G112" s="677">
        <v>940</v>
      </c>
      <c r="H112" s="5">
        <v>498.01</v>
      </c>
      <c r="I112" s="123">
        <v>0</v>
      </c>
      <c r="J112" s="844">
        <v>1</v>
      </c>
      <c r="K112" s="8">
        <f t="shared" si="73"/>
        <v>632.47270000000003</v>
      </c>
      <c r="L112" s="5">
        <f t="shared" si="71"/>
        <v>632.47270000000003</v>
      </c>
      <c r="M112" s="830">
        <f t="shared" si="65"/>
        <v>0</v>
      </c>
      <c r="N112" s="505">
        <f t="shared" si="66"/>
        <v>0</v>
      </c>
      <c r="O112" s="5">
        <f t="shared" si="67"/>
        <v>134.46270000000004</v>
      </c>
      <c r="P112" s="123">
        <f t="shared" si="68"/>
        <v>134.46270000000004</v>
      </c>
      <c r="Q112" s="124">
        <f t="shared" si="69"/>
        <v>1613.5524000000005</v>
      </c>
      <c r="R112" s="124">
        <f t="shared" si="72"/>
        <v>388.70477316000012</v>
      </c>
      <c r="S112" s="125">
        <f t="shared" si="70"/>
        <v>2002.2571731600005</v>
      </c>
      <c r="T112" s="390"/>
      <c r="U112" s="765"/>
    </row>
    <row r="113" spans="2:21" s="109" customFormat="1" x14ac:dyDescent="0.2">
      <c r="B113" s="675" t="s">
        <v>129</v>
      </c>
      <c r="C113" s="676" t="s">
        <v>107</v>
      </c>
      <c r="D113" s="676" t="s">
        <v>130</v>
      </c>
      <c r="E113" s="676" t="s">
        <v>65</v>
      </c>
      <c r="F113" s="676">
        <v>1</v>
      </c>
      <c r="G113" s="677">
        <v>940</v>
      </c>
      <c r="H113" s="5">
        <v>485</v>
      </c>
      <c r="I113" s="123">
        <v>207.33750000000001</v>
      </c>
      <c r="J113" s="844">
        <v>44.5</v>
      </c>
      <c r="K113" s="8">
        <f t="shared" si="73"/>
        <v>615.95000000000005</v>
      </c>
      <c r="L113" s="5">
        <f t="shared" si="71"/>
        <v>615.95000000000005</v>
      </c>
      <c r="M113" s="830">
        <f t="shared" si="65"/>
        <v>55.981124999999992</v>
      </c>
      <c r="N113" s="505">
        <f t="shared" si="66"/>
        <v>263.318625</v>
      </c>
      <c r="O113" s="5">
        <f t="shared" si="67"/>
        <v>186.93112500000004</v>
      </c>
      <c r="P113" s="123">
        <f t="shared" si="68"/>
        <v>8318.4350625000025</v>
      </c>
      <c r="Q113" s="124">
        <f t="shared" si="69"/>
        <v>99821.220750000037</v>
      </c>
      <c r="R113" s="124">
        <f t="shared" si="72"/>
        <v>24046.93207867501</v>
      </c>
      <c r="S113" s="125">
        <f t="shared" si="70"/>
        <v>123868.15282867505</v>
      </c>
      <c r="T113" s="390"/>
      <c r="U113" s="765"/>
    </row>
    <row r="114" spans="2:21" s="109" customFormat="1" x14ac:dyDescent="0.25">
      <c r="B114" s="682" t="s">
        <v>131</v>
      </c>
      <c r="C114" s="683" t="s">
        <v>107</v>
      </c>
      <c r="D114" s="683" t="s">
        <v>130</v>
      </c>
      <c r="E114" s="683" t="s">
        <v>65</v>
      </c>
      <c r="F114" s="683">
        <v>2</v>
      </c>
      <c r="G114" s="677">
        <v>1115</v>
      </c>
      <c r="H114" s="5">
        <v>527</v>
      </c>
      <c r="I114" s="123">
        <v>225.29249999999999</v>
      </c>
      <c r="J114" s="844">
        <v>15</v>
      </c>
      <c r="K114" s="8">
        <f t="shared" si="73"/>
        <v>669.29</v>
      </c>
      <c r="L114" s="5">
        <f t="shared" si="71"/>
        <v>669.29</v>
      </c>
      <c r="M114" s="830">
        <f t="shared" si="65"/>
        <v>60.828974999999986</v>
      </c>
      <c r="N114" s="505">
        <f t="shared" si="66"/>
        <v>286.12147499999998</v>
      </c>
      <c r="O114" s="5">
        <f t="shared" si="67"/>
        <v>203.11897499999995</v>
      </c>
      <c r="P114" s="123">
        <f t="shared" si="68"/>
        <v>3046.7846249999993</v>
      </c>
      <c r="Q114" s="124">
        <f t="shared" si="69"/>
        <v>36561.415499999988</v>
      </c>
      <c r="R114" s="124">
        <f t="shared" si="72"/>
        <v>8807.644993949998</v>
      </c>
      <c r="S114" s="125">
        <f t="shared" si="70"/>
        <v>45369.06049394999</v>
      </c>
      <c r="T114" s="390"/>
      <c r="U114" s="765"/>
    </row>
    <row r="115" spans="2:21" s="109" customFormat="1" x14ac:dyDescent="0.25">
      <c r="B115" s="682" t="s">
        <v>131</v>
      </c>
      <c r="C115" s="683" t="s">
        <v>107</v>
      </c>
      <c r="D115" s="683" t="s">
        <v>130</v>
      </c>
      <c r="E115" s="683" t="s">
        <v>65</v>
      </c>
      <c r="F115" s="683">
        <v>3</v>
      </c>
      <c r="G115" s="677">
        <v>1287</v>
      </c>
      <c r="H115" s="5">
        <v>581</v>
      </c>
      <c r="I115" s="123">
        <v>248.3775</v>
      </c>
      <c r="J115" s="844">
        <v>6.5</v>
      </c>
      <c r="K115" s="8">
        <f t="shared" si="73"/>
        <v>737.87</v>
      </c>
      <c r="L115" s="5">
        <f t="shared" si="71"/>
        <v>737.87</v>
      </c>
      <c r="M115" s="830">
        <f t="shared" si="65"/>
        <v>67.061924999999974</v>
      </c>
      <c r="N115" s="505">
        <f t="shared" si="66"/>
        <v>315.43942499999997</v>
      </c>
      <c r="O115" s="5">
        <f t="shared" si="67"/>
        <v>223.93192499999998</v>
      </c>
      <c r="P115" s="123">
        <f t="shared" si="68"/>
        <v>1455.5575124999998</v>
      </c>
      <c r="Q115" s="124">
        <f t="shared" si="69"/>
        <v>17466.690149999999</v>
      </c>
      <c r="R115" s="124">
        <f t="shared" si="72"/>
        <v>4207.7256571349999</v>
      </c>
      <c r="S115" s="125">
        <f t="shared" si="70"/>
        <v>21674.415807134999</v>
      </c>
      <c r="T115" s="390"/>
      <c r="U115" s="765"/>
    </row>
    <row r="116" spans="2:21" s="109" customFormat="1" x14ac:dyDescent="0.25">
      <c r="B116" s="682" t="s">
        <v>132</v>
      </c>
      <c r="C116" s="683" t="s">
        <v>107</v>
      </c>
      <c r="D116" s="683" t="s">
        <v>130</v>
      </c>
      <c r="E116" s="683" t="s">
        <v>65</v>
      </c>
      <c r="F116" s="683">
        <v>2</v>
      </c>
      <c r="G116" s="677">
        <v>1115</v>
      </c>
      <c r="H116" s="5">
        <v>623</v>
      </c>
      <c r="I116" s="123">
        <v>266.33249999999998</v>
      </c>
      <c r="J116" s="844">
        <v>1</v>
      </c>
      <c r="K116" s="8">
        <f t="shared" si="73"/>
        <v>791.21</v>
      </c>
      <c r="L116" s="5">
        <f t="shared" si="71"/>
        <v>791.21</v>
      </c>
      <c r="M116" s="830">
        <f t="shared" si="65"/>
        <v>71.909775000000025</v>
      </c>
      <c r="N116" s="505">
        <f t="shared" si="66"/>
        <v>338.24227500000001</v>
      </c>
      <c r="O116" s="5">
        <f t="shared" si="67"/>
        <v>240.11977500000006</v>
      </c>
      <c r="P116" s="123">
        <f t="shared" si="68"/>
        <v>240.11977500000006</v>
      </c>
      <c r="Q116" s="124">
        <f t="shared" si="69"/>
        <v>2881.4373000000005</v>
      </c>
      <c r="R116" s="124">
        <f t="shared" si="72"/>
        <v>694.13824557000009</v>
      </c>
      <c r="S116" s="125">
        <f t="shared" si="70"/>
        <v>3575.5755455700005</v>
      </c>
      <c r="T116" s="390"/>
      <c r="U116" s="765"/>
    </row>
    <row r="117" spans="2:21" s="109" customFormat="1" x14ac:dyDescent="0.25">
      <c r="B117" s="682" t="s">
        <v>132</v>
      </c>
      <c r="C117" s="683" t="s">
        <v>107</v>
      </c>
      <c r="D117" s="683" t="s">
        <v>130</v>
      </c>
      <c r="E117" s="683" t="s">
        <v>65</v>
      </c>
      <c r="F117" s="683">
        <v>3</v>
      </c>
      <c r="G117" s="677">
        <v>1287</v>
      </c>
      <c r="H117" s="5">
        <v>699</v>
      </c>
      <c r="I117" s="123">
        <v>298.82249999999999</v>
      </c>
      <c r="J117" s="844">
        <v>16.25</v>
      </c>
      <c r="K117" s="8">
        <f t="shared" si="73"/>
        <v>887.73</v>
      </c>
      <c r="L117" s="5">
        <f t="shared" si="71"/>
        <v>887.73</v>
      </c>
      <c r="M117" s="830">
        <f t="shared" si="65"/>
        <v>80.682074999999998</v>
      </c>
      <c r="N117" s="505">
        <f t="shared" si="66"/>
        <v>379.50457499999999</v>
      </c>
      <c r="O117" s="5">
        <f t="shared" si="67"/>
        <v>269.41207500000002</v>
      </c>
      <c r="P117" s="123">
        <f t="shared" si="68"/>
        <v>4377.9462187500003</v>
      </c>
      <c r="Q117" s="124">
        <f t="shared" si="69"/>
        <v>52535.354625000007</v>
      </c>
      <c r="R117" s="124">
        <f t="shared" si="72"/>
        <v>12655.766929162502</v>
      </c>
      <c r="S117" s="125">
        <f t="shared" si="70"/>
        <v>65191.121554162513</v>
      </c>
      <c r="T117" s="390"/>
      <c r="U117" s="765"/>
    </row>
    <row r="118" spans="2:21" s="109" customFormat="1" x14ac:dyDescent="0.25">
      <c r="B118" s="684" t="s">
        <v>133</v>
      </c>
      <c r="C118" s="683" t="s">
        <v>107</v>
      </c>
      <c r="D118" s="683" t="s">
        <v>130</v>
      </c>
      <c r="E118" s="683" t="s">
        <v>65</v>
      </c>
      <c r="F118" s="683">
        <v>2</v>
      </c>
      <c r="G118" s="677">
        <v>1115</v>
      </c>
      <c r="H118" s="5">
        <v>647</v>
      </c>
      <c r="I118" s="123">
        <v>276.59249999999997</v>
      </c>
      <c r="J118" s="844">
        <v>3</v>
      </c>
      <c r="K118" s="8">
        <f t="shared" si="73"/>
        <v>821.69</v>
      </c>
      <c r="L118" s="5">
        <f t="shared" si="71"/>
        <v>821.69</v>
      </c>
      <c r="M118" s="830">
        <f t="shared" si="65"/>
        <v>74.679975000000013</v>
      </c>
      <c r="N118" s="505">
        <f t="shared" si="66"/>
        <v>351.27247499999999</v>
      </c>
      <c r="O118" s="5">
        <f t="shared" si="67"/>
        <v>249.36997500000007</v>
      </c>
      <c r="P118" s="123">
        <f t="shared" si="68"/>
        <v>748.1099250000002</v>
      </c>
      <c r="Q118" s="124">
        <f t="shared" si="69"/>
        <v>8977.3191000000024</v>
      </c>
      <c r="R118" s="124">
        <f t="shared" si="72"/>
        <v>2162.6361711900008</v>
      </c>
      <c r="S118" s="125">
        <f t="shared" si="70"/>
        <v>11139.955271190003</v>
      </c>
      <c r="T118" s="390"/>
      <c r="U118" s="765"/>
    </row>
    <row r="119" spans="2:21" s="109" customFormat="1" ht="25.5" x14ac:dyDescent="0.25">
      <c r="B119" s="682" t="s">
        <v>134</v>
      </c>
      <c r="C119" s="683" t="s">
        <v>107</v>
      </c>
      <c r="D119" s="683" t="s">
        <v>127</v>
      </c>
      <c r="E119" s="683" t="s">
        <v>67</v>
      </c>
      <c r="F119" s="683">
        <v>3</v>
      </c>
      <c r="G119" s="677">
        <v>1382</v>
      </c>
      <c r="H119" s="5">
        <v>699</v>
      </c>
      <c r="I119" s="123">
        <v>298.82249999999999</v>
      </c>
      <c r="J119" s="844">
        <v>9</v>
      </c>
      <c r="K119" s="8">
        <f t="shared" si="73"/>
        <v>887.73</v>
      </c>
      <c r="L119" s="5">
        <f t="shared" si="71"/>
        <v>887.73</v>
      </c>
      <c r="M119" s="830">
        <f t="shared" si="65"/>
        <v>80.682074999999998</v>
      </c>
      <c r="N119" s="505">
        <f t="shared" si="66"/>
        <v>379.50457499999999</v>
      </c>
      <c r="O119" s="5">
        <f t="shared" si="67"/>
        <v>269.41207500000002</v>
      </c>
      <c r="P119" s="123">
        <f t="shared" si="68"/>
        <v>2424.7086750000003</v>
      </c>
      <c r="Q119" s="124">
        <f t="shared" si="69"/>
        <v>29096.504100000006</v>
      </c>
      <c r="R119" s="124">
        <f t="shared" si="72"/>
        <v>7009.3478376900011</v>
      </c>
      <c r="S119" s="125">
        <f t="shared" si="70"/>
        <v>36105.851937690008</v>
      </c>
      <c r="T119" s="390"/>
      <c r="U119" s="765"/>
    </row>
    <row r="120" spans="2:21" s="109" customFormat="1" x14ac:dyDescent="0.25">
      <c r="B120" s="682" t="s">
        <v>135</v>
      </c>
      <c r="C120" s="683" t="s">
        <v>107</v>
      </c>
      <c r="D120" s="683" t="s">
        <v>130</v>
      </c>
      <c r="E120" s="683" t="s">
        <v>65</v>
      </c>
      <c r="F120" s="683">
        <v>3</v>
      </c>
      <c r="G120" s="677">
        <v>1115</v>
      </c>
      <c r="H120" s="5">
        <v>777</v>
      </c>
      <c r="I120" s="123">
        <v>332.16750000000002</v>
      </c>
      <c r="J120" s="844">
        <v>4.25</v>
      </c>
      <c r="K120" s="8">
        <f t="shared" si="73"/>
        <v>986.79</v>
      </c>
      <c r="L120" s="5">
        <f t="shared" si="71"/>
        <v>986.79</v>
      </c>
      <c r="M120" s="830">
        <f t="shared" si="65"/>
        <v>89.685225000000003</v>
      </c>
      <c r="N120" s="505">
        <f t="shared" si="66"/>
        <v>421.85272500000002</v>
      </c>
      <c r="O120" s="5">
        <f t="shared" si="67"/>
        <v>299.47522499999997</v>
      </c>
      <c r="P120" s="123">
        <f t="shared" si="68"/>
        <v>1272.7697062499999</v>
      </c>
      <c r="Q120" s="124">
        <f t="shared" si="69"/>
        <v>15273.236474999998</v>
      </c>
      <c r="R120" s="124">
        <f t="shared" si="72"/>
        <v>3679.3226668274997</v>
      </c>
      <c r="S120" s="125">
        <f t="shared" si="70"/>
        <v>18952.559141827496</v>
      </c>
      <c r="T120" s="390"/>
      <c r="U120" s="765"/>
    </row>
    <row r="121" spans="2:21" s="109" customFormat="1" x14ac:dyDescent="0.25">
      <c r="B121" s="682" t="s">
        <v>136</v>
      </c>
      <c r="C121" s="683" t="s">
        <v>107</v>
      </c>
      <c r="D121" s="683" t="s">
        <v>127</v>
      </c>
      <c r="E121" s="683" t="s">
        <v>67</v>
      </c>
      <c r="F121" s="683">
        <v>3</v>
      </c>
      <c r="G121" s="677">
        <v>1382</v>
      </c>
      <c r="H121" s="5">
        <v>806</v>
      </c>
      <c r="I121" s="123">
        <v>344.565</v>
      </c>
      <c r="J121" s="844">
        <v>5.25</v>
      </c>
      <c r="K121" s="8">
        <f t="shared" si="73"/>
        <v>1023.62</v>
      </c>
      <c r="L121" s="5">
        <f t="shared" si="71"/>
        <v>1023.62</v>
      </c>
      <c r="M121" s="830">
        <f t="shared" si="65"/>
        <v>93.032550000000015</v>
      </c>
      <c r="N121" s="505">
        <f t="shared" si="66"/>
        <v>437.59755000000001</v>
      </c>
      <c r="O121" s="5">
        <f t="shared" si="67"/>
        <v>310.65255000000002</v>
      </c>
      <c r="P121" s="123">
        <f t="shared" si="68"/>
        <v>1630.9258875</v>
      </c>
      <c r="Q121" s="124">
        <f t="shared" si="69"/>
        <v>19571.110650000002</v>
      </c>
      <c r="R121" s="124">
        <f t="shared" si="72"/>
        <v>4714.6805555850005</v>
      </c>
      <c r="S121" s="125">
        <f t="shared" si="70"/>
        <v>24285.791205585003</v>
      </c>
      <c r="T121" s="390"/>
      <c r="U121" s="765"/>
    </row>
    <row r="122" spans="2:21" s="109" customFormat="1" x14ac:dyDescent="0.25">
      <c r="B122" s="682" t="s">
        <v>137</v>
      </c>
      <c r="C122" s="683" t="s">
        <v>107</v>
      </c>
      <c r="D122" s="683" t="s">
        <v>127</v>
      </c>
      <c r="E122" s="683" t="s">
        <v>67</v>
      </c>
      <c r="F122" s="683">
        <v>3</v>
      </c>
      <c r="G122" s="677">
        <v>1382</v>
      </c>
      <c r="H122" s="5">
        <v>892</v>
      </c>
      <c r="I122" s="123">
        <v>470.53</v>
      </c>
      <c r="J122" s="844">
        <v>108</v>
      </c>
      <c r="K122" s="8">
        <f t="shared" si="73"/>
        <v>1132.8399999999999</v>
      </c>
      <c r="L122" s="5">
        <f t="shared" si="71"/>
        <v>1132.8399999999999</v>
      </c>
      <c r="M122" s="830">
        <f t="shared" si="65"/>
        <v>127.04309999999998</v>
      </c>
      <c r="N122" s="505">
        <f t="shared" si="66"/>
        <v>597.57309999999995</v>
      </c>
      <c r="O122" s="5">
        <f t="shared" si="67"/>
        <v>367.8830999999999</v>
      </c>
      <c r="P122" s="123">
        <f t="shared" si="68"/>
        <v>39731.374799999991</v>
      </c>
      <c r="Q122" s="124">
        <f t="shared" si="69"/>
        <v>476776.49759999989</v>
      </c>
      <c r="R122" s="124">
        <f t="shared" si="72"/>
        <v>114855.45827183998</v>
      </c>
      <c r="S122" s="125">
        <f t="shared" si="70"/>
        <v>591631.95587183989</v>
      </c>
      <c r="T122" s="390"/>
      <c r="U122" s="765"/>
    </row>
    <row r="123" spans="2:21" s="109" customFormat="1" x14ac:dyDescent="0.25">
      <c r="B123" s="682" t="s">
        <v>136</v>
      </c>
      <c r="C123" s="683" t="s">
        <v>107</v>
      </c>
      <c r="D123" s="683" t="s">
        <v>127</v>
      </c>
      <c r="E123" s="683" t="s">
        <v>67</v>
      </c>
      <c r="F123" s="683">
        <v>3</v>
      </c>
      <c r="G123" s="677">
        <v>1382</v>
      </c>
      <c r="H123" s="5">
        <v>892</v>
      </c>
      <c r="I123" s="123">
        <v>470.53</v>
      </c>
      <c r="J123" s="844">
        <v>1.25</v>
      </c>
      <c r="K123" s="8">
        <f t="shared" si="73"/>
        <v>1132.8399999999999</v>
      </c>
      <c r="L123" s="5">
        <f t="shared" si="71"/>
        <v>1132.8399999999999</v>
      </c>
      <c r="M123" s="830">
        <f t="shared" si="65"/>
        <v>127.04309999999998</v>
      </c>
      <c r="N123" s="505">
        <f t="shared" si="66"/>
        <v>597.57309999999995</v>
      </c>
      <c r="O123" s="5">
        <f t="shared" si="67"/>
        <v>367.8830999999999</v>
      </c>
      <c r="P123" s="123">
        <f t="shared" si="68"/>
        <v>459.8538749999999</v>
      </c>
      <c r="Q123" s="124">
        <f t="shared" si="69"/>
        <v>5518.2464999999993</v>
      </c>
      <c r="R123" s="124">
        <f t="shared" si="72"/>
        <v>1329.3455818499999</v>
      </c>
      <c r="S123" s="125">
        <f t="shared" si="70"/>
        <v>6847.592081849999</v>
      </c>
      <c r="T123" s="390"/>
      <c r="U123" s="765"/>
    </row>
    <row r="124" spans="2:21" s="109" customFormat="1" x14ac:dyDescent="0.25">
      <c r="B124" s="682" t="s">
        <v>138</v>
      </c>
      <c r="C124" s="683" t="s">
        <v>107</v>
      </c>
      <c r="D124" s="683" t="s">
        <v>139</v>
      </c>
      <c r="E124" s="683" t="s">
        <v>63</v>
      </c>
      <c r="F124" s="683">
        <v>3</v>
      </c>
      <c r="G124" s="677">
        <v>1647</v>
      </c>
      <c r="H124" s="5">
        <v>892</v>
      </c>
      <c r="I124" s="123">
        <v>470.53</v>
      </c>
      <c r="J124" s="844">
        <v>12.5</v>
      </c>
      <c r="K124" s="8">
        <f t="shared" si="73"/>
        <v>1132.8399999999999</v>
      </c>
      <c r="L124" s="5">
        <f t="shared" si="71"/>
        <v>1132.8399999999999</v>
      </c>
      <c r="M124" s="830">
        <f t="shared" si="65"/>
        <v>127.04309999999998</v>
      </c>
      <c r="N124" s="505">
        <f t="shared" si="66"/>
        <v>597.57309999999995</v>
      </c>
      <c r="O124" s="5">
        <f t="shared" si="67"/>
        <v>367.8830999999999</v>
      </c>
      <c r="P124" s="123">
        <f t="shared" si="68"/>
        <v>4598.5387499999988</v>
      </c>
      <c r="Q124" s="124">
        <f t="shared" si="69"/>
        <v>55182.464999999982</v>
      </c>
      <c r="R124" s="124">
        <f t="shared" si="72"/>
        <v>13293.455818499995</v>
      </c>
      <c r="S124" s="125">
        <f t="shared" si="70"/>
        <v>68475.920818499973</v>
      </c>
      <c r="T124" s="390"/>
      <c r="U124" s="765"/>
    </row>
    <row r="125" spans="2:21" s="109" customFormat="1" x14ac:dyDescent="0.25">
      <c r="B125" s="682" t="s">
        <v>140</v>
      </c>
      <c r="C125" s="683" t="s">
        <v>107</v>
      </c>
      <c r="D125" s="683" t="s">
        <v>122</v>
      </c>
      <c r="E125" s="683" t="s">
        <v>63</v>
      </c>
      <c r="F125" s="685">
        <v>3</v>
      </c>
      <c r="G125" s="677">
        <v>1647</v>
      </c>
      <c r="H125" s="5">
        <v>956</v>
      </c>
      <c r="I125" s="123">
        <v>504.28999999999996</v>
      </c>
      <c r="J125" s="844">
        <v>6.75</v>
      </c>
      <c r="K125" s="8">
        <f t="shared" si="73"/>
        <v>1214.1200000000001</v>
      </c>
      <c r="L125" s="5">
        <f t="shared" si="71"/>
        <v>1214.1200000000001</v>
      </c>
      <c r="M125" s="830">
        <f t="shared" si="65"/>
        <v>136.15830000000005</v>
      </c>
      <c r="N125" s="505">
        <f t="shared" si="66"/>
        <v>640.44830000000002</v>
      </c>
      <c r="O125" s="5">
        <f t="shared" si="67"/>
        <v>394.27830000000017</v>
      </c>
      <c r="P125" s="123">
        <f t="shared" si="68"/>
        <v>2661.378525000001</v>
      </c>
      <c r="Q125" s="124">
        <f t="shared" si="69"/>
        <v>31936.542300000012</v>
      </c>
      <c r="R125" s="124">
        <f t="shared" si="72"/>
        <v>7693.5130400700027</v>
      </c>
      <c r="S125" s="125">
        <f t="shared" si="70"/>
        <v>39630.055340070016</v>
      </c>
      <c r="T125" s="390"/>
      <c r="U125" s="765"/>
    </row>
    <row r="126" spans="2:21" s="109" customFormat="1" x14ac:dyDescent="0.25">
      <c r="B126" s="682" t="s">
        <v>141</v>
      </c>
      <c r="C126" s="683" t="s">
        <v>107</v>
      </c>
      <c r="D126" s="683" t="s">
        <v>62</v>
      </c>
      <c r="E126" s="683" t="s">
        <v>99</v>
      </c>
      <c r="F126" s="683">
        <v>3</v>
      </c>
      <c r="G126" s="677">
        <v>1917</v>
      </c>
      <c r="H126" s="5">
        <v>1140</v>
      </c>
      <c r="I126" s="123">
        <v>339.15</v>
      </c>
      <c r="J126" s="844">
        <v>4.5</v>
      </c>
      <c r="K126" s="8">
        <f t="shared" si="73"/>
        <v>1447.8</v>
      </c>
      <c r="L126" s="5">
        <f t="shared" si="71"/>
        <v>1447.8</v>
      </c>
      <c r="M126" s="830">
        <f t="shared" si="65"/>
        <v>91.570499999999981</v>
      </c>
      <c r="N126" s="505">
        <f t="shared" si="66"/>
        <v>430.72049999999996</v>
      </c>
      <c r="O126" s="5">
        <f t="shared" si="67"/>
        <v>399.37049999999994</v>
      </c>
      <c r="P126" s="123">
        <f t="shared" si="68"/>
        <v>1797.1672499999997</v>
      </c>
      <c r="Q126" s="124">
        <f t="shared" si="69"/>
        <v>21566.006999999998</v>
      </c>
      <c r="R126" s="124">
        <f t="shared" si="72"/>
        <v>5195.2510862999998</v>
      </c>
      <c r="S126" s="125">
        <f t="shared" si="70"/>
        <v>26761.258086299997</v>
      </c>
      <c r="T126" s="390"/>
      <c r="U126" s="765"/>
    </row>
    <row r="127" spans="2:21" s="109" customFormat="1" x14ac:dyDescent="0.25">
      <c r="B127" s="682" t="s">
        <v>142</v>
      </c>
      <c r="C127" s="683" t="s">
        <v>107</v>
      </c>
      <c r="D127" s="683" t="s">
        <v>62</v>
      </c>
      <c r="E127" s="683" t="s">
        <v>99</v>
      </c>
      <c r="F127" s="683">
        <v>3</v>
      </c>
      <c r="G127" s="677">
        <v>1917</v>
      </c>
      <c r="H127" s="5">
        <v>1074</v>
      </c>
      <c r="I127" s="123">
        <v>0</v>
      </c>
      <c r="J127" s="844">
        <v>13.5</v>
      </c>
      <c r="K127" s="8">
        <f t="shared" si="73"/>
        <v>1363.98</v>
      </c>
      <c r="L127" s="5">
        <f t="shared" si="71"/>
        <v>1363.98</v>
      </c>
      <c r="M127" s="830">
        <f t="shared" si="65"/>
        <v>0</v>
      </c>
      <c r="N127" s="505">
        <f t="shared" si="66"/>
        <v>0</v>
      </c>
      <c r="O127" s="5">
        <f t="shared" si="67"/>
        <v>289.98</v>
      </c>
      <c r="P127" s="123">
        <f t="shared" si="68"/>
        <v>3914.7300000000005</v>
      </c>
      <c r="Q127" s="124">
        <f t="shared" si="69"/>
        <v>46976.760000000009</v>
      </c>
      <c r="R127" s="124">
        <f t="shared" si="72"/>
        <v>11316.701484000003</v>
      </c>
      <c r="S127" s="125">
        <f t="shared" si="70"/>
        <v>58293.461484000014</v>
      </c>
      <c r="T127" s="390"/>
      <c r="U127" s="765"/>
    </row>
    <row r="128" spans="2:21" s="109" customFormat="1" x14ac:dyDescent="0.25">
      <c r="B128" s="682" t="s">
        <v>143</v>
      </c>
      <c r="C128" s="683" t="s">
        <v>107</v>
      </c>
      <c r="D128" s="683" t="s">
        <v>62</v>
      </c>
      <c r="E128" s="683" t="s">
        <v>99</v>
      </c>
      <c r="F128" s="683">
        <v>3</v>
      </c>
      <c r="G128" s="677">
        <v>1917</v>
      </c>
      <c r="H128" s="5">
        <v>1074</v>
      </c>
      <c r="I128" s="123">
        <v>0</v>
      </c>
      <c r="J128" s="844">
        <v>1</v>
      </c>
      <c r="K128" s="8">
        <f t="shared" si="73"/>
        <v>1363.98</v>
      </c>
      <c r="L128" s="5">
        <f t="shared" si="71"/>
        <v>1363.98</v>
      </c>
      <c r="M128" s="830">
        <f t="shared" si="65"/>
        <v>0</v>
      </c>
      <c r="N128" s="505">
        <f t="shared" si="66"/>
        <v>0</v>
      </c>
      <c r="O128" s="5">
        <f t="shared" si="67"/>
        <v>289.98</v>
      </c>
      <c r="P128" s="123">
        <f t="shared" si="68"/>
        <v>289.98</v>
      </c>
      <c r="Q128" s="124">
        <f t="shared" si="69"/>
        <v>3479.76</v>
      </c>
      <c r="R128" s="124">
        <f t="shared" si="72"/>
        <v>838.2741840000001</v>
      </c>
      <c r="S128" s="125">
        <f t="shared" si="70"/>
        <v>4318.0341840000001</v>
      </c>
      <c r="T128" s="390"/>
      <c r="U128" s="765"/>
    </row>
    <row r="129" spans="2:21" s="109" customFormat="1" x14ac:dyDescent="0.25">
      <c r="B129" s="682" t="s">
        <v>144</v>
      </c>
      <c r="C129" s="683" t="s">
        <v>107</v>
      </c>
      <c r="D129" s="683" t="s">
        <v>62</v>
      </c>
      <c r="E129" s="683" t="s">
        <v>99</v>
      </c>
      <c r="F129" s="683">
        <v>3</v>
      </c>
      <c r="G129" s="677">
        <v>1917</v>
      </c>
      <c r="H129" s="5">
        <v>1106</v>
      </c>
      <c r="I129" s="123">
        <v>329.03499999999997</v>
      </c>
      <c r="J129" s="844">
        <v>13.5</v>
      </c>
      <c r="K129" s="8">
        <f t="shared" si="73"/>
        <v>1404.6200000000001</v>
      </c>
      <c r="L129" s="5">
        <f t="shared" si="71"/>
        <v>1404.6200000000001</v>
      </c>
      <c r="M129" s="830">
        <f t="shared" si="65"/>
        <v>88.839450000000056</v>
      </c>
      <c r="N129" s="505">
        <f t="shared" si="66"/>
        <v>417.87445000000002</v>
      </c>
      <c r="O129" s="5">
        <f t="shared" si="67"/>
        <v>387.45945000000017</v>
      </c>
      <c r="P129" s="123">
        <f t="shared" si="68"/>
        <v>5230.7025750000021</v>
      </c>
      <c r="Q129" s="124">
        <f t="shared" si="69"/>
        <v>62768.430900000021</v>
      </c>
      <c r="R129" s="124">
        <f t="shared" si="72"/>
        <v>15120.915003810005</v>
      </c>
      <c r="S129" s="125">
        <f t="shared" si="70"/>
        <v>77889.345903810026</v>
      </c>
      <c r="T129" s="390"/>
      <c r="U129" s="765"/>
    </row>
    <row r="130" spans="2:21" s="109" customFormat="1" x14ac:dyDescent="0.25">
      <c r="B130" s="686" t="s">
        <v>145</v>
      </c>
      <c r="C130" s="687" t="s">
        <v>23</v>
      </c>
      <c r="D130" s="687" t="s">
        <v>122</v>
      </c>
      <c r="E130" s="687" t="s">
        <v>63</v>
      </c>
      <c r="F130" s="687" t="s">
        <v>58</v>
      </c>
      <c r="G130" s="688">
        <v>1647</v>
      </c>
      <c r="H130" s="689">
        <v>1144</v>
      </c>
      <c r="I130" s="123">
        <v>343.2</v>
      </c>
      <c r="J130" s="843">
        <v>5</v>
      </c>
      <c r="K130" s="8">
        <f t="shared" si="73"/>
        <v>1452.88</v>
      </c>
      <c r="L130" s="5">
        <f t="shared" si="71"/>
        <v>1452.88</v>
      </c>
      <c r="M130" s="830">
        <f t="shared" si="65"/>
        <v>92.664000000000044</v>
      </c>
      <c r="N130" s="505">
        <f t="shared" si="66"/>
        <v>435.86400000000003</v>
      </c>
      <c r="O130" s="5">
        <f t="shared" si="67"/>
        <v>401.54400000000015</v>
      </c>
      <c r="P130" s="123">
        <f t="shared" si="68"/>
        <v>2007.7200000000007</v>
      </c>
      <c r="Q130" s="124">
        <f t="shared" si="69"/>
        <v>24092.640000000007</v>
      </c>
      <c r="R130" s="124">
        <f t="shared" si="72"/>
        <v>5803.9169760000013</v>
      </c>
      <c r="S130" s="125">
        <f t="shared" si="70"/>
        <v>29896.556976000007</v>
      </c>
      <c r="T130" s="390"/>
      <c r="U130" s="765"/>
    </row>
    <row r="131" spans="2:21" s="109" customFormat="1" ht="25.5" x14ac:dyDescent="0.25">
      <c r="B131" s="686" t="s">
        <v>146</v>
      </c>
      <c r="C131" s="687" t="s">
        <v>23</v>
      </c>
      <c r="D131" s="687" t="s">
        <v>122</v>
      </c>
      <c r="E131" s="687" t="s">
        <v>63</v>
      </c>
      <c r="F131" s="687" t="s">
        <v>58</v>
      </c>
      <c r="G131" s="688">
        <v>1647</v>
      </c>
      <c r="H131" s="689">
        <v>1144</v>
      </c>
      <c r="I131" s="123">
        <v>343.2</v>
      </c>
      <c r="J131" s="843">
        <v>5</v>
      </c>
      <c r="K131" s="8">
        <f t="shared" si="73"/>
        <v>1452.88</v>
      </c>
      <c r="L131" s="5">
        <f t="shared" si="71"/>
        <v>1452.88</v>
      </c>
      <c r="M131" s="830">
        <f t="shared" si="65"/>
        <v>92.664000000000044</v>
      </c>
      <c r="N131" s="505">
        <f t="shared" si="66"/>
        <v>435.86400000000003</v>
      </c>
      <c r="O131" s="5">
        <f t="shared" si="67"/>
        <v>401.54400000000015</v>
      </c>
      <c r="P131" s="123">
        <f t="shared" si="68"/>
        <v>2007.7200000000007</v>
      </c>
      <c r="Q131" s="124">
        <f t="shared" si="69"/>
        <v>24092.640000000007</v>
      </c>
      <c r="R131" s="124">
        <f t="shared" si="72"/>
        <v>5803.9169760000013</v>
      </c>
      <c r="S131" s="125">
        <f t="shared" si="70"/>
        <v>29896.556976000007</v>
      </c>
      <c r="T131" s="390"/>
      <c r="U131" s="765"/>
    </row>
    <row r="132" spans="2:21" s="109" customFormat="1" x14ac:dyDescent="0.25">
      <c r="B132" s="686" t="s">
        <v>147</v>
      </c>
      <c r="C132" s="687" t="s">
        <v>23</v>
      </c>
      <c r="D132" s="687" t="s">
        <v>122</v>
      </c>
      <c r="E132" s="687" t="s">
        <v>63</v>
      </c>
      <c r="F132" s="687" t="s">
        <v>58</v>
      </c>
      <c r="G132" s="688">
        <v>1647</v>
      </c>
      <c r="H132" s="690">
        <v>1144</v>
      </c>
      <c r="I132" s="773">
        <v>343.2</v>
      </c>
      <c r="J132" s="843">
        <v>5</v>
      </c>
      <c r="K132" s="8">
        <f t="shared" si="73"/>
        <v>1452.88</v>
      </c>
      <c r="L132" s="5">
        <f t="shared" si="71"/>
        <v>1452.88</v>
      </c>
      <c r="M132" s="830">
        <f t="shared" si="65"/>
        <v>92.664000000000044</v>
      </c>
      <c r="N132" s="505">
        <f t="shared" si="66"/>
        <v>435.86400000000003</v>
      </c>
      <c r="O132" s="5">
        <f t="shared" si="67"/>
        <v>401.54400000000015</v>
      </c>
      <c r="P132" s="123">
        <f t="shared" si="68"/>
        <v>2007.7200000000007</v>
      </c>
      <c r="Q132" s="124">
        <f t="shared" si="69"/>
        <v>24092.640000000007</v>
      </c>
      <c r="R132" s="124">
        <f t="shared" si="72"/>
        <v>5803.9169760000013</v>
      </c>
      <c r="S132" s="125">
        <f t="shared" si="70"/>
        <v>29896.556976000007</v>
      </c>
      <c r="T132" s="390"/>
      <c r="U132" s="765"/>
    </row>
    <row r="133" spans="2:21" s="109" customFormat="1" x14ac:dyDescent="0.25">
      <c r="B133" s="686" t="s">
        <v>148</v>
      </c>
      <c r="C133" s="687" t="s">
        <v>23</v>
      </c>
      <c r="D133" s="687" t="s">
        <v>122</v>
      </c>
      <c r="E133" s="687" t="s">
        <v>63</v>
      </c>
      <c r="F133" s="687" t="s">
        <v>58</v>
      </c>
      <c r="G133" s="688">
        <v>1647</v>
      </c>
      <c r="H133" s="690">
        <v>1396</v>
      </c>
      <c r="I133" s="773">
        <v>291.62439999999998</v>
      </c>
      <c r="J133" s="843">
        <v>5</v>
      </c>
      <c r="K133" s="8">
        <f t="shared" si="73"/>
        <v>1772.92</v>
      </c>
      <c r="L133" s="5">
        <f t="shared" si="71"/>
        <v>1647</v>
      </c>
      <c r="M133" s="830">
        <f t="shared" si="65"/>
        <v>52.433899999999994</v>
      </c>
      <c r="N133" s="505">
        <f t="shared" si="66"/>
        <v>344.05829999999997</v>
      </c>
      <c r="O133" s="5">
        <f t="shared" si="67"/>
        <v>303.43389999999999</v>
      </c>
      <c r="P133" s="123">
        <f t="shared" si="68"/>
        <v>1517.1695</v>
      </c>
      <c r="Q133" s="124">
        <f t="shared" si="69"/>
        <v>18206.034</v>
      </c>
      <c r="R133" s="124">
        <f t="shared" si="72"/>
        <v>4385.8335906000002</v>
      </c>
      <c r="S133" s="125">
        <f t="shared" si="70"/>
        <v>22591.867590599999</v>
      </c>
      <c r="T133" s="390"/>
      <c r="U133" s="765"/>
    </row>
    <row r="134" spans="2:21" s="109" customFormat="1" x14ac:dyDescent="0.25">
      <c r="B134" s="686" t="s">
        <v>149</v>
      </c>
      <c r="C134" s="687" t="s">
        <v>23</v>
      </c>
      <c r="D134" s="687" t="s">
        <v>122</v>
      </c>
      <c r="E134" s="687" t="s">
        <v>63</v>
      </c>
      <c r="F134" s="687" t="s">
        <v>58</v>
      </c>
      <c r="G134" s="688">
        <v>1647</v>
      </c>
      <c r="H134" s="690">
        <v>1329</v>
      </c>
      <c r="I134" s="773">
        <v>72.8292</v>
      </c>
      <c r="J134" s="843">
        <v>5</v>
      </c>
      <c r="K134" s="8">
        <f t="shared" si="73"/>
        <v>1687.83</v>
      </c>
      <c r="L134" s="5">
        <f t="shared" si="71"/>
        <v>1647</v>
      </c>
      <c r="M134" s="830">
        <f t="shared" si="65"/>
        <v>17.426400000000001</v>
      </c>
      <c r="N134" s="505">
        <f t="shared" si="66"/>
        <v>90.255600000000001</v>
      </c>
      <c r="O134" s="5">
        <f t="shared" si="67"/>
        <v>335.4264</v>
      </c>
      <c r="P134" s="123">
        <f t="shared" si="68"/>
        <v>1677.1320000000001</v>
      </c>
      <c r="Q134" s="124">
        <f t="shared" si="69"/>
        <v>20125.584000000003</v>
      </c>
      <c r="R134" s="124">
        <f t="shared" si="72"/>
        <v>4848.2531856000005</v>
      </c>
      <c r="S134" s="125">
        <f t="shared" si="70"/>
        <v>24973.837185600001</v>
      </c>
      <c r="T134" s="390"/>
      <c r="U134" s="765"/>
    </row>
    <row r="135" spans="2:21" s="109" customFormat="1" x14ac:dyDescent="0.25">
      <c r="B135" s="682" t="s">
        <v>150</v>
      </c>
      <c r="C135" s="683" t="s">
        <v>23</v>
      </c>
      <c r="D135" s="683" t="s">
        <v>122</v>
      </c>
      <c r="E135" s="683" t="s">
        <v>63</v>
      </c>
      <c r="F135" s="683" t="s">
        <v>58</v>
      </c>
      <c r="G135" s="688">
        <v>1647</v>
      </c>
      <c r="H135" s="678">
        <v>1396</v>
      </c>
      <c r="I135" s="773">
        <v>251.97799999999998</v>
      </c>
      <c r="J135" s="843">
        <v>5</v>
      </c>
      <c r="K135" s="8">
        <f t="shared" si="73"/>
        <v>1772.92</v>
      </c>
      <c r="L135" s="5">
        <f t="shared" si="71"/>
        <v>1647</v>
      </c>
      <c r="M135" s="830">
        <f t="shared" si="65"/>
        <v>45.305500000000023</v>
      </c>
      <c r="N135" s="505">
        <f t="shared" si="66"/>
        <v>297.2835</v>
      </c>
      <c r="O135" s="5">
        <f t="shared" si="67"/>
        <v>296.30550000000005</v>
      </c>
      <c r="P135" s="123">
        <f t="shared" si="68"/>
        <v>1481.5275000000001</v>
      </c>
      <c r="Q135" s="124">
        <f t="shared" si="69"/>
        <v>17778.330000000002</v>
      </c>
      <c r="R135" s="124">
        <f t="shared" si="72"/>
        <v>4282.7996970000004</v>
      </c>
      <c r="S135" s="125">
        <f t="shared" si="70"/>
        <v>22061.129697000004</v>
      </c>
      <c r="T135" s="390"/>
      <c r="U135" s="765"/>
    </row>
    <row r="136" spans="2:21" s="109" customFormat="1" x14ac:dyDescent="0.25">
      <c r="B136" s="682" t="s">
        <v>151</v>
      </c>
      <c r="C136" s="683" t="s">
        <v>23</v>
      </c>
      <c r="D136" s="683" t="s">
        <v>122</v>
      </c>
      <c r="E136" s="683" t="s">
        <v>63</v>
      </c>
      <c r="F136" s="683" t="s">
        <v>58</v>
      </c>
      <c r="G136" s="688">
        <v>1647</v>
      </c>
      <c r="H136" s="678">
        <v>1329</v>
      </c>
      <c r="I136" s="773">
        <v>60.469499999999996</v>
      </c>
      <c r="J136" s="843">
        <v>5</v>
      </c>
      <c r="K136" s="8">
        <f t="shared" si="73"/>
        <v>1687.83</v>
      </c>
      <c r="L136" s="5">
        <f t="shared" si="71"/>
        <v>1647</v>
      </c>
      <c r="M136" s="830">
        <f t="shared" si="65"/>
        <v>14.469000000000008</v>
      </c>
      <c r="N136" s="505">
        <f t="shared" si="66"/>
        <v>74.938500000000005</v>
      </c>
      <c r="O136" s="5">
        <f t="shared" si="67"/>
        <v>332.46899999999999</v>
      </c>
      <c r="P136" s="123">
        <f t="shared" si="68"/>
        <v>1662.345</v>
      </c>
      <c r="Q136" s="124">
        <f t="shared" si="69"/>
        <v>19948.14</v>
      </c>
      <c r="R136" s="124">
        <f t="shared" si="72"/>
        <v>4805.506926</v>
      </c>
      <c r="S136" s="125">
        <f t="shared" si="70"/>
        <v>24753.646926000001</v>
      </c>
      <c r="T136" s="390"/>
      <c r="U136" s="765"/>
    </row>
    <row r="137" spans="2:21" s="109" customFormat="1" x14ac:dyDescent="0.25">
      <c r="B137" s="682" t="s">
        <v>152</v>
      </c>
      <c r="C137" s="683" t="s">
        <v>23</v>
      </c>
      <c r="D137" s="683" t="s">
        <v>122</v>
      </c>
      <c r="E137" s="683" t="s">
        <v>63</v>
      </c>
      <c r="F137" s="683" t="s">
        <v>58</v>
      </c>
      <c r="G137" s="688">
        <v>1647</v>
      </c>
      <c r="H137" s="678">
        <v>1329</v>
      </c>
      <c r="I137" s="773">
        <v>67.513199999999998</v>
      </c>
      <c r="J137" s="843">
        <v>5</v>
      </c>
      <c r="K137" s="8">
        <f t="shared" si="73"/>
        <v>1687.83</v>
      </c>
      <c r="L137" s="5">
        <f t="shared" si="71"/>
        <v>1647</v>
      </c>
      <c r="M137" s="830">
        <f t="shared" si="65"/>
        <v>16.154399999999995</v>
      </c>
      <c r="N137" s="505">
        <f t="shared" si="66"/>
        <v>83.667599999999993</v>
      </c>
      <c r="O137" s="5">
        <f t="shared" si="67"/>
        <v>334.15440000000001</v>
      </c>
      <c r="P137" s="123">
        <f t="shared" si="68"/>
        <v>1670.7719999999999</v>
      </c>
      <c r="Q137" s="124">
        <f t="shared" si="69"/>
        <v>20049.263999999999</v>
      </c>
      <c r="R137" s="124">
        <f t="shared" si="72"/>
        <v>4829.8676975999997</v>
      </c>
      <c r="S137" s="125">
        <f t="shared" si="70"/>
        <v>24879.131697599998</v>
      </c>
      <c r="T137" s="390"/>
      <c r="U137" s="765"/>
    </row>
    <row r="138" spans="2:21" s="109" customFormat="1" x14ac:dyDescent="0.25">
      <c r="B138" s="682" t="s">
        <v>153</v>
      </c>
      <c r="C138" s="683" t="s">
        <v>23</v>
      </c>
      <c r="D138" s="683" t="s">
        <v>122</v>
      </c>
      <c r="E138" s="683" t="s">
        <v>63</v>
      </c>
      <c r="F138" s="683" t="s">
        <v>58</v>
      </c>
      <c r="G138" s="688">
        <v>1647</v>
      </c>
      <c r="H138" s="678">
        <v>1396</v>
      </c>
      <c r="I138" s="773">
        <v>110.14439999999999</v>
      </c>
      <c r="J138" s="843">
        <v>5</v>
      </c>
      <c r="K138" s="8">
        <f t="shared" si="73"/>
        <v>1772.92</v>
      </c>
      <c r="L138" s="5">
        <f t="shared" si="71"/>
        <v>1647</v>
      </c>
      <c r="M138" s="830">
        <f t="shared" si="65"/>
        <v>19.803899999999999</v>
      </c>
      <c r="N138" s="505">
        <f t="shared" si="66"/>
        <v>129.94829999999999</v>
      </c>
      <c r="O138" s="5">
        <f t="shared" si="67"/>
        <v>270.8039</v>
      </c>
      <c r="P138" s="123">
        <f t="shared" si="68"/>
        <v>1354.0194999999999</v>
      </c>
      <c r="Q138" s="124">
        <f t="shared" si="69"/>
        <v>16248.233999999999</v>
      </c>
      <c r="R138" s="124">
        <f t="shared" si="72"/>
        <v>3914.1995705999998</v>
      </c>
      <c r="S138" s="125">
        <f t="shared" si="70"/>
        <v>20162.433570599998</v>
      </c>
      <c r="T138" s="390"/>
      <c r="U138" s="765"/>
    </row>
    <row r="139" spans="2:21" s="109" customFormat="1" x14ac:dyDescent="0.25">
      <c r="B139" s="682" t="s">
        <v>154</v>
      </c>
      <c r="C139" s="683" t="s">
        <v>23</v>
      </c>
      <c r="D139" s="683" t="s">
        <v>122</v>
      </c>
      <c r="E139" s="683" t="s">
        <v>63</v>
      </c>
      <c r="F139" s="683" t="s">
        <v>58</v>
      </c>
      <c r="G139" s="688">
        <v>1647</v>
      </c>
      <c r="H139" s="678">
        <v>1396</v>
      </c>
      <c r="I139" s="773">
        <v>178.40879999999999</v>
      </c>
      <c r="J139" s="843">
        <v>5</v>
      </c>
      <c r="K139" s="8">
        <f t="shared" si="73"/>
        <v>1772.92</v>
      </c>
      <c r="L139" s="5">
        <f t="shared" si="71"/>
        <v>1647</v>
      </c>
      <c r="M139" s="830">
        <f t="shared" si="65"/>
        <v>32.077799999999996</v>
      </c>
      <c r="N139" s="505">
        <f t="shared" si="66"/>
        <v>210.48659999999998</v>
      </c>
      <c r="O139" s="5">
        <f t="shared" si="67"/>
        <v>283.07780000000002</v>
      </c>
      <c r="P139" s="123">
        <f t="shared" si="68"/>
        <v>1415.3890000000001</v>
      </c>
      <c r="Q139" s="124">
        <f t="shared" si="69"/>
        <v>16984.668000000001</v>
      </c>
      <c r="R139" s="124">
        <f t="shared" si="72"/>
        <v>4091.6065212000003</v>
      </c>
      <c r="S139" s="125">
        <f t="shared" si="70"/>
        <v>21076.274521200001</v>
      </c>
      <c r="T139" s="390"/>
      <c r="U139" s="765"/>
    </row>
    <row r="140" spans="2:21" s="109" customFormat="1" x14ac:dyDescent="0.25">
      <c r="B140" s="684" t="s">
        <v>155</v>
      </c>
      <c r="C140" s="683" t="s">
        <v>23</v>
      </c>
      <c r="D140" s="683" t="s">
        <v>122</v>
      </c>
      <c r="E140" s="683" t="s">
        <v>63</v>
      </c>
      <c r="F140" s="683" t="s">
        <v>58</v>
      </c>
      <c r="G140" s="688">
        <v>1647</v>
      </c>
      <c r="H140" s="678">
        <v>1329</v>
      </c>
      <c r="I140" s="773">
        <v>103.66200000000001</v>
      </c>
      <c r="J140" s="843">
        <v>5</v>
      </c>
      <c r="K140" s="8">
        <f t="shared" si="73"/>
        <v>1687.83</v>
      </c>
      <c r="L140" s="5">
        <f t="shared" si="71"/>
        <v>1647</v>
      </c>
      <c r="M140" s="830">
        <f t="shared" si="65"/>
        <v>24.804000000000002</v>
      </c>
      <c r="N140" s="505">
        <f t="shared" si="66"/>
        <v>128.46600000000001</v>
      </c>
      <c r="O140" s="5">
        <f t="shared" si="67"/>
        <v>342.80399999999997</v>
      </c>
      <c r="P140" s="123">
        <f t="shared" si="68"/>
        <v>1714.02</v>
      </c>
      <c r="Q140" s="124">
        <f t="shared" si="69"/>
        <v>20568.239999999998</v>
      </c>
      <c r="R140" s="124">
        <f t="shared" si="72"/>
        <v>4954.8890159999992</v>
      </c>
      <c r="S140" s="125">
        <f t="shared" si="70"/>
        <v>25523.129015999999</v>
      </c>
      <c r="T140" s="390"/>
      <c r="U140" s="765"/>
    </row>
    <row r="141" spans="2:21" s="845" customFormat="1" x14ac:dyDescent="0.25">
      <c r="B141" s="684" t="s">
        <v>156</v>
      </c>
      <c r="C141" s="691" t="s">
        <v>23</v>
      </c>
      <c r="D141" s="691" t="s">
        <v>122</v>
      </c>
      <c r="E141" s="691" t="s">
        <v>63</v>
      </c>
      <c r="F141" s="691" t="s">
        <v>58</v>
      </c>
      <c r="G141" s="688">
        <v>1647</v>
      </c>
      <c r="H141" s="692">
        <v>1144</v>
      </c>
      <c r="I141" s="846">
        <v>73.55919999999999</v>
      </c>
      <c r="J141" s="847">
        <v>5</v>
      </c>
      <c r="K141" s="8">
        <f t="shared" si="73"/>
        <v>1452.88</v>
      </c>
      <c r="L141" s="5">
        <f t="shared" si="71"/>
        <v>1452.88</v>
      </c>
      <c r="M141" s="830">
        <f t="shared" si="65"/>
        <v>19.860984000000016</v>
      </c>
      <c r="N141" s="505">
        <f t="shared" si="66"/>
        <v>93.420184000000006</v>
      </c>
      <c r="O141" s="5">
        <f t="shared" si="67"/>
        <v>328.74098400000014</v>
      </c>
      <c r="P141" s="123">
        <f t="shared" si="68"/>
        <v>1643.7049200000006</v>
      </c>
      <c r="Q141" s="124">
        <f t="shared" si="69"/>
        <v>19724.459040000009</v>
      </c>
      <c r="R141" s="124">
        <f t="shared" si="72"/>
        <v>4751.6221827360023</v>
      </c>
      <c r="S141" s="125">
        <f t="shared" si="70"/>
        <v>24476.081222736011</v>
      </c>
      <c r="T141" s="418"/>
      <c r="U141" s="848"/>
    </row>
    <row r="142" spans="2:21" s="845" customFormat="1" x14ac:dyDescent="0.25">
      <c r="B142" s="684" t="s">
        <v>157</v>
      </c>
      <c r="C142" s="691" t="s">
        <v>23</v>
      </c>
      <c r="D142" s="693" t="s">
        <v>122</v>
      </c>
      <c r="E142" s="693" t="s">
        <v>63</v>
      </c>
      <c r="F142" s="693" t="s">
        <v>58</v>
      </c>
      <c r="G142" s="688">
        <v>1647</v>
      </c>
      <c r="H142" s="692">
        <v>1144</v>
      </c>
      <c r="I142" s="846">
        <v>125.84</v>
      </c>
      <c r="J142" s="847">
        <v>5</v>
      </c>
      <c r="K142" s="8">
        <f t="shared" si="73"/>
        <v>1452.88</v>
      </c>
      <c r="L142" s="5">
        <f t="shared" si="71"/>
        <v>1452.88</v>
      </c>
      <c r="M142" s="830">
        <f t="shared" si="65"/>
        <v>33.976799999999997</v>
      </c>
      <c r="N142" s="505">
        <f t="shared" si="66"/>
        <v>159.8168</v>
      </c>
      <c r="O142" s="5">
        <f t="shared" si="67"/>
        <v>342.85680000000013</v>
      </c>
      <c r="P142" s="123">
        <f t="shared" si="68"/>
        <v>1714.2840000000006</v>
      </c>
      <c r="Q142" s="124">
        <f t="shared" si="69"/>
        <v>20571.408000000007</v>
      </c>
      <c r="R142" s="124">
        <f t="shared" si="72"/>
        <v>4955.6521872000021</v>
      </c>
      <c r="S142" s="125">
        <f t="shared" si="70"/>
        <v>25527.060187200008</v>
      </c>
      <c r="T142" s="418"/>
      <c r="U142" s="848"/>
    </row>
    <row r="143" spans="2:21" s="845" customFormat="1" x14ac:dyDescent="0.25">
      <c r="B143" s="684" t="s">
        <v>158</v>
      </c>
      <c r="C143" s="691" t="s">
        <v>23</v>
      </c>
      <c r="D143" s="691" t="s">
        <v>122</v>
      </c>
      <c r="E143" s="691" t="s">
        <v>63</v>
      </c>
      <c r="F143" s="691" t="s">
        <v>58</v>
      </c>
      <c r="G143" s="688">
        <v>1647</v>
      </c>
      <c r="H143" s="692">
        <v>1329</v>
      </c>
      <c r="I143" s="846">
        <v>83.992800000000003</v>
      </c>
      <c r="J143" s="847">
        <v>5</v>
      </c>
      <c r="K143" s="8">
        <f t="shared" si="73"/>
        <v>1687.83</v>
      </c>
      <c r="L143" s="5">
        <f t="shared" si="71"/>
        <v>1647</v>
      </c>
      <c r="M143" s="830">
        <f t="shared" si="65"/>
        <v>20.097600000000014</v>
      </c>
      <c r="N143" s="505">
        <f t="shared" si="66"/>
        <v>104.09040000000002</v>
      </c>
      <c r="O143" s="5">
        <f t="shared" si="67"/>
        <v>338.0976</v>
      </c>
      <c r="P143" s="123">
        <f t="shared" si="68"/>
        <v>1690.4880000000001</v>
      </c>
      <c r="Q143" s="124">
        <f t="shared" si="69"/>
        <v>20285.856</v>
      </c>
      <c r="R143" s="124">
        <f t="shared" si="72"/>
        <v>4886.8627103999997</v>
      </c>
      <c r="S143" s="125">
        <f t="shared" si="70"/>
        <v>25172.7187104</v>
      </c>
      <c r="T143" s="418"/>
      <c r="U143" s="848"/>
    </row>
    <row r="144" spans="2:21" s="845" customFormat="1" x14ac:dyDescent="0.25">
      <c r="B144" s="684" t="s">
        <v>159</v>
      </c>
      <c r="C144" s="691" t="s">
        <v>23</v>
      </c>
      <c r="D144" s="691" t="s">
        <v>122</v>
      </c>
      <c r="E144" s="691" t="s">
        <v>63</v>
      </c>
      <c r="F144" s="691" t="s">
        <v>58</v>
      </c>
      <c r="G144" s="688">
        <v>1647</v>
      </c>
      <c r="H144" s="692">
        <v>1144</v>
      </c>
      <c r="I144" s="846">
        <v>68.64</v>
      </c>
      <c r="J144" s="847">
        <v>4</v>
      </c>
      <c r="K144" s="8">
        <f t="shared" si="73"/>
        <v>1452.88</v>
      </c>
      <c r="L144" s="5">
        <f t="shared" si="71"/>
        <v>1452.88</v>
      </c>
      <c r="M144" s="830">
        <f t="shared" si="65"/>
        <v>18.532800000000009</v>
      </c>
      <c r="N144" s="505">
        <f t="shared" si="66"/>
        <v>87.172800000000009</v>
      </c>
      <c r="O144" s="5">
        <f t="shared" si="67"/>
        <v>327.41280000000012</v>
      </c>
      <c r="P144" s="123">
        <f t="shared" si="68"/>
        <v>1309.6512000000005</v>
      </c>
      <c r="Q144" s="124">
        <f t="shared" si="69"/>
        <v>15715.814400000007</v>
      </c>
      <c r="R144" s="124">
        <f t="shared" si="72"/>
        <v>3785.9396889600016</v>
      </c>
      <c r="S144" s="125">
        <f t="shared" si="70"/>
        <v>19501.75408896001</v>
      </c>
      <c r="T144" s="418"/>
      <c r="U144" s="848"/>
    </row>
    <row r="145" spans="2:21" s="109" customFormat="1" x14ac:dyDescent="0.25">
      <c r="B145" s="684" t="s">
        <v>160</v>
      </c>
      <c r="C145" s="683" t="s">
        <v>23</v>
      </c>
      <c r="D145" s="683" t="s">
        <v>122</v>
      </c>
      <c r="E145" s="683" t="s">
        <v>63</v>
      </c>
      <c r="F145" s="683" t="s">
        <v>58</v>
      </c>
      <c r="G145" s="688">
        <v>1647</v>
      </c>
      <c r="H145" s="678">
        <v>1396</v>
      </c>
      <c r="I145" s="773">
        <v>350.25640000000004</v>
      </c>
      <c r="J145" s="843">
        <v>4</v>
      </c>
      <c r="K145" s="8">
        <f t="shared" si="73"/>
        <v>1772.92</v>
      </c>
      <c r="L145" s="5">
        <f t="shared" si="71"/>
        <v>1647</v>
      </c>
      <c r="M145" s="830">
        <f t="shared" si="65"/>
        <v>62.975899999999967</v>
      </c>
      <c r="N145" s="505">
        <f t="shared" si="66"/>
        <v>413.23230000000001</v>
      </c>
      <c r="O145" s="5">
        <f t="shared" si="67"/>
        <v>313.97589999999997</v>
      </c>
      <c r="P145" s="123">
        <f t="shared" si="68"/>
        <v>1255.9035999999999</v>
      </c>
      <c r="Q145" s="124">
        <f t="shared" si="69"/>
        <v>15070.843199999999</v>
      </c>
      <c r="R145" s="124">
        <f t="shared" si="72"/>
        <v>3630.56612688</v>
      </c>
      <c r="S145" s="125">
        <f t="shared" si="70"/>
        <v>18701.409326879999</v>
      </c>
      <c r="T145" s="390"/>
      <c r="U145" s="765"/>
    </row>
    <row r="146" spans="2:21" s="109" customFormat="1" x14ac:dyDescent="0.25">
      <c r="B146" s="682" t="s">
        <v>161</v>
      </c>
      <c r="C146" s="683" t="s">
        <v>23</v>
      </c>
      <c r="D146" s="683" t="s">
        <v>122</v>
      </c>
      <c r="E146" s="683" t="s">
        <v>63</v>
      </c>
      <c r="F146" s="683" t="s">
        <v>58</v>
      </c>
      <c r="G146" s="688">
        <v>1647</v>
      </c>
      <c r="H146" s="678">
        <v>1329</v>
      </c>
      <c r="I146" s="773">
        <v>80.803200000000004</v>
      </c>
      <c r="J146" s="843">
        <v>5</v>
      </c>
      <c r="K146" s="8">
        <f t="shared" si="73"/>
        <v>1687.83</v>
      </c>
      <c r="L146" s="5">
        <f t="shared" si="71"/>
        <v>1647</v>
      </c>
      <c r="M146" s="830">
        <f t="shared" si="65"/>
        <v>19.334400000000002</v>
      </c>
      <c r="N146" s="505">
        <f t="shared" si="66"/>
        <v>100.13760000000001</v>
      </c>
      <c r="O146" s="5">
        <f t="shared" si="67"/>
        <v>337.33440000000002</v>
      </c>
      <c r="P146" s="123">
        <f t="shared" si="68"/>
        <v>1686.672</v>
      </c>
      <c r="Q146" s="124">
        <f t="shared" si="69"/>
        <v>20240.063999999998</v>
      </c>
      <c r="R146" s="124">
        <f t="shared" si="72"/>
        <v>4875.8314175999994</v>
      </c>
      <c r="S146" s="125">
        <f t="shared" si="70"/>
        <v>25115.895417599997</v>
      </c>
      <c r="T146" s="390"/>
      <c r="U146" s="765"/>
    </row>
    <row r="147" spans="2:21" s="109" customFormat="1" x14ac:dyDescent="0.25">
      <c r="B147" s="682" t="s">
        <v>162</v>
      </c>
      <c r="C147" s="683" t="s">
        <v>23</v>
      </c>
      <c r="D147" s="683" t="s">
        <v>122</v>
      </c>
      <c r="E147" s="683" t="s">
        <v>63</v>
      </c>
      <c r="F147" s="683" t="s">
        <v>58</v>
      </c>
      <c r="G147" s="688">
        <v>1647</v>
      </c>
      <c r="H147" s="678">
        <v>1144</v>
      </c>
      <c r="I147" s="773">
        <v>68.64</v>
      </c>
      <c r="J147" s="843">
        <v>5</v>
      </c>
      <c r="K147" s="8">
        <f t="shared" si="73"/>
        <v>1452.88</v>
      </c>
      <c r="L147" s="5">
        <f t="shared" si="71"/>
        <v>1452.88</v>
      </c>
      <c r="M147" s="830">
        <f t="shared" si="65"/>
        <v>18.532800000000009</v>
      </c>
      <c r="N147" s="505">
        <f t="shared" si="66"/>
        <v>87.172800000000009</v>
      </c>
      <c r="O147" s="5">
        <f t="shared" si="67"/>
        <v>327.41280000000012</v>
      </c>
      <c r="P147" s="123">
        <f t="shared" si="68"/>
        <v>1637.0640000000005</v>
      </c>
      <c r="Q147" s="124">
        <f t="shared" si="69"/>
        <v>19644.768000000007</v>
      </c>
      <c r="R147" s="124">
        <f t="shared" si="72"/>
        <v>4732.4246112000019</v>
      </c>
      <c r="S147" s="125">
        <f t="shared" si="70"/>
        <v>24377.192611200007</v>
      </c>
      <c r="T147" s="390"/>
      <c r="U147" s="765"/>
    </row>
    <row r="148" spans="2:21" s="109" customFormat="1" x14ac:dyDescent="0.25">
      <c r="B148" s="682" t="s">
        <v>163</v>
      </c>
      <c r="C148" s="683" t="s">
        <v>23</v>
      </c>
      <c r="D148" s="683" t="s">
        <v>122</v>
      </c>
      <c r="E148" s="683" t="s">
        <v>63</v>
      </c>
      <c r="F148" s="683" t="s">
        <v>58</v>
      </c>
      <c r="G148" s="688">
        <v>1647</v>
      </c>
      <c r="H148" s="678">
        <v>1396</v>
      </c>
      <c r="I148" s="773">
        <v>124.244</v>
      </c>
      <c r="J148" s="844">
        <v>5</v>
      </c>
      <c r="K148" s="8">
        <f t="shared" si="73"/>
        <v>1772.92</v>
      </c>
      <c r="L148" s="5">
        <f t="shared" si="71"/>
        <v>1647</v>
      </c>
      <c r="M148" s="830">
        <f t="shared" si="65"/>
        <v>22.338999999999999</v>
      </c>
      <c r="N148" s="505">
        <f t="shared" si="66"/>
        <v>146.583</v>
      </c>
      <c r="O148" s="5">
        <f t="shared" si="67"/>
        <v>273.339</v>
      </c>
      <c r="P148" s="123">
        <f t="shared" si="68"/>
        <v>1366.6949999999999</v>
      </c>
      <c r="Q148" s="124">
        <f t="shared" si="69"/>
        <v>16400.34</v>
      </c>
      <c r="R148" s="124">
        <f t="shared" si="72"/>
        <v>3950.8419060000001</v>
      </c>
      <c r="S148" s="125">
        <f t="shared" si="70"/>
        <v>20351.181906000002</v>
      </c>
      <c r="T148" s="390"/>
      <c r="U148" s="765"/>
    </row>
    <row r="149" spans="2:21" s="109" customFormat="1" x14ac:dyDescent="0.25">
      <c r="B149" s="682" t="s">
        <v>164</v>
      </c>
      <c r="C149" s="683" t="s">
        <v>23</v>
      </c>
      <c r="D149" s="694" t="s">
        <v>122</v>
      </c>
      <c r="E149" s="694" t="s">
        <v>63</v>
      </c>
      <c r="F149" s="694" t="s">
        <v>58</v>
      </c>
      <c r="G149" s="688">
        <v>1647</v>
      </c>
      <c r="H149" s="678">
        <v>1329</v>
      </c>
      <c r="I149" s="773">
        <v>75.088499999999996</v>
      </c>
      <c r="J149" s="844">
        <v>5</v>
      </c>
      <c r="K149" s="8">
        <f t="shared" si="73"/>
        <v>1687.83</v>
      </c>
      <c r="L149" s="5">
        <f t="shared" si="71"/>
        <v>1647</v>
      </c>
      <c r="M149" s="830">
        <f t="shared" si="65"/>
        <v>17.966999999999999</v>
      </c>
      <c r="N149" s="505">
        <f t="shared" si="66"/>
        <v>93.055499999999995</v>
      </c>
      <c r="O149" s="5">
        <f t="shared" si="67"/>
        <v>335.96699999999998</v>
      </c>
      <c r="P149" s="123">
        <f t="shared" si="68"/>
        <v>1679.835</v>
      </c>
      <c r="Q149" s="124">
        <f t="shared" si="69"/>
        <v>20158.02</v>
      </c>
      <c r="R149" s="124">
        <f t="shared" si="72"/>
        <v>4856.0670179999997</v>
      </c>
      <c r="S149" s="125">
        <f t="shared" si="70"/>
        <v>25014.087017999998</v>
      </c>
      <c r="T149" s="390"/>
      <c r="U149" s="765"/>
    </row>
    <row r="150" spans="2:21" s="109" customFormat="1" x14ac:dyDescent="0.25">
      <c r="B150" s="682" t="s">
        <v>165</v>
      </c>
      <c r="C150" s="683" t="s">
        <v>23</v>
      </c>
      <c r="D150" s="683" t="s">
        <v>122</v>
      </c>
      <c r="E150" s="683" t="s">
        <v>63</v>
      </c>
      <c r="F150" s="683" t="s">
        <v>58</v>
      </c>
      <c r="G150" s="688">
        <v>1647</v>
      </c>
      <c r="H150" s="678">
        <v>1396</v>
      </c>
      <c r="I150" s="773">
        <v>133.59719999999999</v>
      </c>
      <c r="J150" s="844">
        <v>5</v>
      </c>
      <c r="K150" s="8">
        <f t="shared" si="73"/>
        <v>1772.92</v>
      </c>
      <c r="L150" s="5">
        <f t="shared" si="71"/>
        <v>1647</v>
      </c>
      <c r="M150" s="830">
        <f t="shared" si="65"/>
        <v>24.020700000000005</v>
      </c>
      <c r="N150" s="505">
        <f t="shared" si="66"/>
        <v>157.61789999999999</v>
      </c>
      <c r="O150" s="5">
        <f t="shared" si="67"/>
        <v>275.02070000000003</v>
      </c>
      <c r="P150" s="123">
        <f t="shared" si="68"/>
        <v>1375.1035000000002</v>
      </c>
      <c r="Q150" s="124">
        <f t="shared" si="69"/>
        <v>16501.242000000002</v>
      </c>
      <c r="R150" s="124">
        <f t="shared" si="72"/>
        <v>3975.1491978000004</v>
      </c>
      <c r="S150" s="125">
        <f t="shared" si="70"/>
        <v>20476.391197800003</v>
      </c>
      <c r="T150" s="390"/>
      <c r="U150" s="765"/>
    </row>
    <row r="151" spans="2:21" s="52" customFormat="1" x14ac:dyDescent="0.25">
      <c r="B151" s="407" t="s">
        <v>39</v>
      </c>
      <c r="C151" s="54"/>
      <c r="D151" s="54"/>
      <c r="E151" s="54"/>
      <c r="F151" s="54"/>
      <c r="G151" s="56"/>
      <c r="H151" s="6"/>
      <c r="I151" s="57"/>
      <c r="J151" s="405">
        <f>SUM(J98:J150)</f>
        <v>394.75</v>
      </c>
      <c r="K151" s="58"/>
      <c r="L151" s="7"/>
      <c r="M151" s="59"/>
      <c r="N151" s="57"/>
      <c r="O151" s="7"/>
      <c r="P151" s="57"/>
      <c r="Q151" s="60">
        <f>SUM(Q98:Q150)</f>
        <v>1457653.7769899997</v>
      </c>
      <c r="R151" s="60">
        <f>SUM(R98:R150)</f>
        <v>351148.79487689101</v>
      </c>
      <c r="S151" s="61">
        <f>SUM(S98:S150)</f>
        <v>1808802.5718668916</v>
      </c>
      <c r="T151" s="390"/>
      <c r="U151" s="406"/>
    </row>
    <row r="152" spans="2:21" s="109" customFormat="1" x14ac:dyDescent="0.25">
      <c r="B152" s="110" t="s">
        <v>40</v>
      </c>
      <c r="C152" s="111"/>
      <c r="D152" s="111"/>
      <c r="E152" s="111"/>
      <c r="F152" s="111"/>
      <c r="G152" s="792"/>
      <c r="H152" s="113"/>
      <c r="I152" s="117"/>
      <c r="J152" s="793"/>
      <c r="K152" s="116"/>
      <c r="L152" s="117"/>
      <c r="M152" s="118"/>
      <c r="N152" s="117"/>
      <c r="O152" s="117"/>
      <c r="P152" s="117"/>
      <c r="Q152" s="119"/>
      <c r="R152" s="119"/>
      <c r="S152" s="120"/>
      <c r="T152" s="390"/>
      <c r="U152" s="765"/>
    </row>
    <row r="153" spans="2:21" s="109" customFormat="1" x14ac:dyDescent="0.2">
      <c r="B153" s="675" t="s">
        <v>166</v>
      </c>
      <c r="C153" s="676" t="s">
        <v>42</v>
      </c>
      <c r="D153" s="676" t="s">
        <v>25</v>
      </c>
      <c r="E153" s="676" t="s">
        <v>90</v>
      </c>
      <c r="F153" s="676">
        <v>1</v>
      </c>
      <c r="G153" s="677">
        <v>585</v>
      </c>
      <c r="H153" s="678">
        <v>394</v>
      </c>
      <c r="I153" s="773">
        <v>168.435</v>
      </c>
      <c r="J153" s="844">
        <v>6.5</v>
      </c>
      <c r="K153" s="8">
        <f t="shared" ref="K153:K216" si="74">H153*1.27</f>
        <v>500.38</v>
      </c>
      <c r="L153" s="5">
        <f t="shared" ref="L153:L216" si="75">IF(K153&lt;=G153,K153,G153)</f>
        <v>500.38</v>
      </c>
      <c r="M153" s="830">
        <f t="shared" ref="M153:M216" si="76">N153-I153</f>
        <v>45.477450000000005</v>
      </c>
      <c r="N153" s="505">
        <f t="shared" ref="N153:N216" si="77">I153/H153*L153</f>
        <v>213.91245000000001</v>
      </c>
      <c r="O153" s="5">
        <f t="shared" ref="O153:O216" si="78">L153-H153+M153</f>
        <v>151.85745</v>
      </c>
      <c r="P153" s="123">
        <f t="shared" ref="P153:P216" si="79">O153*J153</f>
        <v>987.07342500000004</v>
      </c>
      <c r="Q153" s="124">
        <f t="shared" ref="Q153:Q216" si="80">P153*12</f>
        <v>11844.881100000001</v>
      </c>
      <c r="R153" s="124">
        <f t="shared" ref="R153:R216" si="81">Q153*0.2409</f>
        <v>2853.4318569900001</v>
      </c>
      <c r="S153" s="125">
        <f t="shared" ref="S153:S216" si="82">Q153+R153</f>
        <v>14698.312956990001</v>
      </c>
      <c r="T153" s="390"/>
      <c r="U153" s="765"/>
    </row>
    <row r="154" spans="2:21" s="109" customFormat="1" x14ac:dyDescent="0.25">
      <c r="B154" s="669" t="s">
        <v>166</v>
      </c>
      <c r="C154" s="670" t="s">
        <v>42</v>
      </c>
      <c r="D154" s="670" t="s">
        <v>25</v>
      </c>
      <c r="E154" s="670" t="s">
        <v>90</v>
      </c>
      <c r="F154" s="670">
        <v>2</v>
      </c>
      <c r="G154" s="677">
        <v>740</v>
      </c>
      <c r="H154" s="678">
        <v>400</v>
      </c>
      <c r="I154" s="773">
        <v>171</v>
      </c>
      <c r="J154" s="844">
        <v>1</v>
      </c>
      <c r="K154" s="8">
        <f t="shared" si="74"/>
        <v>508</v>
      </c>
      <c r="L154" s="5">
        <f t="shared" si="75"/>
        <v>508</v>
      </c>
      <c r="M154" s="830">
        <f t="shared" si="76"/>
        <v>46.169999999999987</v>
      </c>
      <c r="N154" s="505">
        <f t="shared" si="77"/>
        <v>217.17</v>
      </c>
      <c r="O154" s="5">
        <f t="shared" si="78"/>
        <v>154.16999999999999</v>
      </c>
      <c r="P154" s="123">
        <f t="shared" si="79"/>
        <v>154.16999999999999</v>
      </c>
      <c r="Q154" s="124">
        <f t="shared" si="80"/>
        <v>1850.04</v>
      </c>
      <c r="R154" s="124">
        <f t="shared" si="81"/>
        <v>445.67463600000002</v>
      </c>
      <c r="S154" s="125">
        <f t="shared" si="82"/>
        <v>2295.7146360000002</v>
      </c>
      <c r="T154" s="390"/>
      <c r="U154" s="765"/>
    </row>
    <row r="155" spans="2:21" s="109" customFormat="1" x14ac:dyDescent="0.25">
      <c r="B155" s="669" t="s">
        <v>166</v>
      </c>
      <c r="C155" s="670" t="s">
        <v>42</v>
      </c>
      <c r="D155" s="670" t="s">
        <v>25</v>
      </c>
      <c r="E155" s="670" t="s">
        <v>90</v>
      </c>
      <c r="F155" s="670">
        <v>3</v>
      </c>
      <c r="G155" s="671">
        <v>899</v>
      </c>
      <c r="H155" s="672">
        <v>406</v>
      </c>
      <c r="I155" s="773">
        <v>173.565</v>
      </c>
      <c r="J155" s="842">
        <v>26.5</v>
      </c>
      <c r="K155" s="8">
        <f t="shared" si="74"/>
        <v>515.62</v>
      </c>
      <c r="L155" s="5">
        <f t="shared" si="75"/>
        <v>515.62</v>
      </c>
      <c r="M155" s="830">
        <f t="shared" si="76"/>
        <v>46.862549999999999</v>
      </c>
      <c r="N155" s="505">
        <f t="shared" si="77"/>
        <v>220.42755</v>
      </c>
      <c r="O155" s="5">
        <f t="shared" si="78"/>
        <v>156.48255</v>
      </c>
      <c r="P155" s="123">
        <f t="shared" si="79"/>
        <v>4146.7875750000003</v>
      </c>
      <c r="Q155" s="124">
        <f t="shared" si="80"/>
        <v>49761.450900000003</v>
      </c>
      <c r="R155" s="124">
        <f t="shared" si="81"/>
        <v>11987.533521810001</v>
      </c>
      <c r="S155" s="125">
        <f t="shared" si="82"/>
        <v>61748.984421810004</v>
      </c>
      <c r="T155" s="419"/>
      <c r="U155" s="765"/>
    </row>
    <row r="156" spans="2:21" s="109" customFormat="1" x14ac:dyDescent="0.25">
      <c r="B156" s="669" t="s">
        <v>167</v>
      </c>
      <c r="C156" s="670" t="s">
        <v>42</v>
      </c>
      <c r="D156" s="670" t="s">
        <v>25</v>
      </c>
      <c r="E156" s="670" t="s">
        <v>83</v>
      </c>
      <c r="F156" s="670">
        <v>3</v>
      </c>
      <c r="G156" s="671">
        <v>996</v>
      </c>
      <c r="H156" s="672">
        <v>447</v>
      </c>
      <c r="I156" s="773">
        <v>191.0925</v>
      </c>
      <c r="J156" s="842">
        <v>3</v>
      </c>
      <c r="K156" s="8">
        <f t="shared" si="74"/>
        <v>567.69000000000005</v>
      </c>
      <c r="L156" s="5">
        <f t="shared" si="75"/>
        <v>567.69000000000005</v>
      </c>
      <c r="M156" s="830">
        <f t="shared" si="76"/>
        <v>51.594975000000005</v>
      </c>
      <c r="N156" s="505">
        <f t="shared" si="77"/>
        <v>242.68747500000001</v>
      </c>
      <c r="O156" s="5">
        <f t="shared" si="78"/>
        <v>172.28497500000006</v>
      </c>
      <c r="P156" s="123">
        <f t="shared" si="79"/>
        <v>516.85492500000021</v>
      </c>
      <c r="Q156" s="124">
        <f t="shared" si="80"/>
        <v>6202.2591000000029</v>
      </c>
      <c r="R156" s="124">
        <f t="shared" si="81"/>
        <v>1494.1242171900008</v>
      </c>
      <c r="S156" s="125">
        <f t="shared" si="82"/>
        <v>7696.3833171900042</v>
      </c>
      <c r="T156" s="419"/>
      <c r="U156" s="765"/>
    </row>
    <row r="157" spans="2:21" s="109" customFormat="1" x14ac:dyDescent="0.2">
      <c r="B157" s="695" t="s">
        <v>168</v>
      </c>
      <c r="C157" s="687" t="s">
        <v>107</v>
      </c>
      <c r="D157" s="687" t="s">
        <v>93</v>
      </c>
      <c r="E157" s="687" t="s">
        <v>78</v>
      </c>
      <c r="F157" s="683">
        <v>1</v>
      </c>
      <c r="G157" s="688">
        <v>745</v>
      </c>
      <c r="H157" s="690">
        <v>424</v>
      </c>
      <c r="I157" s="773">
        <v>223.66</v>
      </c>
      <c r="J157" s="843">
        <v>174.75</v>
      </c>
      <c r="K157" s="8">
        <f t="shared" si="74"/>
        <v>538.48</v>
      </c>
      <c r="L157" s="5">
        <f t="shared" si="75"/>
        <v>538.48</v>
      </c>
      <c r="M157" s="830">
        <f t="shared" si="76"/>
        <v>60.388200000000012</v>
      </c>
      <c r="N157" s="505">
        <f t="shared" si="77"/>
        <v>284.04820000000001</v>
      </c>
      <c r="O157" s="5">
        <f t="shared" si="78"/>
        <v>174.86820000000003</v>
      </c>
      <c r="P157" s="123">
        <f t="shared" si="79"/>
        <v>30558.217950000006</v>
      </c>
      <c r="Q157" s="124">
        <f t="shared" si="80"/>
        <v>366698.61540000007</v>
      </c>
      <c r="R157" s="124">
        <f t="shared" si="81"/>
        <v>88337.696449860014</v>
      </c>
      <c r="S157" s="125">
        <f t="shared" si="82"/>
        <v>455036.31184986007</v>
      </c>
      <c r="T157" s="419"/>
      <c r="U157" s="765"/>
    </row>
    <row r="158" spans="2:21" s="109" customFormat="1" x14ac:dyDescent="0.2">
      <c r="B158" s="695" t="s">
        <v>168</v>
      </c>
      <c r="C158" s="687" t="s">
        <v>107</v>
      </c>
      <c r="D158" s="687" t="s">
        <v>93</v>
      </c>
      <c r="E158" s="687" t="s">
        <v>78</v>
      </c>
      <c r="F158" s="687">
        <v>2</v>
      </c>
      <c r="G158" s="688">
        <v>920</v>
      </c>
      <c r="H158" s="690">
        <v>432</v>
      </c>
      <c r="I158" s="773">
        <v>184.68</v>
      </c>
      <c r="J158" s="843">
        <v>69.75</v>
      </c>
      <c r="K158" s="8">
        <f t="shared" si="74"/>
        <v>548.64</v>
      </c>
      <c r="L158" s="5">
        <f t="shared" si="75"/>
        <v>548.64</v>
      </c>
      <c r="M158" s="830">
        <f t="shared" si="76"/>
        <v>49.863599999999991</v>
      </c>
      <c r="N158" s="505">
        <f t="shared" si="77"/>
        <v>234.5436</v>
      </c>
      <c r="O158" s="5">
        <f t="shared" si="78"/>
        <v>166.50359999999998</v>
      </c>
      <c r="P158" s="123">
        <f t="shared" si="79"/>
        <v>11613.626099999998</v>
      </c>
      <c r="Q158" s="124">
        <f t="shared" si="80"/>
        <v>139363.51319999999</v>
      </c>
      <c r="R158" s="124">
        <f t="shared" si="81"/>
        <v>33572.670329879998</v>
      </c>
      <c r="S158" s="125">
        <f t="shared" si="82"/>
        <v>172936.18352987999</v>
      </c>
      <c r="T158" s="419"/>
      <c r="U158" s="765"/>
    </row>
    <row r="159" spans="2:21" s="109" customFormat="1" x14ac:dyDescent="0.2">
      <c r="B159" s="675" t="s">
        <v>168</v>
      </c>
      <c r="C159" s="683" t="s">
        <v>107</v>
      </c>
      <c r="D159" s="683" t="s">
        <v>93</v>
      </c>
      <c r="E159" s="683" t="s">
        <v>78</v>
      </c>
      <c r="F159" s="683">
        <v>3</v>
      </c>
      <c r="G159" s="677">
        <v>1093</v>
      </c>
      <c r="H159" s="678">
        <v>450</v>
      </c>
      <c r="I159" s="773">
        <v>192.375</v>
      </c>
      <c r="J159" s="843">
        <v>216</v>
      </c>
      <c r="K159" s="8">
        <f t="shared" si="74"/>
        <v>571.5</v>
      </c>
      <c r="L159" s="5">
        <f t="shared" si="75"/>
        <v>571.5</v>
      </c>
      <c r="M159" s="830">
        <f t="shared" si="76"/>
        <v>51.941249999999997</v>
      </c>
      <c r="N159" s="505">
        <f t="shared" si="77"/>
        <v>244.31625</v>
      </c>
      <c r="O159" s="5">
        <f t="shared" si="78"/>
        <v>173.44125</v>
      </c>
      <c r="P159" s="123">
        <f t="shared" si="79"/>
        <v>37463.31</v>
      </c>
      <c r="Q159" s="124">
        <f t="shared" si="80"/>
        <v>449559.72</v>
      </c>
      <c r="R159" s="124">
        <f t="shared" si="81"/>
        <v>108298.936548</v>
      </c>
      <c r="S159" s="125">
        <f t="shared" si="82"/>
        <v>557858.65654799994</v>
      </c>
      <c r="T159" s="419"/>
      <c r="U159" s="765"/>
    </row>
    <row r="160" spans="2:21" s="109" customFormat="1" x14ac:dyDescent="0.2">
      <c r="B160" s="675" t="s">
        <v>169</v>
      </c>
      <c r="C160" s="683" t="s">
        <v>107</v>
      </c>
      <c r="D160" s="683" t="s">
        <v>38</v>
      </c>
      <c r="E160" s="683" t="s">
        <v>74</v>
      </c>
      <c r="F160" s="683">
        <v>1</v>
      </c>
      <c r="G160" s="677">
        <v>835</v>
      </c>
      <c r="H160" s="678">
        <v>485</v>
      </c>
      <c r="I160" s="773">
        <v>207.33750000000001</v>
      </c>
      <c r="J160" s="843">
        <v>26.75</v>
      </c>
      <c r="K160" s="8">
        <f t="shared" si="74"/>
        <v>615.95000000000005</v>
      </c>
      <c r="L160" s="5">
        <f t="shared" si="75"/>
        <v>615.95000000000005</v>
      </c>
      <c r="M160" s="830">
        <f t="shared" si="76"/>
        <v>55.981124999999992</v>
      </c>
      <c r="N160" s="505">
        <f t="shared" si="77"/>
        <v>263.318625</v>
      </c>
      <c r="O160" s="5">
        <f t="shared" si="78"/>
        <v>186.93112500000004</v>
      </c>
      <c r="P160" s="123">
        <f t="shared" si="79"/>
        <v>5000.4075937500011</v>
      </c>
      <c r="Q160" s="124">
        <f t="shared" si="80"/>
        <v>60004.891125000009</v>
      </c>
      <c r="R160" s="124">
        <f t="shared" si="81"/>
        <v>14455.178272012503</v>
      </c>
      <c r="S160" s="125">
        <f t="shared" si="82"/>
        <v>74460.069397012514</v>
      </c>
      <c r="T160" s="419"/>
      <c r="U160" s="765"/>
    </row>
    <row r="161" spans="2:21" s="109" customFormat="1" x14ac:dyDescent="0.2">
      <c r="B161" s="679" t="s">
        <v>169</v>
      </c>
      <c r="C161" s="683" t="s">
        <v>107</v>
      </c>
      <c r="D161" s="683" t="s">
        <v>38</v>
      </c>
      <c r="E161" s="683" t="s">
        <v>74</v>
      </c>
      <c r="F161" s="683">
        <v>2</v>
      </c>
      <c r="G161" s="677">
        <v>1015</v>
      </c>
      <c r="H161" s="678">
        <v>527</v>
      </c>
      <c r="I161" s="773">
        <v>225.29249999999999</v>
      </c>
      <c r="J161" s="843">
        <v>37</v>
      </c>
      <c r="K161" s="8">
        <f t="shared" si="74"/>
        <v>669.29</v>
      </c>
      <c r="L161" s="5">
        <f t="shared" si="75"/>
        <v>669.29</v>
      </c>
      <c r="M161" s="830">
        <f t="shared" si="76"/>
        <v>60.828974999999986</v>
      </c>
      <c r="N161" s="505">
        <f t="shared" si="77"/>
        <v>286.12147499999998</v>
      </c>
      <c r="O161" s="5">
        <f t="shared" si="78"/>
        <v>203.11897499999995</v>
      </c>
      <c r="P161" s="123">
        <f t="shared" si="79"/>
        <v>7515.4020749999981</v>
      </c>
      <c r="Q161" s="124">
        <f t="shared" si="80"/>
        <v>90184.824899999978</v>
      </c>
      <c r="R161" s="124">
        <f t="shared" si="81"/>
        <v>21725.524318409996</v>
      </c>
      <c r="S161" s="125">
        <f t="shared" si="82"/>
        <v>111910.34921840997</v>
      </c>
      <c r="T161" s="419"/>
      <c r="U161" s="765"/>
    </row>
    <row r="162" spans="2:21" s="109" customFormat="1" x14ac:dyDescent="0.2">
      <c r="B162" s="675" t="s">
        <v>169</v>
      </c>
      <c r="C162" s="683" t="s">
        <v>107</v>
      </c>
      <c r="D162" s="683" t="s">
        <v>38</v>
      </c>
      <c r="E162" s="683" t="s">
        <v>74</v>
      </c>
      <c r="F162" s="683">
        <v>3</v>
      </c>
      <c r="G162" s="677">
        <v>1190</v>
      </c>
      <c r="H162" s="678">
        <v>581</v>
      </c>
      <c r="I162" s="773">
        <v>306.47749999999996</v>
      </c>
      <c r="J162" s="843">
        <v>759.75</v>
      </c>
      <c r="K162" s="8">
        <f t="shared" si="74"/>
        <v>737.87</v>
      </c>
      <c r="L162" s="5">
        <f t="shared" si="75"/>
        <v>737.87</v>
      </c>
      <c r="M162" s="830">
        <f t="shared" si="76"/>
        <v>82.748925000000042</v>
      </c>
      <c r="N162" s="505">
        <f t="shared" si="77"/>
        <v>389.22642500000001</v>
      </c>
      <c r="O162" s="5">
        <f t="shared" si="78"/>
        <v>239.61892500000005</v>
      </c>
      <c r="P162" s="123">
        <f t="shared" si="79"/>
        <v>182050.47826875004</v>
      </c>
      <c r="Q162" s="124">
        <f t="shared" si="80"/>
        <v>2184605.7392250006</v>
      </c>
      <c r="R162" s="124">
        <f t="shared" si="81"/>
        <v>526271.52257930266</v>
      </c>
      <c r="S162" s="125">
        <f t="shared" si="82"/>
        <v>2710877.2618043032</v>
      </c>
      <c r="T162" s="419"/>
      <c r="U162" s="765"/>
    </row>
    <row r="163" spans="2:21" s="109" customFormat="1" x14ac:dyDescent="0.2">
      <c r="B163" s="675" t="s">
        <v>170</v>
      </c>
      <c r="C163" s="683" t="s">
        <v>107</v>
      </c>
      <c r="D163" s="683" t="s">
        <v>171</v>
      </c>
      <c r="E163" s="683" t="s">
        <v>65</v>
      </c>
      <c r="F163" s="683">
        <v>3</v>
      </c>
      <c r="G163" s="677">
        <v>1287</v>
      </c>
      <c r="H163" s="678">
        <v>608</v>
      </c>
      <c r="I163" s="773">
        <v>259.92</v>
      </c>
      <c r="J163" s="843">
        <v>34.25</v>
      </c>
      <c r="K163" s="8">
        <f t="shared" si="74"/>
        <v>772.16</v>
      </c>
      <c r="L163" s="5">
        <f t="shared" si="75"/>
        <v>772.16</v>
      </c>
      <c r="M163" s="830">
        <f t="shared" si="76"/>
        <v>70.178400000000011</v>
      </c>
      <c r="N163" s="505">
        <f t="shared" si="77"/>
        <v>330.09840000000003</v>
      </c>
      <c r="O163" s="5">
        <f t="shared" si="78"/>
        <v>234.33839999999998</v>
      </c>
      <c r="P163" s="123">
        <f t="shared" si="79"/>
        <v>8026.0901999999996</v>
      </c>
      <c r="Q163" s="124">
        <f t="shared" si="80"/>
        <v>96313.082399999999</v>
      </c>
      <c r="R163" s="124">
        <f t="shared" si="81"/>
        <v>23201.821550159999</v>
      </c>
      <c r="S163" s="125">
        <f t="shared" si="82"/>
        <v>119514.90395015999</v>
      </c>
      <c r="T163" s="419"/>
      <c r="U163" s="765"/>
    </row>
    <row r="164" spans="2:21" s="109" customFormat="1" x14ac:dyDescent="0.2">
      <c r="B164" s="675" t="s">
        <v>170</v>
      </c>
      <c r="C164" s="683" t="s">
        <v>107</v>
      </c>
      <c r="D164" s="683" t="s">
        <v>171</v>
      </c>
      <c r="E164" s="683" t="s">
        <v>65</v>
      </c>
      <c r="F164" s="683">
        <v>3</v>
      </c>
      <c r="G164" s="677">
        <v>1287</v>
      </c>
      <c r="H164" s="678">
        <v>627</v>
      </c>
      <c r="I164" s="773">
        <v>268.04250000000002</v>
      </c>
      <c r="J164" s="843">
        <v>17.25</v>
      </c>
      <c r="K164" s="8">
        <f t="shared" si="74"/>
        <v>796.29</v>
      </c>
      <c r="L164" s="5">
        <f t="shared" si="75"/>
        <v>796.29</v>
      </c>
      <c r="M164" s="830">
        <f t="shared" si="76"/>
        <v>72.371474999999975</v>
      </c>
      <c r="N164" s="505">
        <f t="shared" si="77"/>
        <v>340.41397499999999</v>
      </c>
      <c r="O164" s="5">
        <f t="shared" si="78"/>
        <v>241.66147499999994</v>
      </c>
      <c r="P164" s="123">
        <f t="shared" si="79"/>
        <v>4168.6604437499991</v>
      </c>
      <c r="Q164" s="124">
        <f t="shared" si="80"/>
        <v>50023.925324999989</v>
      </c>
      <c r="R164" s="124">
        <f t="shared" si="81"/>
        <v>12050.763610792497</v>
      </c>
      <c r="S164" s="125">
        <f t="shared" si="82"/>
        <v>62074.688935792488</v>
      </c>
      <c r="T164" s="419"/>
      <c r="U164" s="765"/>
    </row>
    <row r="165" spans="2:21" s="109" customFormat="1" x14ac:dyDescent="0.2">
      <c r="B165" s="675" t="s">
        <v>170</v>
      </c>
      <c r="C165" s="683" t="s">
        <v>107</v>
      </c>
      <c r="D165" s="683" t="s">
        <v>171</v>
      </c>
      <c r="E165" s="683" t="s">
        <v>65</v>
      </c>
      <c r="F165" s="683">
        <v>3</v>
      </c>
      <c r="G165" s="677">
        <v>1287</v>
      </c>
      <c r="H165" s="678">
        <v>647</v>
      </c>
      <c r="I165" s="773">
        <v>276.59249999999997</v>
      </c>
      <c r="J165" s="843">
        <v>5</v>
      </c>
      <c r="K165" s="8">
        <f t="shared" si="74"/>
        <v>821.69</v>
      </c>
      <c r="L165" s="5">
        <f t="shared" si="75"/>
        <v>821.69</v>
      </c>
      <c r="M165" s="830">
        <f t="shared" si="76"/>
        <v>74.679975000000013</v>
      </c>
      <c r="N165" s="505">
        <f t="shared" si="77"/>
        <v>351.27247499999999</v>
      </c>
      <c r="O165" s="5">
        <f t="shared" si="78"/>
        <v>249.36997500000007</v>
      </c>
      <c r="P165" s="123">
        <f t="shared" si="79"/>
        <v>1246.8498750000003</v>
      </c>
      <c r="Q165" s="124">
        <f t="shared" si="80"/>
        <v>14962.198500000004</v>
      </c>
      <c r="R165" s="124">
        <f t="shared" si="81"/>
        <v>3604.3936186500009</v>
      </c>
      <c r="S165" s="125">
        <f t="shared" si="82"/>
        <v>18566.592118650005</v>
      </c>
      <c r="T165" s="419"/>
      <c r="U165" s="765"/>
    </row>
    <row r="166" spans="2:21" s="109" customFormat="1" ht="25.5" x14ac:dyDescent="0.25">
      <c r="B166" s="669" t="s">
        <v>172</v>
      </c>
      <c r="C166" s="683" t="s">
        <v>107</v>
      </c>
      <c r="D166" s="683" t="s">
        <v>171</v>
      </c>
      <c r="E166" s="683" t="s">
        <v>65</v>
      </c>
      <c r="F166" s="683">
        <v>3</v>
      </c>
      <c r="G166" s="677">
        <v>1287</v>
      </c>
      <c r="H166" s="678">
        <v>757</v>
      </c>
      <c r="I166" s="773">
        <v>0</v>
      </c>
      <c r="J166" s="844">
        <v>6</v>
      </c>
      <c r="K166" s="8">
        <f t="shared" si="74"/>
        <v>961.39</v>
      </c>
      <c r="L166" s="5">
        <f t="shared" si="75"/>
        <v>961.39</v>
      </c>
      <c r="M166" s="830">
        <f t="shared" si="76"/>
        <v>0</v>
      </c>
      <c r="N166" s="505">
        <f t="shared" si="77"/>
        <v>0</v>
      </c>
      <c r="O166" s="5">
        <f t="shared" si="78"/>
        <v>204.39</v>
      </c>
      <c r="P166" s="123">
        <f t="shared" si="79"/>
        <v>1226.3399999999999</v>
      </c>
      <c r="Q166" s="124">
        <f t="shared" si="80"/>
        <v>14716.079999999998</v>
      </c>
      <c r="R166" s="124">
        <f t="shared" si="81"/>
        <v>3545.1036719999997</v>
      </c>
      <c r="S166" s="125">
        <f t="shared" si="82"/>
        <v>18261.183671999999</v>
      </c>
      <c r="T166" s="419"/>
      <c r="U166" s="765"/>
    </row>
    <row r="167" spans="2:21" s="109" customFormat="1" ht="25.5" x14ac:dyDescent="0.2">
      <c r="B167" s="675" t="s">
        <v>172</v>
      </c>
      <c r="C167" s="676" t="s">
        <v>107</v>
      </c>
      <c r="D167" s="676" t="s">
        <v>171</v>
      </c>
      <c r="E167" s="676" t="s">
        <v>65</v>
      </c>
      <c r="F167" s="676">
        <v>3</v>
      </c>
      <c r="G167" s="677">
        <v>1287</v>
      </c>
      <c r="H167" s="678">
        <v>928</v>
      </c>
      <c r="I167" s="773">
        <v>0</v>
      </c>
      <c r="J167" s="844">
        <v>1</v>
      </c>
      <c r="K167" s="8">
        <f t="shared" si="74"/>
        <v>1178.56</v>
      </c>
      <c r="L167" s="5">
        <f t="shared" si="75"/>
        <v>1178.56</v>
      </c>
      <c r="M167" s="830">
        <f t="shared" si="76"/>
        <v>0</v>
      </c>
      <c r="N167" s="505">
        <f t="shared" si="77"/>
        <v>0</v>
      </c>
      <c r="O167" s="5">
        <f t="shared" si="78"/>
        <v>250.55999999999995</v>
      </c>
      <c r="P167" s="123">
        <f t="shared" si="79"/>
        <v>250.55999999999995</v>
      </c>
      <c r="Q167" s="124">
        <f t="shared" si="80"/>
        <v>3006.7199999999993</v>
      </c>
      <c r="R167" s="124">
        <f t="shared" si="81"/>
        <v>724.31884799999989</v>
      </c>
      <c r="S167" s="125">
        <f t="shared" si="82"/>
        <v>3731.0388479999992</v>
      </c>
      <c r="T167" s="419"/>
      <c r="U167" s="765"/>
    </row>
    <row r="168" spans="2:21" s="109" customFormat="1" ht="25.5" x14ac:dyDescent="0.2">
      <c r="B168" s="675" t="s">
        <v>173</v>
      </c>
      <c r="C168" s="683" t="s">
        <v>107</v>
      </c>
      <c r="D168" s="683" t="s">
        <v>171</v>
      </c>
      <c r="E168" s="683" t="s">
        <v>65</v>
      </c>
      <c r="F168" s="683">
        <v>3</v>
      </c>
      <c r="G168" s="677">
        <v>1287</v>
      </c>
      <c r="H168" s="678">
        <v>1089</v>
      </c>
      <c r="I168" s="773">
        <v>0</v>
      </c>
      <c r="J168" s="843">
        <v>10</v>
      </c>
      <c r="K168" s="8">
        <f t="shared" si="74"/>
        <v>1383.03</v>
      </c>
      <c r="L168" s="5">
        <f t="shared" si="75"/>
        <v>1287</v>
      </c>
      <c r="M168" s="830">
        <f t="shared" si="76"/>
        <v>0</v>
      </c>
      <c r="N168" s="505">
        <f t="shared" si="77"/>
        <v>0</v>
      </c>
      <c r="O168" s="5">
        <f t="shared" si="78"/>
        <v>198</v>
      </c>
      <c r="P168" s="123">
        <f t="shared" si="79"/>
        <v>1980</v>
      </c>
      <c r="Q168" s="124">
        <f t="shared" si="80"/>
        <v>23760</v>
      </c>
      <c r="R168" s="124">
        <f t="shared" si="81"/>
        <v>5723.7839999999997</v>
      </c>
      <c r="S168" s="125">
        <f t="shared" si="82"/>
        <v>29483.784</v>
      </c>
      <c r="T168" s="419"/>
      <c r="U168" s="765"/>
    </row>
    <row r="169" spans="2:21" s="109" customFormat="1" ht="25.5" x14ac:dyDescent="0.2">
      <c r="B169" s="675" t="s">
        <v>174</v>
      </c>
      <c r="C169" s="683" t="s">
        <v>107</v>
      </c>
      <c r="D169" s="683" t="s">
        <v>171</v>
      </c>
      <c r="E169" s="683" t="s">
        <v>65</v>
      </c>
      <c r="F169" s="683">
        <v>3</v>
      </c>
      <c r="G169" s="677">
        <v>1287</v>
      </c>
      <c r="H169" s="678">
        <v>1158</v>
      </c>
      <c r="I169" s="773">
        <v>0</v>
      </c>
      <c r="J169" s="843">
        <v>4</v>
      </c>
      <c r="K169" s="8">
        <f t="shared" si="74"/>
        <v>1470.66</v>
      </c>
      <c r="L169" s="5">
        <f t="shared" si="75"/>
        <v>1287</v>
      </c>
      <c r="M169" s="830">
        <f t="shared" si="76"/>
        <v>0</v>
      </c>
      <c r="N169" s="505">
        <f t="shared" si="77"/>
        <v>0</v>
      </c>
      <c r="O169" s="5">
        <f t="shared" si="78"/>
        <v>129</v>
      </c>
      <c r="P169" s="123">
        <f t="shared" si="79"/>
        <v>516</v>
      </c>
      <c r="Q169" s="124">
        <f t="shared" si="80"/>
        <v>6192</v>
      </c>
      <c r="R169" s="124">
        <f t="shared" si="81"/>
        <v>1491.6528000000001</v>
      </c>
      <c r="S169" s="125">
        <f t="shared" si="82"/>
        <v>7683.6527999999998</v>
      </c>
      <c r="T169" s="419"/>
      <c r="U169" s="765"/>
    </row>
    <row r="170" spans="2:21" s="109" customFormat="1" ht="38.25" x14ac:dyDescent="0.2">
      <c r="B170" s="695" t="s">
        <v>175</v>
      </c>
      <c r="C170" s="687" t="s">
        <v>107</v>
      </c>
      <c r="D170" s="687" t="s">
        <v>171</v>
      </c>
      <c r="E170" s="687" t="s">
        <v>65</v>
      </c>
      <c r="F170" s="687">
        <v>3</v>
      </c>
      <c r="G170" s="677">
        <v>1287</v>
      </c>
      <c r="H170" s="690">
        <v>955</v>
      </c>
      <c r="I170" s="773">
        <v>0</v>
      </c>
      <c r="J170" s="843">
        <v>10</v>
      </c>
      <c r="K170" s="8">
        <f t="shared" si="74"/>
        <v>1212.8499999999999</v>
      </c>
      <c r="L170" s="5">
        <f t="shared" si="75"/>
        <v>1212.8499999999999</v>
      </c>
      <c r="M170" s="830">
        <f t="shared" si="76"/>
        <v>0</v>
      </c>
      <c r="N170" s="505">
        <f t="shared" si="77"/>
        <v>0</v>
      </c>
      <c r="O170" s="5">
        <f t="shared" si="78"/>
        <v>257.84999999999991</v>
      </c>
      <c r="P170" s="123">
        <f t="shared" si="79"/>
        <v>2578.4999999999991</v>
      </c>
      <c r="Q170" s="124">
        <f t="shared" si="80"/>
        <v>30941.999999999989</v>
      </c>
      <c r="R170" s="124">
        <f t="shared" si="81"/>
        <v>7453.9277999999977</v>
      </c>
      <c r="S170" s="125">
        <f t="shared" si="82"/>
        <v>38395.92779999999</v>
      </c>
      <c r="T170" s="419"/>
      <c r="U170" s="765"/>
    </row>
    <row r="171" spans="2:21" s="109" customFormat="1" ht="25.5" x14ac:dyDescent="0.2">
      <c r="B171" s="675" t="s">
        <v>176</v>
      </c>
      <c r="C171" s="683" t="s">
        <v>107</v>
      </c>
      <c r="D171" s="683" t="s">
        <v>171</v>
      </c>
      <c r="E171" s="683" t="s">
        <v>65</v>
      </c>
      <c r="F171" s="683">
        <v>2</v>
      </c>
      <c r="G171" s="688">
        <v>1115</v>
      </c>
      <c r="H171" s="678">
        <v>915</v>
      </c>
      <c r="I171" s="773">
        <v>0</v>
      </c>
      <c r="J171" s="844">
        <v>1</v>
      </c>
      <c r="K171" s="8">
        <f t="shared" si="74"/>
        <v>1162.05</v>
      </c>
      <c r="L171" s="5">
        <f t="shared" si="75"/>
        <v>1115</v>
      </c>
      <c r="M171" s="830">
        <f t="shared" si="76"/>
        <v>0</v>
      </c>
      <c r="N171" s="505">
        <f t="shared" si="77"/>
        <v>0</v>
      </c>
      <c r="O171" s="5">
        <f t="shared" si="78"/>
        <v>200</v>
      </c>
      <c r="P171" s="123">
        <f t="shared" si="79"/>
        <v>200</v>
      </c>
      <c r="Q171" s="124">
        <f t="shared" si="80"/>
        <v>2400</v>
      </c>
      <c r="R171" s="124">
        <f t="shared" si="81"/>
        <v>578.16</v>
      </c>
      <c r="S171" s="125">
        <f t="shared" si="82"/>
        <v>2978.16</v>
      </c>
      <c r="T171" s="419"/>
      <c r="U171" s="765"/>
    </row>
    <row r="172" spans="2:21" s="109" customFormat="1" ht="25.5" x14ac:dyDescent="0.25">
      <c r="B172" s="669" t="s">
        <v>176</v>
      </c>
      <c r="C172" s="683" t="s">
        <v>107</v>
      </c>
      <c r="D172" s="683" t="s">
        <v>171</v>
      </c>
      <c r="E172" s="683" t="s">
        <v>65</v>
      </c>
      <c r="F172" s="683">
        <v>3</v>
      </c>
      <c r="G172" s="688">
        <v>1287</v>
      </c>
      <c r="H172" s="678">
        <v>1015</v>
      </c>
      <c r="I172" s="773">
        <v>0</v>
      </c>
      <c r="J172" s="844">
        <v>4</v>
      </c>
      <c r="K172" s="8">
        <f t="shared" si="74"/>
        <v>1289.05</v>
      </c>
      <c r="L172" s="5">
        <f t="shared" si="75"/>
        <v>1287</v>
      </c>
      <c r="M172" s="830">
        <f t="shared" si="76"/>
        <v>0</v>
      </c>
      <c r="N172" s="505">
        <f t="shared" si="77"/>
        <v>0</v>
      </c>
      <c r="O172" s="5">
        <f t="shared" si="78"/>
        <v>272</v>
      </c>
      <c r="P172" s="123">
        <f t="shared" si="79"/>
        <v>1088</v>
      </c>
      <c r="Q172" s="124">
        <f t="shared" si="80"/>
        <v>13056</v>
      </c>
      <c r="R172" s="124">
        <f t="shared" si="81"/>
        <v>3145.1904</v>
      </c>
      <c r="S172" s="125">
        <f t="shared" si="82"/>
        <v>16201.190399999999</v>
      </c>
      <c r="T172" s="419"/>
      <c r="U172" s="765"/>
    </row>
    <row r="173" spans="2:21" s="109" customFormat="1" ht="25.5" x14ac:dyDescent="0.25">
      <c r="B173" s="669" t="s">
        <v>177</v>
      </c>
      <c r="C173" s="683" t="s">
        <v>107</v>
      </c>
      <c r="D173" s="683" t="s">
        <v>171</v>
      </c>
      <c r="E173" s="683" t="s">
        <v>65</v>
      </c>
      <c r="F173" s="683">
        <v>3</v>
      </c>
      <c r="G173" s="688">
        <v>1287</v>
      </c>
      <c r="H173" s="678">
        <v>1012</v>
      </c>
      <c r="I173" s="773">
        <v>0</v>
      </c>
      <c r="J173" s="844">
        <v>1</v>
      </c>
      <c r="K173" s="8">
        <f t="shared" si="74"/>
        <v>1285.24</v>
      </c>
      <c r="L173" s="5">
        <f t="shared" si="75"/>
        <v>1285.24</v>
      </c>
      <c r="M173" s="830">
        <f t="shared" si="76"/>
        <v>0</v>
      </c>
      <c r="N173" s="505">
        <f t="shared" si="77"/>
        <v>0</v>
      </c>
      <c r="O173" s="5">
        <f t="shared" si="78"/>
        <v>273.24</v>
      </c>
      <c r="P173" s="123">
        <f t="shared" si="79"/>
        <v>273.24</v>
      </c>
      <c r="Q173" s="124">
        <f t="shared" si="80"/>
        <v>3278.88</v>
      </c>
      <c r="R173" s="124">
        <f t="shared" si="81"/>
        <v>789.88219200000003</v>
      </c>
      <c r="S173" s="125">
        <f t="shared" si="82"/>
        <v>4068.7621920000001</v>
      </c>
      <c r="T173" s="419"/>
      <c r="U173" s="765"/>
    </row>
    <row r="174" spans="2:21" s="109" customFormat="1" ht="25.5" x14ac:dyDescent="0.25">
      <c r="B174" s="669" t="s">
        <v>178</v>
      </c>
      <c r="C174" s="670" t="s">
        <v>107</v>
      </c>
      <c r="D174" s="670" t="s">
        <v>38</v>
      </c>
      <c r="E174" s="670" t="s">
        <v>74</v>
      </c>
      <c r="F174" s="670">
        <v>3</v>
      </c>
      <c r="G174" s="671">
        <v>1190</v>
      </c>
      <c r="H174" s="672">
        <v>994</v>
      </c>
      <c r="I174" s="773">
        <v>0</v>
      </c>
      <c r="J174" s="842">
        <v>1</v>
      </c>
      <c r="K174" s="8">
        <f t="shared" si="74"/>
        <v>1262.3800000000001</v>
      </c>
      <c r="L174" s="5">
        <f t="shared" si="75"/>
        <v>1190</v>
      </c>
      <c r="M174" s="830">
        <f t="shared" si="76"/>
        <v>0</v>
      </c>
      <c r="N174" s="505">
        <f t="shared" si="77"/>
        <v>0</v>
      </c>
      <c r="O174" s="5">
        <f t="shared" si="78"/>
        <v>196</v>
      </c>
      <c r="P174" s="123">
        <f t="shared" si="79"/>
        <v>196</v>
      </c>
      <c r="Q174" s="124">
        <f t="shared" si="80"/>
        <v>2352</v>
      </c>
      <c r="R174" s="124">
        <f t="shared" si="81"/>
        <v>566.59680000000003</v>
      </c>
      <c r="S174" s="125">
        <f t="shared" si="82"/>
        <v>2918.5968000000003</v>
      </c>
      <c r="T174" s="419"/>
      <c r="U174" s="765"/>
    </row>
    <row r="175" spans="2:21" s="109" customFormat="1" x14ac:dyDescent="0.25">
      <c r="B175" s="669" t="s">
        <v>179</v>
      </c>
      <c r="C175" s="670" t="s">
        <v>23</v>
      </c>
      <c r="D175" s="670" t="s">
        <v>62</v>
      </c>
      <c r="E175" s="670" t="s">
        <v>63</v>
      </c>
      <c r="F175" s="670">
        <v>3</v>
      </c>
      <c r="G175" s="671">
        <v>1647</v>
      </c>
      <c r="H175" s="672">
        <v>892.14</v>
      </c>
      <c r="I175" s="773">
        <v>0</v>
      </c>
      <c r="J175" s="842">
        <v>1</v>
      </c>
      <c r="K175" s="8">
        <f t="shared" si="74"/>
        <v>1133.0178000000001</v>
      </c>
      <c r="L175" s="5">
        <f t="shared" si="75"/>
        <v>1133.0178000000001</v>
      </c>
      <c r="M175" s="830">
        <f t="shared" si="76"/>
        <v>0</v>
      </c>
      <c r="N175" s="505">
        <f t="shared" si="77"/>
        <v>0</v>
      </c>
      <c r="O175" s="5">
        <f t="shared" si="78"/>
        <v>240.87780000000009</v>
      </c>
      <c r="P175" s="123">
        <f t="shared" si="79"/>
        <v>240.87780000000009</v>
      </c>
      <c r="Q175" s="124">
        <f t="shared" si="80"/>
        <v>2890.5336000000011</v>
      </c>
      <c r="R175" s="124">
        <f t="shared" si="81"/>
        <v>696.32954424000025</v>
      </c>
      <c r="S175" s="125">
        <f t="shared" si="82"/>
        <v>3586.8631442400015</v>
      </c>
      <c r="T175" s="419"/>
      <c r="U175" s="765"/>
    </row>
    <row r="176" spans="2:21" s="109" customFormat="1" x14ac:dyDescent="0.25">
      <c r="B176" s="669" t="s">
        <v>180</v>
      </c>
      <c r="C176" s="670" t="s">
        <v>181</v>
      </c>
      <c r="D176" s="670" t="s">
        <v>130</v>
      </c>
      <c r="E176" s="670" t="s">
        <v>74</v>
      </c>
      <c r="F176" s="670">
        <v>3</v>
      </c>
      <c r="G176" s="671">
        <v>1190</v>
      </c>
      <c r="H176" s="672">
        <v>800</v>
      </c>
      <c r="I176" s="773">
        <v>0</v>
      </c>
      <c r="J176" s="842">
        <v>0.5</v>
      </c>
      <c r="K176" s="8">
        <f t="shared" si="74"/>
        <v>1016</v>
      </c>
      <c r="L176" s="5">
        <f t="shared" si="75"/>
        <v>1016</v>
      </c>
      <c r="M176" s="830">
        <f t="shared" si="76"/>
        <v>0</v>
      </c>
      <c r="N176" s="505">
        <f t="shared" si="77"/>
        <v>0</v>
      </c>
      <c r="O176" s="5">
        <f t="shared" si="78"/>
        <v>216</v>
      </c>
      <c r="P176" s="123">
        <f t="shared" si="79"/>
        <v>108</v>
      </c>
      <c r="Q176" s="124">
        <f t="shared" si="80"/>
        <v>1296</v>
      </c>
      <c r="R176" s="124">
        <f t="shared" si="81"/>
        <v>312.20640000000003</v>
      </c>
      <c r="S176" s="125">
        <f t="shared" si="82"/>
        <v>1608.2064</v>
      </c>
      <c r="T176" s="419"/>
      <c r="U176" s="765"/>
    </row>
    <row r="177" spans="2:21" s="109" customFormat="1" x14ac:dyDescent="0.25">
      <c r="B177" s="669" t="s">
        <v>182</v>
      </c>
      <c r="C177" s="670" t="s">
        <v>181</v>
      </c>
      <c r="D177" s="670" t="s">
        <v>122</v>
      </c>
      <c r="E177" s="670" t="s">
        <v>67</v>
      </c>
      <c r="F177" s="670">
        <v>3</v>
      </c>
      <c r="G177" s="671">
        <v>1382</v>
      </c>
      <c r="H177" s="672">
        <v>640.29</v>
      </c>
      <c r="I177" s="773">
        <v>0</v>
      </c>
      <c r="J177" s="842">
        <v>0.5</v>
      </c>
      <c r="K177" s="8">
        <f t="shared" si="74"/>
        <v>813.16829999999993</v>
      </c>
      <c r="L177" s="5">
        <f t="shared" si="75"/>
        <v>813.16829999999993</v>
      </c>
      <c r="M177" s="830">
        <f t="shared" si="76"/>
        <v>0</v>
      </c>
      <c r="N177" s="505">
        <f t="shared" si="77"/>
        <v>0</v>
      </c>
      <c r="O177" s="5">
        <f t="shared" si="78"/>
        <v>172.87829999999997</v>
      </c>
      <c r="P177" s="123">
        <f t="shared" si="79"/>
        <v>86.439149999999984</v>
      </c>
      <c r="Q177" s="124">
        <f t="shared" si="80"/>
        <v>1037.2697999999998</v>
      </c>
      <c r="R177" s="124">
        <f t="shared" si="81"/>
        <v>249.87829481999995</v>
      </c>
      <c r="S177" s="125">
        <f t="shared" si="82"/>
        <v>1287.1480948199996</v>
      </c>
      <c r="T177" s="419"/>
      <c r="U177" s="765"/>
    </row>
    <row r="178" spans="2:21" s="109" customFormat="1" ht="25.5" x14ac:dyDescent="0.2">
      <c r="B178" s="669" t="s">
        <v>183</v>
      </c>
      <c r="C178" s="670" t="s">
        <v>107</v>
      </c>
      <c r="D178" s="670" t="s">
        <v>171</v>
      </c>
      <c r="E178" s="670" t="s">
        <v>65</v>
      </c>
      <c r="F178" s="676">
        <v>3</v>
      </c>
      <c r="G178" s="671">
        <v>1287</v>
      </c>
      <c r="H178" s="672">
        <v>1174</v>
      </c>
      <c r="I178" s="773">
        <v>0</v>
      </c>
      <c r="J178" s="844">
        <v>1</v>
      </c>
      <c r="K178" s="8">
        <f t="shared" si="74"/>
        <v>1490.98</v>
      </c>
      <c r="L178" s="5">
        <f t="shared" si="75"/>
        <v>1287</v>
      </c>
      <c r="M178" s="830">
        <f t="shared" si="76"/>
        <v>0</v>
      </c>
      <c r="N178" s="505">
        <f t="shared" si="77"/>
        <v>0</v>
      </c>
      <c r="O178" s="5">
        <f t="shared" si="78"/>
        <v>113</v>
      </c>
      <c r="P178" s="123">
        <f t="shared" si="79"/>
        <v>113</v>
      </c>
      <c r="Q178" s="124">
        <f t="shared" si="80"/>
        <v>1356</v>
      </c>
      <c r="R178" s="124">
        <f t="shared" si="81"/>
        <v>326.66039999999998</v>
      </c>
      <c r="S178" s="125">
        <f t="shared" si="82"/>
        <v>1682.6604</v>
      </c>
      <c r="T178" s="419"/>
      <c r="U178" s="765"/>
    </row>
    <row r="179" spans="2:21" s="109" customFormat="1" ht="25.5" x14ac:dyDescent="0.2">
      <c r="B179" s="669" t="s">
        <v>183</v>
      </c>
      <c r="C179" s="670" t="s">
        <v>181</v>
      </c>
      <c r="D179" s="670" t="s">
        <v>130</v>
      </c>
      <c r="E179" s="670" t="s">
        <v>74</v>
      </c>
      <c r="F179" s="676">
        <v>3</v>
      </c>
      <c r="G179" s="671">
        <v>1190</v>
      </c>
      <c r="H179" s="672">
        <v>1039</v>
      </c>
      <c r="I179" s="773">
        <v>0</v>
      </c>
      <c r="J179" s="844">
        <v>1</v>
      </c>
      <c r="K179" s="8">
        <f t="shared" si="74"/>
        <v>1319.53</v>
      </c>
      <c r="L179" s="5">
        <f t="shared" si="75"/>
        <v>1190</v>
      </c>
      <c r="M179" s="830">
        <f t="shared" si="76"/>
        <v>0</v>
      </c>
      <c r="N179" s="505">
        <f t="shared" si="77"/>
        <v>0</v>
      </c>
      <c r="O179" s="5">
        <f t="shared" si="78"/>
        <v>151</v>
      </c>
      <c r="P179" s="123">
        <f t="shared" si="79"/>
        <v>151</v>
      </c>
      <c r="Q179" s="124">
        <f t="shared" si="80"/>
        <v>1812</v>
      </c>
      <c r="R179" s="124">
        <f t="shared" si="81"/>
        <v>436.51080000000002</v>
      </c>
      <c r="S179" s="125">
        <f t="shared" si="82"/>
        <v>2248.5108</v>
      </c>
      <c r="T179" s="419"/>
      <c r="U179" s="765"/>
    </row>
    <row r="180" spans="2:21" s="109" customFormat="1" ht="25.5" x14ac:dyDescent="0.25">
      <c r="B180" s="669" t="s">
        <v>184</v>
      </c>
      <c r="C180" s="683" t="s">
        <v>181</v>
      </c>
      <c r="D180" s="683" t="s">
        <v>62</v>
      </c>
      <c r="E180" s="683" t="s">
        <v>63</v>
      </c>
      <c r="F180" s="683">
        <v>3</v>
      </c>
      <c r="G180" s="677">
        <v>1647</v>
      </c>
      <c r="H180" s="678">
        <v>1647</v>
      </c>
      <c r="I180" s="773">
        <v>0</v>
      </c>
      <c r="J180" s="844">
        <v>1</v>
      </c>
      <c r="K180" s="8">
        <f t="shared" si="74"/>
        <v>2091.69</v>
      </c>
      <c r="L180" s="5">
        <f t="shared" si="75"/>
        <v>1647</v>
      </c>
      <c r="M180" s="830">
        <f t="shared" si="76"/>
        <v>0</v>
      </c>
      <c r="N180" s="505">
        <f t="shared" si="77"/>
        <v>0</v>
      </c>
      <c r="O180" s="5">
        <f t="shared" si="78"/>
        <v>0</v>
      </c>
      <c r="P180" s="123">
        <f t="shared" si="79"/>
        <v>0</v>
      </c>
      <c r="Q180" s="124">
        <f t="shared" si="80"/>
        <v>0</v>
      </c>
      <c r="R180" s="124">
        <f t="shared" si="81"/>
        <v>0</v>
      </c>
      <c r="S180" s="125">
        <f t="shared" si="82"/>
        <v>0</v>
      </c>
      <c r="T180" s="419"/>
      <c r="U180" s="765"/>
    </row>
    <row r="181" spans="2:21" s="109" customFormat="1" ht="25.5" customHeight="1" x14ac:dyDescent="0.2">
      <c r="B181" s="695" t="s">
        <v>185</v>
      </c>
      <c r="C181" s="687" t="s">
        <v>107</v>
      </c>
      <c r="D181" s="687" t="s">
        <v>122</v>
      </c>
      <c r="E181" s="687" t="s">
        <v>63</v>
      </c>
      <c r="F181" s="687">
        <v>3</v>
      </c>
      <c r="G181" s="677">
        <v>1647</v>
      </c>
      <c r="H181" s="690">
        <v>1450</v>
      </c>
      <c r="I181" s="773">
        <v>0</v>
      </c>
      <c r="J181" s="843">
        <v>1</v>
      </c>
      <c r="K181" s="8">
        <f t="shared" si="74"/>
        <v>1841.5</v>
      </c>
      <c r="L181" s="5">
        <f t="shared" si="75"/>
        <v>1647</v>
      </c>
      <c r="M181" s="830">
        <f t="shared" si="76"/>
        <v>0</v>
      </c>
      <c r="N181" s="505">
        <f t="shared" si="77"/>
        <v>0</v>
      </c>
      <c r="O181" s="5">
        <f t="shared" si="78"/>
        <v>197</v>
      </c>
      <c r="P181" s="123">
        <f t="shared" si="79"/>
        <v>197</v>
      </c>
      <c r="Q181" s="124">
        <f t="shared" si="80"/>
        <v>2364</v>
      </c>
      <c r="R181" s="124">
        <f t="shared" si="81"/>
        <v>569.48760000000004</v>
      </c>
      <c r="S181" s="125">
        <f t="shared" si="82"/>
        <v>2933.4875999999999</v>
      </c>
      <c r="T181" s="419"/>
      <c r="U181" s="765"/>
    </row>
    <row r="182" spans="2:21" s="109" customFormat="1" x14ac:dyDescent="0.2">
      <c r="B182" s="675" t="s">
        <v>186</v>
      </c>
      <c r="C182" s="683" t="s">
        <v>107</v>
      </c>
      <c r="D182" s="683" t="s">
        <v>171</v>
      </c>
      <c r="E182" s="683" t="s">
        <v>65</v>
      </c>
      <c r="F182" s="683">
        <v>3</v>
      </c>
      <c r="G182" s="677">
        <v>1287</v>
      </c>
      <c r="H182" s="678">
        <v>1237</v>
      </c>
      <c r="I182" s="773">
        <v>0</v>
      </c>
      <c r="J182" s="843">
        <v>5</v>
      </c>
      <c r="K182" s="8">
        <f t="shared" si="74"/>
        <v>1570.99</v>
      </c>
      <c r="L182" s="5">
        <f t="shared" si="75"/>
        <v>1287</v>
      </c>
      <c r="M182" s="830">
        <f t="shared" si="76"/>
        <v>0</v>
      </c>
      <c r="N182" s="505">
        <f t="shared" si="77"/>
        <v>0</v>
      </c>
      <c r="O182" s="5">
        <f t="shared" si="78"/>
        <v>50</v>
      </c>
      <c r="P182" s="123">
        <f t="shared" si="79"/>
        <v>250</v>
      </c>
      <c r="Q182" s="124">
        <f t="shared" si="80"/>
        <v>3000</v>
      </c>
      <c r="R182" s="124">
        <f t="shared" si="81"/>
        <v>722.7</v>
      </c>
      <c r="S182" s="125">
        <f t="shared" si="82"/>
        <v>3722.7</v>
      </c>
      <c r="T182" s="419"/>
      <c r="U182" s="765"/>
    </row>
    <row r="183" spans="2:21" s="109" customFormat="1" x14ac:dyDescent="0.2">
      <c r="B183" s="679" t="s">
        <v>187</v>
      </c>
      <c r="C183" s="683" t="s">
        <v>107</v>
      </c>
      <c r="D183" s="683" t="s">
        <v>171</v>
      </c>
      <c r="E183" s="683" t="s">
        <v>65</v>
      </c>
      <c r="F183" s="683">
        <v>3</v>
      </c>
      <c r="G183" s="677">
        <v>1287</v>
      </c>
      <c r="H183" s="678">
        <v>1039</v>
      </c>
      <c r="I183" s="773">
        <v>0</v>
      </c>
      <c r="J183" s="844">
        <v>1</v>
      </c>
      <c r="K183" s="8">
        <f t="shared" si="74"/>
        <v>1319.53</v>
      </c>
      <c r="L183" s="5">
        <f t="shared" si="75"/>
        <v>1287</v>
      </c>
      <c r="M183" s="830">
        <f t="shared" si="76"/>
        <v>0</v>
      </c>
      <c r="N183" s="505">
        <f t="shared" si="77"/>
        <v>0</v>
      </c>
      <c r="O183" s="5">
        <f t="shared" si="78"/>
        <v>248</v>
      </c>
      <c r="P183" s="123">
        <f t="shared" si="79"/>
        <v>248</v>
      </c>
      <c r="Q183" s="124">
        <f t="shared" si="80"/>
        <v>2976</v>
      </c>
      <c r="R183" s="124">
        <f t="shared" si="81"/>
        <v>716.91840000000002</v>
      </c>
      <c r="S183" s="125">
        <f t="shared" si="82"/>
        <v>3692.9184</v>
      </c>
      <c r="T183" s="419"/>
      <c r="U183" s="765"/>
    </row>
    <row r="184" spans="2:21" s="109" customFormat="1" x14ac:dyDescent="0.2">
      <c r="B184" s="675" t="s">
        <v>188</v>
      </c>
      <c r="C184" s="683" t="s">
        <v>107</v>
      </c>
      <c r="D184" s="683" t="s">
        <v>38</v>
      </c>
      <c r="E184" s="683" t="s">
        <v>74</v>
      </c>
      <c r="F184" s="683">
        <v>1</v>
      </c>
      <c r="G184" s="677">
        <v>835</v>
      </c>
      <c r="H184" s="678">
        <v>494</v>
      </c>
      <c r="I184" s="773">
        <v>142.02499999999998</v>
      </c>
      <c r="J184" s="844">
        <v>2</v>
      </c>
      <c r="K184" s="8">
        <f t="shared" si="74"/>
        <v>627.38</v>
      </c>
      <c r="L184" s="5">
        <f t="shared" si="75"/>
        <v>627.38</v>
      </c>
      <c r="M184" s="830">
        <f t="shared" si="76"/>
        <v>38.346750000000014</v>
      </c>
      <c r="N184" s="505">
        <f t="shared" si="77"/>
        <v>180.37174999999999</v>
      </c>
      <c r="O184" s="5">
        <f t="shared" si="78"/>
        <v>171.72675000000001</v>
      </c>
      <c r="P184" s="123">
        <f t="shared" si="79"/>
        <v>343.45350000000002</v>
      </c>
      <c r="Q184" s="124">
        <f t="shared" si="80"/>
        <v>4121.442</v>
      </c>
      <c r="R184" s="124">
        <f t="shared" si="81"/>
        <v>992.85537780000004</v>
      </c>
      <c r="S184" s="125">
        <f t="shared" si="82"/>
        <v>5114.2973777999996</v>
      </c>
      <c r="T184" s="419"/>
      <c r="U184" s="765"/>
    </row>
    <row r="185" spans="2:21" s="109" customFormat="1" x14ac:dyDescent="0.2">
      <c r="B185" s="675" t="s">
        <v>188</v>
      </c>
      <c r="C185" s="683" t="s">
        <v>107</v>
      </c>
      <c r="D185" s="683" t="s">
        <v>38</v>
      </c>
      <c r="E185" s="683" t="s">
        <v>74</v>
      </c>
      <c r="F185" s="683">
        <v>2</v>
      </c>
      <c r="G185" s="677">
        <v>1015</v>
      </c>
      <c r="H185" s="678">
        <v>537</v>
      </c>
      <c r="I185" s="773">
        <v>154.38749999999999</v>
      </c>
      <c r="J185" s="844">
        <v>1.25</v>
      </c>
      <c r="K185" s="8">
        <f t="shared" si="74"/>
        <v>681.99</v>
      </c>
      <c r="L185" s="5">
        <f t="shared" si="75"/>
        <v>681.99</v>
      </c>
      <c r="M185" s="830">
        <f t="shared" si="76"/>
        <v>41.684625000000011</v>
      </c>
      <c r="N185" s="505">
        <f t="shared" si="77"/>
        <v>196.072125</v>
      </c>
      <c r="O185" s="5">
        <f t="shared" si="78"/>
        <v>186.67462500000002</v>
      </c>
      <c r="P185" s="123">
        <f t="shared" si="79"/>
        <v>233.34328125000002</v>
      </c>
      <c r="Q185" s="124">
        <f t="shared" si="80"/>
        <v>2800.1193750000002</v>
      </c>
      <c r="R185" s="124">
        <f t="shared" si="81"/>
        <v>674.54875743750006</v>
      </c>
      <c r="S185" s="125">
        <f t="shared" si="82"/>
        <v>3474.6681324375004</v>
      </c>
      <c r="T185" s="419"/>
      <c r="U185" s="765"/>
    </row>
    <row r="186" spans="2:21" s="109" customFormat="1" x14ac:dyDescent="0.2">
      <c r="B186" s="675" t="s">
        <v>188</v>
      </c>
      <c r="C186" s="683" t="s">
        <v>107</v>
      </c>
      <c r="D186" s="683" t="s">
        <v>38</v>
      </c>
      <c r="E186" s="683" t="s">
        <v>74</v>
      </c>
      <c r="F186" s="683">
        <v>3</v>
      </c>
      <c r="G186" s="677">
        <v>1190</v>
      </c>
      <c r="H186" s="678">
        <v>592</v>
      </c>
      <c r="I186" s="773">
        <v>170.2</v>
      </c>
      <c r="J186" s="844">
        <v>14.25</v>
      </c>
      <c r="K186" s="8">
        <f t="shared" si="74"/>
        <v>751.84</v>
      </c>
      <c r="L186" s="5">
        <f t="shared" si="75"/>
        <v>751.84</v>
      </c>
      <c r="M186" s="830">
        <f t="shared" si="76"/>
        <v>45.954000000000008</v>
      </c>
      <c r="N186" s="505">
        <f t="shared" si="77"/>
        <v>216.154</v>
      </c>
      <c r="O186" s="5">
        <f t="shared" si="78"/>
        <v>205.79400000000004</v>
      </c>
      <c r="P186" s="123">
        <f t="shared" si="79"/>
        <v>2932.5645000000004</v>
      </c>
      <c r="Q186" s="124">
        <f t="shared" si="80"/>
        <v>35190.774000000005</v>
      </c>
      <c r="R186" s="124">
        <f t="shared" si="81"/>
        <v>8477.457456600001</v>
      </c>
      <c r="S186" s="125">
        <f t="shared" si="82"/>
        <v>43668.231456600006</v>
      </c>
      <c r="T186" s="419"/>
      <c r="U186" s="765"/>
    </row>
    <row r="187" spans="2:21" s="109" customFormat="1" x14ac:dyDescent="0.2">
      <c r="B187" s="675" t="s">
        <v>188</v>
      </c>
      <c r="C187" s="683" t="s">
        <v>107</v>
      </c>
      <c r="D187" s="683" t="s">
        <v>122</v>
      </c>
      <c r="E187" s="683" t="s">
        <v>63</v>
      </c>
      <c r="F187" s="683">
        <v>3</v>
      </c>
      <c r="G187" s="677">
        <v>1647</v>
      </c>
      <c r="H187" s="678">
        <v>1106</v>
      </c>
      <c r="I187" s="773">
        <v>317.97499999999997</v>
      </c>
      <c r="J187" s="844">
        <v>4.5</v>
      </c>
      <c r="K187" s="8">
        <f t="shared" si="74"/>
        <v>1404.6200000000001</v>
      </c>
      <c r="L187" s="5">
        <f t="shared" si="75"/>
        <v>1404.6200000000001</v>
      </c>
      <c r="M187" s="830">
        <f t="shared" si="76"/>
        <v>85.85325000000006</v>
      </c>
      <c r="N187" s="505">
        <f t="shared" si="77"/>
        <v>403.82825000000003</v>
      </c>
      <c r="O187" s="5">
        <f t="shared" si="78"/>
        <v>384.47325000000018</v>
      </c>
      <c r="P187" s="123">
        <f t="shared" si="79"/>
        <v>1730.1296250000007</v>
      </c>
      <c r="Q187" s="124">
        <f t="shared" si="80"/>
        <v>20761.555500000009</v>
      </c>
      <c r="R187" s="124">
        <f t="shared" si="81"/>
        <v>5001.458719950002</v>
      </c>
      <c r="S187" s="125">
        <f t="shared" si="82"/>
        <v>25763.014219950011</v>
      </c>
      <c r="T187" s="419"/>
      <c r="U187" s="765"/>
    </row>
    <row r="188" spans="2:21" s="109" customFormat="1" x14ac:dyDescent="0.2">
      <c r="B188" s="675" t="s">
        <v>188</v>
      </c>
      <c r="C188" s="683" t="s">
        <v>107</v>
      </c>
      <c r="D188" s="683" t="s">
        <v>80</v>
      </c>
      <c r="E188" s="683" t="s">
        <v>83</v>
      </c>
      <c r="F188" s="683">
        <v>3</v>
      </c>
      <c r="G188" s="677">
        <v>996</v>
      </c>
      <c r="H188" s="678">
        <v>443</v>
      </c>
      <c r="I188" s="773">
        <v>127.3625</v>
      </c>
      <c r="J188" s="844">
        <v>3.25</v>
      </c>
      <c r="K188" s="8">
        <f t="shared" si="74"/>
        <v>562.61</v>
      </c>
      <c r="L188" s="5">
        <f t="shared" si="75"/>
        <v>562.61</v>
      </c>
      <c r="M188" s="830">
        <f t="shared" si="76"/>
        <v>34.387874999999994</v>
      </c>
      <c r="N188" s="505">
        <f t="shared" si="77"/>
        <v>161.75037499999999</v>
      </c>
      <c r="O188" s="5">
        <f t="shared" si="78"/>
        <v>153.99787500000002</v>
      </c>
      <c r="P188" s="123">
        <f t="shared" si="79"/>
        <v>500.49309375000007</v>
      </c>
      <c r="Q188" s="124">
        <f t="shared" si="80"/>
        <v>6005.9171250000009</v>
      </c>
      <c r="R188" s="124">
        <f t="shared" si="81"/>
        <v>1446.8254354125002</v>
      </c>
      <c r="S188" s="125">
        <f t="shared" si="82"/>
        <v>7452.742560412501</v>
      </c>
      <c r="T188" s="419"/>
      <c r="U188" s="765"/>
    </row>
    <row r="189" spans="2:21" s="109" customFormat="1" ht="25.5" x14ac:dyDescent="0.2">
      <c r="B189" s="675" t="s">
        <v>189</v>
      </c>
      <c r="C189" s="683" t="s">
        <v>107</v>
      </c>
      <c r="D189" s="683" t="s">
        <v>190</v>
      </c>
      <c r="E189" s="683" t="s">
        <v>83</v>
      </c>
      <c r="F189" s="683">
        <v>2</v>
      </c>
      <c r="G189" s="677">
        <v>835</v>
      </c>
      <c r="H189" s="678">
        <v>471</v>
      </c>
      <c r="I189" s="773">
        <v>135.41249999999999</v>
      </c>
      <c r="J189" s="844">
        <v>0.5</v>
      </c>
      <c r="K189" s="8">
        <f t="shared" si="74"/>
        <v>598.16999999999996</v>
      </c>
      <c r="L189" s="5">
        <f t="shared" si="75"/>
        <v>598.16999999999996</v>
      </c>
      <c r="M189" s="830">
        <f t="shared" si="76"/>
        <v>36.56137499999997</v>
      </c>
      <c r="N189" s="505">
        <f t="shared" si="77"/>
        <v>171.97387499999996</v>
      </c>
      <c r="O189" s="5">
        <f t="shared" si="78"/>
        <v>163.73137499999993</v>
      </c>
      <c r="P189" s="123">
        <f t="shared" si="79"/>
        <v>81.865687499999964</v>
      </c>
      <c r="Q189" s="124">
        <f t="shared" si="80"/>
        <v>982.38824999999952</v>
      </c>
      <c r="R189" s="124">
        <f t="shared" si="81"/>
        <v>236.65732942499989</v>
      </c>
      <c r="S189" s="125">
        <f t="shared" si="82"/>
        <v>1219.0455794249995</v>
      </c>
      <c r="T189" s="419"/>
      <c r="U189" s="765"/>
    </row>
    <row r="190" spans="2:21" s="109" customFormat="1" ht="25.5" x14ac:dyDescent="0.2">
      <c r="B190" s="675" t="s">
        <v>189</v>
      </c>
      <c r="C190" s="683" t="s">
        <v>107</v>
      </c>
      <c r="D190" s="683" t="s">
        <v>190</v>
      </c>
      <c r="E190" s="683" t="s">
        <v>83</v>
      </c>
      <c r="F190" s="683">
        <v>3</v>
      </c>
      <c r="G190" s="677">
        <v>996</v>
      </c>
      <c r="H190" s="678">
        <v>518</v>
      </c>
      <c r="I190" s="773">
        <v>148.92499999999998</v>
      </c>
      <c r="J190" s="844">
        <v>8</v>
      </c>
      <c r="K190" s="8">
        <f t="shared" si="74"/>
        <v>657.86</v>
      </c>
      <c r="L190" s="5">
        <f t="shared" si="75"/>
        <v>657.86</v>
      </c>
      <c r="M190" s="830">
        <f t="shared" si="76"/>
        <v>40.209750000000014</v>
      </c>
      <c r="N190" s="505">
        <f t="shared" si="77"/>
        <v>189.13475</v>
      </c>
      <c r="O190" s="5">
        <f t="shared" si="78"/>
        <v>180.06975000000003</v>
      </c>
      <c r="P190" s="123">
        <f t="shared" si="79"/>
        <v>1440.5580000000002</v>
      </c>
      <c r="Q190" s="124">
        <f t="shared" si="80"/>
        <v>17286.696000000004</v>
      </c>
      <c r="R190" s="124">
        <f t="shared" si="81"/>
        <v>4164.3650664000006</v>
      </c>
      <c r="S190" s="125">
        <f t="shared" si="82"/>
        <v>21451.061066400005</v>
      </c>
      <c r="T190" s="419"/>
      <c r="U190" s="765"/>
    </row>
    <row r="191" spans="2:21" s="109" customFormat="1" x14ac:dyDescent="0.2">
      <c r="B191" s="679" t="s">
        <v>191</v>
      </c>
      <c r="C191" s="683" t="s">
        <v>107</v>
      </c>
      <c r="D191" s="683" t="s">
        <v>190</v>
      </c>
      <c r="E191" s="683" t="s">
        <v>83</v>
      </c>
      <c r="F191" s="683">
        <v>3</v>
      </c>
      <c r="G191" s="677">
        <v>996</v>
      </c>
      <c r="H191" s="678">
        <v>592</v>
      </c>
      <c r="I191" s="773">
        <v>170.2</v>
      </c>
      <c r="J191" s="844">
        <v>27</v>
      </c>
      <c r="K191" s="8">
        <f t="shared" si="74"/>
        <v>751.84</v>
      </c>
      <c r="L191" s="5">
        <f t="shared" si="75"/>
        <v>751.84</v>
      </c>
      <c r="M191" s="830">
        <f t="shared" si="76"/>
        <v>45.954000000000008</v>
      </c>
      <c r="N191" s="505">
        <f t="shared" si="77"/>
        <v>216.154</v>
      </c>
      <c r="O191" s="5">
        <f t="shared" si="78"/>
        <v>205.79400000000004</v>
      </c>
      <c r="P191" s="123">
        <f t="shared" si="79"/>
        <v>5556.438000000001</v>
      </c>
      <c r="Q191" s="124">
        <f t="shared" si="80"/>
        <v>66677.256000000008</v>
      </c>
      <c r="R191" s="124">
        <f t="shared" si="81"/>
        <v>16062.550970400001</v>
      </c>
      <c r="S191" s="125">
        <f t="shared" si="82"/>
        <v>82739.806970400008</v>
      </c>
      <c r="T191" s="419"/>
      <c r="U191" s="765"/>
    </row>
    <row r="192" spans="2:21" s="109" customFormat="1" x14ac:dyDescent="0.2">
      <c r="B192" s="675" t="s">
        <v>192</v>
      </c>
      <c r="C192" s="683" t="s">
        <v>107</v>
      </c>
      <c r="D192" s="683" t="s">
        <v>193</v>
      </c>
      <c r="E192" s="683" t="s">
        <v>78</v>
      </c>
      <c r="F192" s="683">
        <v>2</v>
      </c>
      <c r="G192" s="677">
        <v>920</v>
      </c>
      <c r="H192" s="678">
        <v>750</v>
      </c>
      <c r="I192" s="773">
        <v>223.125</v>
      </c>
      <c r="J192" s="844">
        <v>1</v>
      </c>
      <c r="K192" s="8">
        <f t="shared" si="74"/>
        <v>952.5</v>
      </c>
      <c r="L192" s="5">
        <f t="shared" si="75"/>
        <v>920</v>
      </c>
      <c r="M192" s="830">
        <f t="shared" si="76"/>
        <v>50.574999999999989</v>
      </c>
      <c r="N192" s="505">
        <f t="shared" si="77"/>
        <v>273.7</v>
      </c>
      <c r="O192" s="5">
        <f t="shared" si="78"/>
        <v>220.57499999999999</v>
      </c>
      <c r="P192" s="123">
        <f t="shared" si="79"/>
        <v>220.57499999999999</v>
      </c>
      <c r="Q192" s="124">
        <f t="shared" si="80"/>
        <v>2646.8999999999996</v>
      </c>
      <c r="R192" s="124">
        <f t="shared" si="81"/>
        <v>637.63820999999996</v>
      </c>
      <c r="S192" s="125">
        <f t="shared" si="82"/>
        <v>3284.5382099999997</v>
      </c>
      <c r="T192" s="419"/>
      <c r="U192" s="765"/>
    </row>
    <row r="193" spans="2:21" s="109" customFormat="1" x14ac:dyDescent="0.2">
      <c r="B193" s="675" t="s">
        <v>192</v>
      </c>
      <c r="C193" s="683" t="s">
        <v>107</v>
      </c>
      <c r="D193" s="683" t="s">
        <v>193</v>
      </c>
      <c r="E193" s="683" t="s">
        <v>78</v>
      </c>
      <c r="F193" s="683">
        <v>3</v>
      </c>
      <c r="G193" s="677">
        <v>1093</v>
      </c>
      <c r="H193" s="678">
        <v>825</v>
      </c>
      <c r="I193" s="773">
        <v>245.4375</v>
      </c>
      <c r="J193" s="844">
        <v>8</v>
      </c>
      <c r="K193" s="8">
        <f t="shared" si="74"/>
        <v>1047.75</v>
      </c>
      <c r="L193" s="5">
        <f t="shared" si="75"/>
        <v>1047.75</v>
      </c>
      <c r="M193" s="830">
        <f t="shared" si="76"/>
        <v>66.268124999999998</v>
      </c>
      <c r="N193" s="505">
        <f t="shared" si="77"/>
        <v>311.705625</v>
      </c>
      <c r="O193" s="5">
        <f t="shared" si="78"/>
        <v>289.018125</v>
      </c>
      <c r="P193" s="123">
        <f t="shared" si="79"/>
        <v>2312.145</v>
      </c>
      <c r="Q193" s="124">
        <f t="shared" si="80"/>
        <v>27745.739999999998</v>
      </c>
      <c r="R193" s="124">
        <f t="shared" si="81"/>
        <v>6683.9487659999995</v>
      </c>
      <c r="S193" s="125">
        <f t="shared" si="82"/>
        <v>34429.688765999999</v>
      </c>
      <c r="T193" s="419"/>
      <c r="U193" s="765"/>
    </row>
    <row r="194" spans="2:21" s="109" customFormat="1" ht="25.5" x14ac:dyDescent="0.2">
      <c r="B194" s="675" t="s">
        <v>194</v>
      </c>
      <c r="C194" s="683" t="s">
        <v>107</v>
      </c>
      <c r="D194" s="683" t="s">
        <v>190</v>
      </c>
      <c r="E194" s="683" t="s">
        <v>83</v>
      </c>
      <c r="F194" s="683">
        <v>2</v>
      </c>
      <c r="G194" s="677">
        <v>835</v>
      </c>
      <c r="H194" s="678">
        <v>525</v>
      </c>
      <c r="I194" s="773">
        <v>156.1875</v>
      </c>
      <c r="J194" s="844">
        <v>0.5</v>
      </c>
      <c r="K194" s="8">
        <f t="shared" si="74"/>
        <v>666.75</v>
      </c>
      <c r="L194" s="5">
        <f t="shared" si="75"/>
        <v>666.75</v>
      </c>
      <c r="M194" s="830">
        <f t="shared" si="76"/>
        <v>42.170625000000001</v>
      </c>
      <c r="N194" s="505">
        <f t="shared" si="77"/>
        <v>198.358125</v>
      </c>
      <c r="O194" s="5">
        <f t="shared" si="78"/>
        <v>183.920625</v>
      </c>
      <c r="P194" s="123">
        <f t="shared" si="79"/>
        <v>91.960312500000001</v>
      </c>
      <c r="Q194" s="124">
        <f t="shared" si="80"/>
        <v>1103.5237500000001</v>
      </c>
      <c r="R194" s="124">
        <f t="shared" si="81"/>
        <v>265.838871375</v>
      </c>
      <c r="S194" s="125">
        <f t="shared" si="82"/>
        <v>1369.3626213750001</v>
      </c>
      <c r="T194" s="419"/>
      <c r="U194" s="765"/>
    </row>
    <row r="195" spans="2:21" s="109" customFormat="1" ht="25.5" x14ac:dyDescent="0.2">
      <c r="B195" s="675" t="s">
        <v>194</v>
      </c>
      <c r="C195" s="683" t="s">
        <v>107</v>
      </c>
      <c r="D195" s="683" t="s">
        <v>190</v>
      </c>
      <c r="E195" s="683" t="s">
        <v>83</v>
      </c>
      <c r="F195" s="683">
        <v>3</v>
      </c>
      <c r="G195" s="677">
        <v>996</v>
      </c>
      <c r="H195" s="678">
        <v>579</v>
      </c>
      <c r="I195" s="773">
        <v>172.2525</v>
      </c>
      <c r="J195" s="844">
        <v>1</v>
      </c>
      <c r="K195" s="8">
        <f t="shared" si="74"/>
        <v>735.33</v>
      </c>
      <c r="L195" s="5">
        <f t="shared" si="75"/>
        <v>735.33</v>
      </c>
      <c r="M195" s="830">
        <f t="shared" si="76"/>
        <v>46.508174999999994</v>
      </c>
      <c r="N195" s="505">
        <f t="shared" si="77"/>
        <v>218.76067499999999</v>
      </c>
      <c r="O195" s="5">
        <f t="shared" si="78"/>
        <v>202.83817500000004</v>
      </c>
      <c r="P195" s="123">
        <f t="shared" si="79"/>
        <v>202.83817500000004</v>
      </c>
      <c r="Q195" s="124">
        <f t="shared" si="80"/>
        <v>2434.0581000000002</v>
      </c>
      <c r="R195" s="124">
        <f t="shared" si="81"/>
        <v>586.36459629000001</v>
      </c>
      <c r="S195" s="125">
        <f t="shared" si="82"/>
        <v>3020.4226962900002</v>
      </c>
      <c r="T195" s="419"/>
      <c r="U195" s="765"/>
    </row>
    <row r="196" spans="2:21" s="109" customFormat="1" ht="25.5" x14ac:dyDescent="0.2">
      <c r="B196" s="675" t="s">
        <v>195</v>
      </c>
      <c r="C196" s="683" t="s">
        <v>107</v>
      </c>
      <c r="D196" s="683" t="s">
        <v>38</v>
      </c>
      <c r="E196" s="683" t="s">
        <v>83</v>
      </c>
      <c r="F196" s="683">
        <v>2</v>
      </c>
      <c r="G196" s="677">
        <v>835</v>
      </c>
      <c r="H196" s="678">
        <v>611</v>
      </c>
      <c r="I196" s="773">
        <v>181.77249999999998</v>
      </c>
      <c r="J196" s="844">
        <v>1</v>
      </c>
      <c r="K196" s="8">
        <f t="shared" si="74"/>
        <v>775.97</v>
      </c>
      <c r="L196" s="5">
        <f t="shared" si="75"/>
        <v>775.97</v>
      </c>
      <c r="M196" s="830">
        <f t="shared" si="76"/>
        <v>49.078575000000029</v>
      </c>
      <c r="N196" s="505">
        <f t="shared" si="77"/>
        <v>230.85107500000001</v>
      </c>
      <c r="O196" s="5">
        <f t="shared" si="78"/>
        <v>214.04857500000006</v>
      </c>
      <c r="P196" s="123">
        <f t="shared" si="79"/>
        <v>214.04857500000006</v>
      </c>
      <c r="Q196" s="124">
        <f t="shared" si="80"/>
        <v>2568.5829000000008</v>
      </c>
      <c r="R196" s="124">
        <f t="shared" si="81"/>
        <v>618.77162061000024</v>
      </c>
      <c r="S196" s="125">
        <f t="shared" si="82"/>
        <v>3187.3545206100011</v>
      </c>
      <c r="T196" s="419"/>
      <c r="U196" s="765"/>
    </row>
    <row r="197" spans="2:21" s="109" customFormat="1" ht="25.5" x14ac:dyDescent="0.2">
      <c r="B197" s="675" t="s">
        <v>195</v>
      </c>
      <c r="C197" s="683" t="s">
        <v>107</v>
      </c>
      <c r="D197" s="683" t="s">
        <v>38</v>
      </c>
      <c r="E197" s="683" t="s">
        <v>83</v>
      </c>
      <c r="F197" s="683">
        <v>3</v>
      </c>
      <c r="G197" s="677">
        <v>996</v>
      </c>
      <c r="H197" s="678">
        <v>673</v>
      </c>
      <c r="I197" s="773">
        <v>200.2175</v>
      </c>
      <c r="J197" s="844">
        <v>30.5</v>
      </c>
      <c r="K197" s="8">
        <f t="shared" si="74"/>
        <v>854.71</v>
      </c>
      <c r="L197" s="5">
        <f t="shared" si="75"/>
        <v>854.71</v>
      </c>
      <c r="M197" s="830">
        <f t="shared" si="76"/>
        <v>54.05872500000001</v>
      </c>
      <c r="N197" s="505">
        <f t="shared" si="77"/>
        <v>254.27622500000001</v>
      </c>
      <c r="O197" s="5">
        <f t="shared" si="78"/>
        <v>235.76872500000005</v>
      </c>
      <c r="P197" s="123">
        <f t="shared" si="79"/>
        <v>7190.9461125000016</v>
      </c>
      <c r="Q197" s="124">
        <f t="shared" si="80"/>
        <v>86291.353350000019</v>
      </c>
      <c r="R197" s="124">
        <f t="shared" si="81"/>
        <v>20787.587022015006</v>
      </c>
      <c r="S197" s="125">
        <f t="shared" si="82"/>
        <v>107078.94037201503</v>
      </c>
      <c r="T197" s="419"/>
      <c r="U197" s="765"/>
    </row>
    <row r="198" spans="2:21" s="109" customFormat="1" x14ac:dyDescent="0.2">
      <c r="B198" s="675" t="s">
        <v>196</v>
      </c>
      <c r="C198" s="683" t="s">
        <v>107</v>
      </c>
      <c r="D198" s="683" t="s">
        <v>171</v>
      </c>
      <c r="E198" s="683" t="s">
        <v>65</v>
      </c>
      <c r="F198" s="683">
        <v>3</v>
      </c>
      <c r="G198" s="677">
        <v>1287</v>
      </c>
      <c r="H198" s="678">
        <v>867</v>
      </c>
      <c r="I198" s="773">
        <v>257.9325</v>
      </c>
      <c r="J198" s="844">
        <v>4.5</v>
      </c>
      <c r="K198" s="8">
        <f t="shared" si="74"/>
        <v>1101.0899999999999</v>
      </c>
      <c r="L198" s="5">
        <f t="shared" si="75"/>
        <v>1101.0899999999999</v>
      </c>
      <c r="M198" s="830">
        <f t="shared" si="76"/>
        <v>69.641774999999939</v>
      </c>
      <c r="N198" s="505">
        <f t="shared" si="77"/>
        <v>327.57427499999994</v>
      </c>
      <c r="O198" s="5">
        <f t="shared" si="78"/>
        <v>303.73177499999986</v>
      </c>
      <c r="P198" s="123">
        <f t="shared" si="79"/>
        <v>1366.7929874999993</v>
      </c>
      <c r="Q198" s="124">
        <f t="shared" si="80"/>
        <v>16401.515849999992</v>
      </c>
      <c r="R198" s="124">
        <f t="shared" si="81"/>
        <v>3951.1251682649981</v>
      </c>
      <c r="S198" s="125">
        <f t="shared" si="82"/>
        <v>20352.641018264992</v>
      </c>
      <c r="T198" s="419"/>
      <c r="U198" s="765"/>
    </row>
    <row r="199" spans="2:21" s="109" customFormat="1" ht="25.5" x14ac:dyDescent="0.2">
      <c r="B199" s="675" t="s">
        <v>197</v>
      </c>
      <c r="C199" s="683" t="s">
        <v>107</v>
      </c>
      <c r="D199" s="683" t="s">
        <v>193</v>
      </c>
      <c r="E199" s="683" t="s">
        <v>78</v>
      </c>
      <c r="F199" s="683">
        <v>3</v>
      </c>
      <c r="G199" s="677">
        <v>1093</v>
      </c>
      <c r="H199" s="678">
        <v>825</v>
      </c>
      <c r="I199" s="773">
        <v>245.4375</v>
      </c>
      <c r="J199" s="844">
        <v>22.5</v>
      </c>
      <c r="K199" s="8">
        <f t="shared" si="74"/>
        <v>1047.75</v>
      </c>
      <c r="L199" s="5">
        <f t="shared" si="75"/>
        <v>1047.75</v>
      </c>
      <c r="M199" s="830">
        <f t="shared" si="76"/>
        <v>66.268124999999998</v>
      </c>
      <c r="N199" s="505">
        <f t="shared" si="77"/>
        <v>311.705625</v>
      </c>
      <c r="O199" s="5">
        <f t="shared" si="78"/>
        <v>289.018125</v>
      </c>
      <c r="P199" s="123">
        <f t="shared" si="79"/>
        <v>6502.9078124999996</v>
      </c>
      <c r="Q199" s="124">
        <f t="shared" si="80"/>
        <v>78034.893749999988</v>
      </c>
      <c r="R199" s="124">
        <f t="shared" si="81"/>
        <v>18798.605904374999</v>
      </c>
      <c r="S199" s="125">
        <f t="shared" si="82"/>
        <v>96833.499654374988</v>
      </c>
      <c r="T199" s="419"/>
      <c r="U199" s="765"/>
    </row>
    <row r="200" spans="2:21" s="109" customFormat="1" ht="25.5" x14ac:dyDescent="0.2">
      <c r="B200" s="675" t="s">
        <v>198</v>
      </c>
      <c r="C200" s="683" t="s">
        <v>107</v>
      </c>
      <c r="D200" s="683" t="s">
        <v>193</v>
      </c>
      <c r="E200" s="683" t="s">
        <v>78</v>
      </c>
      <c r="F200" s="683">
        <v>3</v>
      </c>
      <c r="G200" s="677">
        <v>1093</v>
      </c>
      <c r="H200" s="678">
        <v>803</v>
      </c>
      <c r="I200" s="773">
        <v>238.89249999999998</v>
      </c>
      <c r="J200" s="844">
        <v>5</v>
      </c>
      <c r="K200" s="8">
        <f t="shared" si="74"/>
        <v>1019.8100000000001</v>
      </c>
      <c r="L200" s="5">
        <f t="shared" si="75"/>
        <v>1019.8100000000001</v>
      </c>
      <c r="M200" s="830">
        <f t="shared" si="76"/>
        <v>64.500975000000039</v>
      </c>
      <c r="N200" s="505">
        <f t="shared" si="77"/>
        <v>303.39347500000002</v>
      </c>
      <c r="O200" s="5">
        <f t="shared" si="78"/>
        <v>281.3109750000001</v>
      </c>
      <c r="P200" s="123">
        <f t="shared" si="79"/>
        <v>1406.5548750000005</v>
      </c>
      <c r="Q200" s="124">
        <f t="shared" si="80"/>
        <v>16878.658500000005</v>
      </c>
      <c r="R200" s="124">
        <f t="shared" si="81"/>
        <v>4066.0688326500012</v>
      </c>
      <c r="S200" s="125">
        <f t="shared" si="82"/>
        <v>20944.727332650007</v>
      </c>
      <c r="T200" s="419"/>
      <c r="U200" s="765"/>
    </row>
    <row r="201" spans="2:21" s="109" customFormat="1" ht="25.5" x14ac:dyDescent="0.2">
      <c r="B201" s="675" t="s">
        <v>199</v>
      </c>
      <c r="C201" s="683" t="s">
        <v>107</v>
      </c>
      <c r="D201" s="683" t="s">
        <v>193</v>
      </c>
      <c r="E201" s="683" t="s">
        <v>78</v>
      </c>
      <c r="F201" s="683">
        <v>2</v>
      </c>
      <c r="G201" s="677">
        <v>920</v>
      </c>
      <c r="H201" s="678">
        <v>573</v>
      </c>
      <c r="I201" s="773">
        <v>170.4675</v>
      </c>
      <c r="J201" s="844">
        <v>1</v>
      </c>
      <c r="K201" s="8">
        <f t="shared" si="74"/>
        <v>727.71</v>
      </c>
      <c r="L201" s="5">
        <f t="shared" si="75"/>
        <v>727.71</v>
      </c>
      <c r="M201" s="830">
        <f t="shared" si="76"/>
        <v>46.026225000000011</v>
      </c>
      <c r="N201" s="505">
        <f t="shared" si="77"/>
        <v>216.49372500000001</v>
      </c>
      <c r="O201" s="5">
        <f t="shared" si="78"/>
        <v>200.73622500000005</v>
      </c>
      <c r="P201" s="123">
        <f t="shared" si="79"/>
        <v>200.73622500000005</v>
      </c>
      <c r="Q201" s="124">
        <f t="shared" si="80"/>
        <v>2408.8347000000003</v>
      </c>
      <c r="R201" s="124">
        <f t="shared" si="81"/>
        <v>580.28827923000006</v>
      </c>
      <c r="S201" s="125">
        <f t="shared" si="82"/>
        <v>2989.1229792300005</v>
      </c>
      <c r="T201" s="419"/>
      <c r="U201" s="765"/>
    </row>
    <row r="202" spans="2:21" s="109" customFormat="1" ht="25.5" x14ac:dyDescent="0.2">
      <c r="B202" s="675" t="s">
        <v>199</v>
      </c>
      <c r="C202" s="683" t="s">
        <v>107</v>
      </c>
      <c r="D202" s="683" t="s">
        <v>193</v>
      </c>
      <c r="E202" s="683" t="s">
        <v>78</v>
      </c>
      <c r="F202" s="683">
        <v>3</v>
      </c>
      <c r="G202" s="677">
        <v>1093</v>
      </c>
      <c r="H202" s="678">
        <v>632</v>
      </c>
      <c r="I202" s="773">
        <v>188.01999999999998</v>
      </c>
      <c r="J202" s="844">
        <v>5.25</v>
      </c>
      <c r="K202" s="8">
        <f t="shared" si="74"/>
        <v>802.64</v>
      </c>
      <c r="L202" s="5">
        <f t="shared" si="75"/>
        <v>802.64</v>
      </c>
      <c r="M202" s="830">
        <f t="shared" si="76"/>
        <v>50.7654</v>
      </c>
      <c r="N202" s="505">
        <f t="shared" si="77"/>
        <v>238.78539999999998</v>
      </c>
      <c r="O202" s="5">
        <f t="shared" si="78"/>
        <v>221.40539999999999</v>
      </c>
      <c r="P202" s="123">
        <f t="shared" si="79"/>
        <v>1162.37835</v>
      </c>
      <c r="Q202" s="124">
        <f t="shared" si="80"/>
        <v>13948.540199999999</v>
      </c>
      <c r="R202" s="124">
        <f t="shared" si="81"/>
        <v>3360.2033341799997</v>
      </c>
      <c r="S202" s="125">
        <f t="shared" si="82"/>
        <v>17308.743534180001</v>
      </c>
      <c r="T202" s="419"/>
      <c r="U202" s="765"/>
    </row>
    <row r="203" spans="2:21" s="109" customFormat="1" ht="25.5" x14ac:dyDescent="0.2">
      <c r="B203" s="675" t="s">
        <v>200</v>
      </c>
      <c r="C203" s="683" t="s">
        <v>107</v>
      </c>
      <c r="D203" s="683" t="s">
        <v>193</v>
      </c>
      <c r="E203" s="683" t="s">
        <v>78</v>
      </c>
      <c r="F203" s="683">
        <v>1</v>
      </c>
      <c r="G203" s="677">
        <v>745</v>
      </c>
      <c r="H203" s="678">
        <v>630</v>
      </c>
      <c r="I203" s="773">
        <v>187.42499999999998</v>
      </c>
      <c r="J203" s="844">
        <v>1</v>
      </c>
      <c r="K203" s="8">
        <f t="shared" si="74"/>
        <v>800.1</v>
      </c>
      <c r="L203" s="5">
        <f t="shared" si="75"/>
        <v>745</v>
      </c>
      <c r="M203" s="830">
        <f t="shared" si="76"/>
        <v>34.212500000000006</v>
      </c>
      <c r="N203" s="505">
        <f t="shared" si="77"/>
        <v>221.63749999999999</v>
      </c>
      <c r="O203" s="5">
        <f t="shared" si="78"/>
        <v>149.21250000000001</v>
      </c>
      <c r="P203" s="123">
        <f t="shared" si="79"/>
        <v>149.21250000000001</v>
      </c>
      <c r="Q203" s="124">
        <f t="shared" si="80"/>
        <v>1790.5500000000002</v>
      </c>
      <c r="R203" s="124">
        <f t="shared" si="81"/>
        <v>431.34349500000008</v>
      </c>
      <c r="S203" s="125">
        <f t="shared" si="82"/>
        <v>2221.8934950000003</v>
      </c>
      <c r="T203" s="419"/>
      <c r="U203" s="765"/>
    </row>
    <row r="204" spans="2:21" s="109" customFormat="1" ht="25.5" x14ac:dyDescent="0.2">
      <c r="B204" s="675" t="s">
        <v>200</v>
      </c>
      <c r="C204" s="683" t="s">
        <v>107</v>
      </c>
      <c r="D204" s="683" t="s">
        <v>193</v>
      </c>
      <c r="E204" s="683" t="s">
        <v>78</v>
      </c>
      <c r="F204" s="683">
        <v>2</v>
      </c>
      <c r="G204" s="677">
        <v>920</v>
      </c>
      <c r="H204" s="678">
        <v>659</v>
      </c>
      <c r="I204" s="773">
        <v>196.05249999999998</v>
      </c>
      <c r="J204" s="844">
        <v>4</v>
      </c>
      <c r="K204" s="8">
        <f t="shared" si="74"/>
        <v>836.93000000000006</v>
      </c>
      <c r="L204" s="5">
        <f t="shared" si="75"/>
        <v>836.93000000000006</v>
      </c>
      <c r="M204" s="830">
        <f t="shared" si="76"/>
        <v>52.934175000000039</v>
      </c>
      <c r="N204" s="505">
        <f t="shared" si="77"/>
        <v>248.98667500000002</v>
      </c>
      <c r="O204" s="5">
        <f t="shared" si="78"/>
        <v>230.8641750000001</v>
      </c>
      <c r="P204" s="123">
        <f t="shared" si="79"/>
        <v>923.45670000000041</v>
      </c>
      <c r="Q204" s="124">
        <f t="shared" si="80"/>
        <v>11081.480400000004</v>
      </c>
      <c r="R204" s="124">
        <f t="shared" si="81"/>
        <v>2669.5286283600012</v>
      </c>
      <c r="S204" s="125">
        <f t="shared" si="82"/>
        <v>13751.009028360006</v>
      </c>
      <c r="T204" s="419"/>
      <c r="U204" s="765"/>
    </row>
    <row r="205" spans="2:21" s="109" customFormat="1" ht="25.5" x14ac:dyDescent="0.2">
      <c r="B205" s="675" t="s">
        <v>200</v>
      </c>
      <c r="C205" s="683" t="s">
        <v>107</v>
      </c>
      <c r="D205" s="683" t="s">
        <v>193</v>
      </c>
      <c r="E205" s="683" t="s">
        <v>78</v>
      </c>
      <c r="F205" s="683">
        <v>3</v>
      </c>
      <c r="G205" s="677">
        <v>1093</v>
      </c>
      <c r="H205" s="678">
        <v>725</v>
      </c>
      <c r="I205" s="773">
        <v>215.6875</v>
      </c>
      <c r="J205" s="844">
        <v>39.75</v>
      </c>
      <c r="K205" s="8">
        <f t="shared" si="74"/>
        <v>920.75</v>
      </c>
      <c r="L205" s="5">
        <f t="shared" si="75"/>
        <v>920.75</v>
      </c>
      <c r="M205" s="830">
        <f t="shared" si="76"/>
        <v>58.23562499999997</v>
      </c>
      <c r="N205" s="505">
        <f t="shared" si="77"/>
        <v>273.92312499999997</v>
      </c>
      <c r="O205" s="5">
        <f t="shared" si="78"/>
        <v>253.98562499999997</v>
      </c>
      <c r="P205" s="123">
        <f t="shared" si="79"/>
        <v>10095.928593749999</v>
      </c>
      <c r="Q205" s="124">
        <f t="shared" si="80"/>
        <v>121151.14312499999</v>
      </c>
      <c r="R205" s="124">
        <f t="shared" si="81"/>
        <v>29185.310378812497</v>
      </c>
      <c r="S205" s="125">
        <f t="shared" si="82"/>
        <v>150336.45350381249</v>
      </c>
      <c r="T205" s="419"/>
      <c r="U205" s="765"/>
    </row>
    <row r="206" spans="2:21" s="109" customFormat="1" ht="25.5" x14ac:dyDescent="0.2">
      <c r="B206" s="675" t="s">
        <v>201</v>
      </c>
      <c r="C206" s="683" t="s">
        <v>107</v>
      </c>
      <c r="D206" s="683" t="s">
        <v>193</v>
      </c>
      <c r="E206" s="683" t="s">
        <v>78</v>
      </c>
      <c r="F206" s="683">
        <v>3</v>
      </c>
      <c r="G206" s="677">
        <v>1093</v>
      </c>
      <c r="H206" s="678">
        <v>803</v>
      </c>
      <c r="I206" s="773">
        <v>238.89249999999998</v>
      </c>
      <c r="J206" s="844">
        <v>4.5</v>
      </c>
      <c r="K206" s="8">
        <f t="shared" si="74"/>
        <v>1019.8100000000001</v>
      </c>
      <c r="L206" s="5">
        <f t="shared" si="75"/>
        <v>1019.8100000000001</v>
      </c>
      <c r="M206" s="830">
        <f t="shared" si="76"/>
        <v>64.500975000000039</v>
      </c>
      <c r="N206" s="505">
        <f t="shared" si="77"/>
        <v>303.39347500000002</v>
      </c>
      <c r="O206" s="5">
        <f t="shared" si="78"/>
        <v>281.3109750000001</v>
      </c>
      <c r="P206" s="123">
        <f t="shared" si="79"/>
        <v>1265.8993875000006</v>
      </c>
      <c r="Q206" s="124">
        <f t="shared" si="80"/>
        <v>15190.792650000007</v>
      </c>
      <c r="R206" s="124">
        <f t="shared" si="81"/>
        <v>3659.4619493850018</v>
      </c>
      <c r="S206" s="125">
        <f t="shared" si="82"/>
        <v>18850.254599385007</v>
      </c>
      <c r="T206" s="419"/>
      <c r="U206" s="765"/>
    </row>
    <row r="207" spans="2:21" s="109" customFormat="1" ht="27" customHeight="1" x14ac:dyDescent="0.2">
      <c r="B207" s="675" t="s">
        <v>202</v>
      </c>
      <c r="C207" s="683" t="s">
        <v>107</v>
      </c>
      <c r="D207" s="683" t="s">
        <v>193</v>
      </c>
      <c r="E207" s="683" t="s">
        <v>78</v>
      </c>
      <c r="F207" s="683">
        <v>2</v>
      </c>
      <c r="G207" s="677">
        <v>920</v>
      </c>
      <c r="H207" s="678">
        <v>573</v>
      </c>
      <c r="I207" s="773">
        <v>170.4675</v>
      </c>
      <c r="J207" s="844">
        <v>3</v>
      </c>
      <c r="K207" s="8">
        <f t="shared" si="74"/>
        <v>727.71</v>
      </c>
      <c r="L207" s="5">
        <f t="shared" si="75"/>
        <v>727.71</v>
      </c>
      <c r="M207" s="830">
        <f t="shared" si="76"/>
        <v>46.026225000000011</v>
      </c>
      <c r="N207" s="505">
        <f t="shared" si="77"/>
        <v>216.49372500000001</v>
      </c>
      <c r="O207" s="5">
        <f t="shared" si="78"/>
        <v>200.73622500000005</v>
      </c>
      <c r="P207" s="123">
        <f t="shared" si="79"/>
        <v>602.20867500000008</v>
      </c>
      <c r="Q207" s="124">
        <f t="shared" si="80"/>
        <v>7226.504100000001</v>
      </c>
      <c r="R207" s="124">
        <f t="shared" si="81"/>
        <v>1740.8648376900003</v>
      </c>
      <c r="S207" s="125">
        <f t="shared" si="82"/>
        <v>8967.368937690002</v>
      </c>
      <c r="T207" s="419"/>
      <c r="U207" s="765"/>
    </row>
    <row r="208" spans="2:21" s="109" customFormat="1" ht="26.25" customHeight="1" x14ac:dyDescent="0.2">
      <c r="B208" s="675" t="s">
        <v>202</v>
      </c>
      <c r="C208" s="683" t="s">
        <v>107</v>
      </c>
      <c r="D208" s="683" t="s">
        <v>193</v>
      </c>
      <c r="E208" s="683" t="s">
        <v>78</v>
      </c>
      <c r="F208" s="683">
        <v>3</v>
      </c>
      <c r="G208" s="677">
        <v>1093</v>
      </c>
      <c r="H208" s="678">
        <v>632</v>
      </c>
      <c r="I208" s="773">
        <v>188.01999999999998</v>
      </c>
      <c r="J208" s="844">
        <v>1</v>
      </c>
      <c r="K208" s="8">
        <f t="shared" si="74"/>
        <v>802.64</v>
      </c>
      <c r="L208" s="5">
        <f t="shared" si="75"/>
        <v>802.64</v>
      </c>
      <c r="M208" s="830">
        <f t="shared" si="76"/>
        <v>50.7654</v>
      </c>
      <c r="N208" s="505">
        <f t="shared" si="77"/>
        <v>238.78539999999998</v>
      </c>
      <c r="O208" s="5">
        <f t="shared" si="78"/>
        <v>221.40539999999999</v>
      </c>
      <c r="P208" s="123">
        <f t="shared" si="79"/>
        <v>221.40539999999999</v>
      </c>
      <c r="Q208" s="124">
        <f t="shared" si="80"/>
        <v>2656.8647999999998</v>
      </c>
      <c r="R208" s="124">
        <f t="shared" si="81"/>
        <v>640.03873032000001</v>
      </c>
      <c r="S208" s="125">
        <f t="shared" si="82"/>
        <v>3296.9035303199998</v>
      </c>
      <c r="T208" s="419"/>
      <c r="U208" s="765"/>
    </row>
    <row r="209" spans="2:21" s="109" customFormat="1" ht="25.5" x14ac:dyDescent="0.2">
      <c r="B209" s="675" t="s">
        <v>203</v>
      </c>
      <c r="C209" s="683" t="s">
        <v>107</v>
      </c>
      <c r="D209" s="683" t="s">
        <v>193</v>
      </c>
      <c r="E209" s="683" t="s">
        <v>78</v>
      </c>
      <c r="F209" s="683">
        <v>3</v>
      </c>
      <c r="G209" s="677">
        <v>1093</v>
      </c>
      <c r="H209" s="678">
        <v>659</v>
      </c>
      <c r="I209" s="773">
        <v>196.05249999999998</v>
      </c>
      <c r="J209" s="844">
        <v>1.25</v>
      </c>
      <c r="K209" s="8">
        <f t="shared" si="74"/>
        <v>836.93000000000006</v>
      </c>
      <c r="L209" s="5">
        <f t="shared" si="75"/>
        <v>836.93000000000006</v>
      </c>
      <c r="M209" s="830">
        <f t="shared" si="76"/>
        <v>52.934175000000039</v>
      </c>
      <c r="N209" s="505">
        <f t="shared" si="77"/>
        <v>248.98667500000002</v>
      </c>
      <c r="O209" s="5">
        <f t="shared" si="78"/>
        <v>230.8641750000001</v>
      </c>
      <c r="P209" s="123">
        <f t="shared" si="79"/>
        <v>288.58021875000014</v>
      </c>
      <c r="Q209" s="124">
        <f t="shared" si="80"/>
        <v>3462.9626250000019</v>
      </c>
      <c r="R209" s="124">
        <f t="shared" si="81"/>
        <v>834.22769636250052</v>
      </c>
      <c r="S209" s="125">
        <f t="shared" si="82"/>
        <v>4297.1903213625028</v>
      </c>
      <c r="T209" s="419"/>
      <c r="U209" s="765"/>
    </row>
    <row r="210" spans="2:21" s="109" customFormat="1" ht="25.5" x14ac:dyDescent="0.2">
      <c r="B210" s="675" t="s">
        <v>203</v>
      </c>
      <c r="C210" s="683" t="s">
        <v>107</v>
      </c>
      <c r="D210" s="683" t="s">
        <v>193</v>
      </c>
      <c r="E210" s="683" t="s">
        <v>78</v>
      </c>
      <c r="F210" s="683">
        <v>3</v>
      </c>
      <c r="G210" s="677">
        <v>1093</v>
      </c>
      <c r="H210" s="678">
        <v>725</v>
      </c>
      <c r="I210" s="773">
        <v>215.6875</v>
      </c>
      <c r="J210" s="844">
        <v>9.5</v>
      </c>
      <c r="K210" s="8">
        <f t="shared" si="74"/>
        <v>920.75</v>
      </c>
      <c r="L210" s="5">
        <f t="shared" si="75"/>
        <v>920.75</v>
      </c>
      <c r="M210" s="830">
        <f t="shared" si="76"/>
        <v>58.23562499999997</v>
      </c>
      <c r="N210" s="505">
        <f t="shared" si="77"/>
        <v>273.92312499999997</v>
      </c>
      <c r="O210" s="5">
        <f t="shared" si="78"/>
        <v>253.98562499999997</v>
      </c>
      <c r="P210" s="123">
        <f t="shared" si="79"/>
        <v>2412.8634374999997</v>
      </c>
      <c r="Q210" s="124">
        <f t="shared" si="80"/>
        <v>28954.361249999994</v>
      </c>
      <c r="R210" s="124">
        <f t="shared" si="81"/>
        <v>6975.1056251249984</v>
      </c>
      <c r="S210" s="125">
        <f t="shared" si="82"/>
        <v>35929.466875124992</v>
      </c>
      <c r="T210" s="419"/>
      <c r="U210" s="765"/>
    </row>
    <row r="211" spans="2:21" s="109" customFormat="1" x14ac:dyDescent="0.2">
      <c r="B211" s="675" t="s">
        <v>204</v>
      </c>
      <c r="C211" s="683" t="s">
        <v>107</v>
      </c>
      <c r="D211" s="683" t="s">
        <v>193</v>
      </c>
      <c r="E211" s="683" t="s">
        <v>83</v>
      </c>
      <c r="F211" s="683" t="s">
        <v>58</v>
      </c>
      <c r="G211" s="677">
        <v>996</v>
      </c>
      <c r="H211" s="678">
        <v>818</v>
      </c>
      <c r="I211" s="773">
        <v>243.35499999999999</v>
      </c>
      <c r="J211" s="844">
        <v>10</v>
      </c>
      <c r="K211" s="8">
        <f t="shared" si="74"/>
        <v>1038.8600000000001</v>
      </c>
      <c r="L211" s="5">
        <f t="shared" si="75"/>
        <v>996</v>
      </c>
      <c r="M211" s="830">
        <f t="shared" si="76"/>
        <v>52.955000000000013</v>
      </c>
      <c r="N211" s="505">
        <f t="shared" si="77"/>
        <v>296.31</v>
      </c>
      <c r="O211" s="5">
        <f t="shared" si="78"/>
        <v>230.95500000000001</v>
      </c>
      <c r="P211" s="123">
        <f t="shared" si="79"/>
        <v>2309.5500000000002</v>
      </c>
      <c r="Q211" s="124">
        <f t="shared" si="80"/>
        <v>27714.600000000002</v>
      </c>
      <c r="R211" s="124">
        <f t="shared" si="81"/>
        <v>6676.4471400000002</v>
      </c>
      <c r="S211" s="125">
        <f t="shared" si="82"/>
        <v>34391.047140000002</v>
      </c>
      <c r="T211" s="419"/>
      <c r="U211" s="765"/>
    </row>
    <row r="212" spans="2:21" s="109" customFormat="1" x14ac:dyDescent="0.2">
      <c r="B212" s="675" t="s">
        <v>205</v>
      </c>
      <c r="C212" s="683" t="s">
        <v>107</v>
      </c>
      <c r="D212" s="683" t="s">
        <v>193</v>
      </c>
      <c r="E212" s="683" t="s">
        <v>83</v>
      </c>
      <c r="F212" s="683" t="s">
        <v>58</v>
      </c>
      <c r="G212" s="677">
        <v>996</v>
      </c>
      <c r="H212" s="678">
        <v>611</v>
      </c>
      <c r="I212" s="773">
        <v>267.3125</v>
      </c>
      <c r="J212" s="844">
        <v>10</v>
      </c>
      <c r="K212" s="8">
        <f t="shared" si="74"/>
        <v>775.97</v>
      </c>
      <c r="L212" s="5">
        <f t="shared" si="75"/>
        <v>775.97</v>
      </c>
      <c r="M212" s="830">
        <f t="shared" si="76"/>
        <v>72.174374999999998</v>
      </c>
      <c r="N212" s="505">
        <f t="shared" si="77"/>
        <v>339.486875</v>
      </c>
      <c r="O212" s="5">
        <f t="shared" si="78"/>
        <v>237.14437500000003</v>
      </c>
      <c r="P212" s="123">
        <f t="shared" si="79"/>
        <v>2371.4437500000004</v>
      </c>
      <c r="Q212" s="124">
        <f t="shared" si="80"/>
        <v>28457.325000000004</v>
      </c>
      <c r="R212" s="124">
        <f t="shared" si="81"/>
        <v>6855.3695925000011</v>
      </c>
      <c r="S212" s="125">
        <f t="shared" si="82"/>
        <v>35312.694592500004</v>
      </c>
      <c r="T212" s="419"/>
      <c r="U212" s="765"/>
    </row>
    <row r="213" spans="2:21" s="109" customFormat="1" x14ac:dyDescent="0.2">
      <c r="B213" s="675" t="s">
        <v>206</v>
      </c>
      <c r="C213" s="683" t="s">
        <v>42</v>
      </c>
      <c r="D213" s="683" t="s">
        <v>24</v>
      </c>
      <c r="E213" s="683" t="s">
        <v>83</v>
      </c>
      <c r="F213" s="683" t="s">
        <v>58</v>
      </c>
      <c r="G213" s="677">
        <v>996</v>
      </c>
      <c r="H213" s="678">
        <v>611</v>
      </c>
      <c r="I213" s="773">
        <v>267.3125</v>
      </c>
      <c r="J213" s="844">
        <v>5</v>
      </c>
      <c r="K213" s="8">
        <f t="shared" si="74"/>
        <v>775.97</v>
      </c>
      <c r="L213" s="5">
        <f t="shared" si="75"/>
        <v>775.97</v>
      </c>
      <c r="M213" s="830">
        <f t="shared" si="76"/>
        <v>72.174374999999998</v>
      </c>
      <c r="N213" s="505">
        <f t="shared" si="77"/>
        <v>339.486875</v>
      </c>
      <c r="O213" s="5">
        <f t="shared" si="78"/>
        <v>237.14437500000003</v>
      </c>
      <c r="P213" s="123">
        <f t="shared" si="79"/>
        <v>1185.7218750000002</v>
      </c>
      <c r="Q213" s="124">
        <f t="shared" si="80"/>
        <v>14228.662500000002</v>
      </c>
      <c r="R213" s="124">
        <f t="shared" si="81"/>
        <v>3427.6847962500005</v>
      </c>
      <c r="S213" s="125">
        <f t="shared" si="82"/>
        <v>17656.347296250002</v>
      </c>
      <c r="T213" s="419"/>
      <c r="U213" s="765"/>
    </row>
    <row r="214" spans="2:21" s="109" customFormat="1" x14ac:dyDescent="0.2">
      <c r="B214" s="679" t="s">
        <v>207</v>
      </c>
      <c r="C214" s="683" t="s">
        <v>42</v>
      </c>
      <c r="D214" s="683" t="s">
        <v>24</v>
      </c>
      <c r="E214" s="683" t="s">
        <v>83</v>
      </c>
      <c r="F214" s="683" t="s">
        <v>58</v>
      </c>
      <c r="G214" s="677">
        <v>996</v>
      </c>
      <c r="H214" s="678">
        <v>611</v>
      </c>
      <c r="I214" s="773">
        <v>267.3125</v>
      </c>
      <c r="J214" s="844">
        <v>5</v>
      </c>
      <c r="K214" s="8">
        <f t="shared" si="74"/>
        <v>775.97</v>
      </c>
      <c r="L214" s="5">
        <f t="shared" si="75"/>
        <v>775.97</v>
      </c>
      <c r="M214" s="830">
        <f t="shared" si="76"/>
        <v>72.174374999999998</v>
      </c>
      <c r="N214" s="505">
        <f t="shared" si="77"/>
        <v>339.486875</v>
      </c>
      <c r="O214" s="5">
        <f t="shared" si="78"/>
        <v>237.14437500000003</v>
      </c>
      <c r="P214" s="123">
        <f t="shared" si="79"/>
        <v>1185.7218750000002</v>
      </c>
      <c r="Q214" s="124">
        <f t="shared" si="80"/>
        <v>14228.662500000002</v>
      </c>
      <c r="R214" s="124">
        <f t="shared" si="81"/>
        <v>3427.6847962500005</v>
      </c>
      <c r="S214" s="125">
        <f t="shared" si="82"/>
        <v>17656.347296250002</v>
      </c>
      <c r="T214" s="419"/>
      <c r="U214" s="765"/>
    </row>
    <row r="215" spans="2:21" s="109" customFormat="1" x14ac:dyDescent="0.2">
      <c r="B215" s="675" t="s">
        <v>208</v>
      </c>
      <c r="C215" s="683" t="s">
        <v>42</v>
      </c>
      <c r="D215" s="683" t="s">
        <v>25</v>
      </c>
      <c r="E215" s="683" t="s">
        <v>90</v>
      </c>
      <c r="F215" s="683" t="s">
        <v>58</v>
      </c>
      <c r="G215" s="677">
        <v>899</v>
      </c>
      <c r="H215" s="678">
        <v>611</v>
      </c>
      <c r="I215" s="773">
        <v>267.3125</v>
      </c>
      <c r="J215" s="844">
        <v>1</v>
      </c>
      <c r="K215" s="8">
        <f t="shared" si="74"/>
        <v>775.97</v>
      </c>
      <c r="L215" s="5">
        <f t="shared" si="75"/>
        <v>775.97</v>
      </c>
      <c r="M215" s="830">
        <f t="shared" si="76"/>
        <v>72.174374999999998</v>
      </c>
      <c r="N215" s="505">
        <f t="shared" si="77"/>
        <v>339.486875</v>
      </c>
      <c r="O215" s="5">
        <f t="shared" si="78"/>
        <v>237.14437500000003</v>
      </c>
      <c r="P215" s="123">
        <f t="shared" si="79"/>
        <v>237.14437500000003</v>
      </c>
      <c r="Q215" s="124">
        <f t="shared" si="80"/>
        <v>2845.7325000000001</v>
      </c>
      <c r="R215" s="124">
        <f t="shared" si="81"/>
        <v>685.53695925</v>
      </c>
      <c r="S215" s="125">
        <f t="shared" si="82"/>
        <v>3531.2694592500002</v>
      </c>
      <c r="T215" s="419"/>
      <c r="U215" s="765"/>
    </row>
    <row r="216" spans="2:21" s="109" customFormat="1" x14ac:dyDescent="0.2">
      <c r="B216" s="675" t="s">
        <v>209</v>
      </c>
      <c r="C216" s="683" t="s">
        <v>42</v>
      </c>
      <c r="D216" s="683" t="s">
        <v>25</v>
      </c>
      <c r="E216" s="683" t="s">
        <v>90</v>
      </c>
      <c r="F216" s="683" t="s">
        <v>210</v>
      </c>
      <c r="G216" s="677">
        <v>585</v>
      </c>
      <c r="H216" s="678">
        <v>580</v>
      </c>
      <c r="I216" s="773">
        <v>253.75</v>
      </c>
      <c r="J216" s="844">
        <v>0.5</v>
      </c>
      <c r="K216" s="8">
        <f t="shared" si="74"/>
        <v>736.6</v>
      </c>
      <c r="L216" s="5">
        <f t="shared" si="75"/>
        <v>585</v>
      </c>
      <c r="M216" s="830">
        <f t="shared" si="76"/>
        <v>2.1875</v>
      </c>
      <c r="N216" s="505">
        <f t="shared" si="77"/>
        <v>255.9375</v>
      </c>
      <c r="O216" s="5">
        <f t="shared" si="78"/>
        <v>7.1875</v>
      </c>
      <c r="P216" s="123">
        <f t="shared" si="79"/>
        <v>3.59375</v>
      </c>
      <c r="Q216" s="124">
        <f t="shared" si="80"/>
        <v>43.125</v>
      </c>
      <c r="R216" s="124">
        <f t="shared" si="81"/>
        <v>10.3888125</v>
      </c>
      <c r="S216" s="125">
        <f t="shared" si="82"/>
        <v>53.5138125</v>
      </c>
      <c r="T216" s="419"/>
      <c r="U216" s="765"/>
    </row>
    <row r="217" spans="2:21" s="109" customFormat="1" x14ac:dyDescent="0.2">
      <c r="B217" s="675" t="s">
        <v>209</v>
      </c>
      <c r="C217" s="683" t="s">
        <v>42</v>
      </c>
      <c r="D217" s="683" t="s">
        <v>25</v>
      </c>
      <c r="E217" s="683" t="s">
        <v>90</v>
      </c>
      <c r="F217" s="683" t="s">
        <v>91</v>
      </c>
      <c r="G217" s="677">
        <v>740</v>
      </c>
      <c r="H217" s="678">
        <v>593</v>
      </c>
      <c r="I217" s="773">
        <v>259.4375</v>
      </c>
      <c r="J217" s="844">
        <v>1</v>
      </c>
      <c r="K217" s="8">
        <f t="shared" ref="K217:K218" si="83">H217*1.27</f>
        <v>753.11</v>
      </c>
      <c r="L217" s="5">
        <f t="shared" ref="L217:L218" si="84">IF(K217&lt;=G217,K217,G217)</f>
        <v>740</v>
      </c>
      <c r="M217" s="830">
        <f t="shared" ref="M217:M218" si="85">N217-I217</f>
        <v>64.3125</v>
      </c>
      <c r="N217" s="505">
        <f t="shared" ref="N217:N218" si="86">I217/H217*L217</f>
        <v>323.75</v>
      </c>
      <c r="O217" s="5">
        <f t="shared" ref="O217:O218" si="87">L217-H217+M217</f>
        <v>211.3125</v>
      </c>
      <c r="P217" s="123">
        <f t="shared" ref="P217:P218" si="88">O217*J217</f>
        <v>211.3125</v>
      </c>
      <c r="Q217" s="124">
        <f t="shared" ref="Q217:Q218" si="89">P217*12</f>
        <v>2535.75</v>
      </c>
      <c r="R217" s="124">
        <f t="shared" ref="R217:R218" si="90">Q217*0.2409</f>
        <v>610.86217499999998</v>
      </c>
      <c r="S217" s="125">
        <f t="shared" ref="S217:S218" si="91">Q217+R217</f>
        <v>3146.6121750000002</v>
      </c>
      <c r="T217" s="419"/>
      <c r="U217" s="765"/>
    </row>
    <row r="218" spans="2:21" s="109" customFormat="1" x14ac:dyDescent="0.2">
      <c r="B218" s="675" t="s">
        <v>209</v>
      </c>
      <c r="C218" s="683" t="s">
        <v>42</v>
      </c>
      <c r="D218" s="683" t="s">
        <v>25</v>
      </c>
      <c r="E218" s="683" t="s">
        <v>90</v>
      </c>
      <c r="F218" s="683" t="s">
        <v>58</v>
      </c>
      <c r="G218" s="677">
        <v>899</v>
      </c>
      <c r="H218" s="678">
        <v>611</v>
      </c>
      <c r="I218" s="773">
        <v>267.3125</v>
      </c>
      <c r="J218" s="844">
        <v>0.5</v>
      </c>
      <c r="K218" s="8">
        <f t="shared" si="83"/>
        <v>775.97</v>
      </c>
      <c r="L218" s="5">
        <f t="shared" si="84"/>
        <v>775.97</v>
      </c>
      <c r="M218" s="830">
        <f t="shared" si="85"/>
        <v>72.174374999999998</v>
      </c>
      <c r="N218" s="505">
        <f t="shared" si="86"/>
        <v>339.486875</v>
      </c>
      <c r="O218" s="5">
        <f t="shared" si="87"/>
        <v>237.14437500000003</v>
      </c>
      <c r="P218" s="123">
        <f t="shared" si="88"/>
        <v>118.57218750000001</v>
      </c>
      <c r="Q218" s="124">
        <f t="shared" si="89"/>
        <v>1422.86625</v>
      </c>
      <c r="R218" s="124">
        <f t="shared" si="90"/>
        <v>342.768479625</v>
      </c>
      <c r="S218" s="125">
        <f t="shared" si="91"/>
        <v>1765.6347296250001</v>
      </c>
      <c r="T218" s="419"/>
      <c r="U218" s="765"/>
    </row>
    <row r="219" spans="2:21" s="52" customFormat="1" x14ac:dyDescent="0.25">
      <c r="B219" s="407" t="s">
        <v>39</v>
      </c>
      <c r="C219" s="54"/>
      <c r="D219" s="54"/>
      <c r="E219" s="54"/>
      <c r="F219" s="54"/>
      <c r="G219" s="56"/>
      <c r="H219" s="6"/>
      <c r="I219" s="57"/>
      <c r="J219" s="67">
        <f>SUM(J153:J218)</f>
        <v>1665.5</v>
      </c>
      <c r="K219" s="58"/>
      <c r="L219" s="7"/>
      <c r="M219" s="59"/>
      <c r="N219" s="57"/>
      <c r="O219" s="7"/>
      <c r="P219" s="57"/>
      <c r="Q219" s="60">
        <f>SUM(Q153:Q218)</f>
        <v>4325090.7566249995</v>
      </c>
      <c r="R219" s="60">
        <f>SUM(R153:R218)</f>
        <v>1041914.3632709628</v>
      </c>
      <c r="S219" s="61">
        <f>SUM(S153:S218)</f>
        <v>5367005.119895963</v>
      </c>
      <c r="T219" s="390"/>
      <c r="U219" s="406"/>
    </row>
    <row r="220" spans="2:21" s="109" customFormat="1" x14ac:dyDescent="0.25">
      <c r="B220" s="110" t="s">
        <v>94</v>
      </c>
      <c r="C220" s="111"/>
      <c r="D220" s="111"/>
      <c r="E220" s="111"/>
      <c r="F220" s="111"/>
      <c r="G220" s="792"/>
      <c r="H220" s="113"/>
      <c r="I220" s="117"/>
      <c r="J220" s="793"/>
      <c r="K220" s="116"/>
      <c r="L220" s="117"/>
      <c r="M220" s="118"/>
      <c r="N220" s="117"/>
      <c r="O220" s="117"/>
      <c r="P220" s="117"/>
      <c r="Q220" s="119"/>
      <c r="R220" s="119"/>
      <c r="S220" s="120"/>
      <c r="T220" s="390"/>
      <c r="U220" s="765"/>
    </row>
    <row r="221" spans="2:21" s="109" customFormat="1" x14ac:dyDescent="0.2">
      <c r="B221" s="695" t="s">
        <v>211</v>
      </c>
      <c r="C221" s="676" t="s">
        <v>42</v>
      </c>
      <c r="D221" s="676" t="s">
        <v>80</v>
      </c>
      <c r="E221" s="676" t="s">
        <v>58</v>
      </c>
      <c r="F221" s="676">
        <v>1</v>
      </c>
      <c r="G221" s="677">
        <v>422</v>
      </c>
      <c r="H221" s="678">
        <v>383</v>
      </c>
      <c r="I221" s="773">
        <v>202.0325</v>
      </c>
      <c r="J221" s="844">
        <v>91.25</v>
      </c>
      <c r="K221" s="8">
        <f t="shared" ref="K221:K223" si="92">H221*1.27</f>
        <v>486.41</v>
      </c>
      <c r="L221" s="5">
        <f t="shared" ref="L221:L223" si="93">IF(K221&lt;=G221,K221,G221)</f>
        <v>422</v>
      </c>
      <c r="M221" s="830">
        <f t="shared" ref="M221:M223" si="94">N221-I221</f>
        <v>20.572499999999991</v>
      </c>
      <c r="N221" s="505">
        <f t="shared" ref="N221:N223" si="95">I221/H221*L221</f>
        <v>222.60499999999999</v>
      </c>
      <c r="O221" s="5">
        <f t="shared" ref="O221:O223" si="96">L221-H221+M221</f>
        <v>59.572499999999991</v>
      </c>
      <c r="P221" s="123">
        <f t="shared" ref="P221:P223" si="97">O221*J221</f>
        <v>5435.9906249999995</v>
      </c>
      <c r="Q221" s="124">
        <f t="shared" ref="Q221:Q223" si="98">P221*12</f>
        <v>65231.887499999997</v>
      </c>
      <c r="R221" s="124">
        <f t="shared" ref="R221:R223" si="99">Q221*0.2409</f>
        <v>15714.361698749999</v>
      </c>
      <c r="S221" s="125">
        <f t="shared" ref="S221:S223" si="100">Q221+R221</f>
        <v>80946.249198749996</v>
      </c>
      <c r="T221" s="390"/>
      <c r="U221" s="765"/>
    </row>
    <row r="222" spans="2:21" s="109" customFormat="1" x14ac:dyDescent="0.2">
      <c r="B222" s="696" t="s">
        <v>211</v>
      </c>
      <c r="C222" s="697" t="s">
        <v>42</v>
      </c>
      <c r="D222" s="697" t="s">
        <v>80</v>
      </c>
      <c r="E222" s="697" t="s">
        <v>58</v>
      </c>
      <c r="F222" s="697">
        <v>2</v>
      </c>
      <c r="G222" s="698">
        <v>463</v>
      </c>
      <c r="H222" s="699">
        <v>385</v>
      </c>
      <c r="I222" s="849">
        <v>164.58750000000001</v>
      </c>
      <c r="J222" s="850">
        <v>17.5</v>
      </c>
      <c r="K222" s="700">
        <f t="shared" si="92"/>
        <v>488.95</v>
      </c>
      <c r="L222" s="701">
        <f t="shared" si="93"/>
        <v>463</v>
      </c>
      <c r="M222" s="851">
        <f t="shared" si="94"/>
        <v>33.344999999999999</v>
      </c>
      <c r="N222" s="852">
        <f>I222/H222*L222</f>
        <v>197.9325</v>
      </c>
      <c r="O222" s="701">
        <f t="shared" si="96"/>
        <v>111.345</v>
      </c>
      <c r="P222" s="853">
        <f t="shared" si="97"/>
        <v>1948.5374999999999</v>
      </c>
      <c r="Q222" s="854">
        <f t="shared" si="98"/>
        <v>23382.449999999997</v>
      </c>
      <c r="R222" s="854">
        <f t="shared" si="99"/>
        <v>5632.8322049999997</v>
      </c>
      <c r="S222" s="855">
        <f t="shared" si="100"/>
        <v>29015.282204999996</v>
      </c>
      <c r="T222" s="390"/>
      <c r="U222" s="765"/>
    </row>
    <row r="223" spans="2:21" s="109" customFormat="1" x14ac:dyDescent="0.2">
      <c r="B223" s="675" t="s">
        <v>212</v>
      </c>
      <c r="C223" s="676" t="s">
        <v>42</v>
      </c>
      <c r="D223" s="676" t="s">
        <v>80</v>
      </c>
      <c r="E223" s="676" t="s">
        <v>58</v>
      </c>
      <c r="F223" s="676">
        <v>3</v>
      </c>
      <c r="G223" s="677">
        <v>608</v>
      </c>
      <c r="H223" s="678">
        <v>390</v>
      </c>
      <c r="I223" s="773">
        <v>166.72499999999999</v>
      </c>
      <c r="J223" s="844">
        <v>66.25</v>
      </c>
      <c r="K223" s="8">
        <f t="shared" si="92"/>
        <v>495.3</v>
      </c>
      <c r="L223" s="5">
        <f t="shared" si="93"/>
        <v>495.3</v>
      </c>
      <c r="M223" s="856">
        <f t="shared" si="94"/>
        <v>45.015749999999997</v>
      </c>
      <c r="N223" s="505">
        <f t="shared" si="95"/>
        <v>211.74074999999999</v>
      </c>
      <c r="O223" s="5">
        <f t="shared" si="96"/>
        <v>150.31575000000001</v>
      </c>
      <c r="P223" s="123">
        <f t="shared" si="97"/>
        <v>9958.4184375000004</v>
      </c>
      <c r="Q223" s="124">
        <f t="shared" si="98"/>
        <v>119501.02125000001</v>
      </c>
      <c r="R223" s="124">
        <f t="shared" si="99"/>
        <v>28787.796019125002</v>
      </c>
      <c r="S223" s="125">
        <f t="shared" si="100"/>
        <v>148288.81726912502</v>
      </c>
      <c r="T223" s="390"/>
      <c r="U223" s="765"/>
    </row>
    <row r="224" spans="2:21" s="52" customFormat="1" ht="13.5" thickBot="1" x14ac:dyDescent="0.3">
      <c r="B224" s="420" t="s">
        <v>39</v>
      </c>
      <c r="C224" s="421"/>
      <c r="D224" s="421"/>
      <c r="E224" s="421"/>
      <c r="F224" s="421"/>
      <c r="G224" s="422"/>
      <c r="H224" s="423"/>
      <c r="I224" s="424"/>
      <c r="J224" s="425">
        <f>SUM(J221:J223)</f>
        <v>175</v>
      </c>
      <c r="K224" s="426"/>
      <c r="L224" s="384"/>
      <c r="M224" s="427"/>
      <c r="N224" s="424"/>
      <c r="O224" s="384"/>
      <c r="P224" s="424"/>
      <c r="Q224" s="428">
        <f t="shared" ref="Q224:S224" si="101">SUM(Q221:Q223)</f>
        <v>208115.35875000001</v>
      </c>
      <c r="R224" s="428">
        <f t="shared" si="101"/>
        <v>50134.989922875</v>
      </c>
      <c r="S224" s="429">
        <f t="shared" si="101"/>
        <v>258250.34867287503</v>
      </c>
      <c r="T224" s="390"/>
      <c r="U224" s="406"/>
    </row>
    <row r="225" spans="2:22" s="109" customFormat="1" ht="13.5" thickTop="1" x14ac:dyDescent="0.25">
      <c r="B225" s="110" t="s">
        <v>213</v>
      </c>
      <c r="C225" s="111"/>
      <c r="D225" s="111"/>
      <c r="E225" s="111"/>
      <c r="F225" s="111"/>
      <c r="G225" s="792"/>
      <c r="H225" s="113"/>
      <c r="I225" s="117"/>
      <c r="J225" s="793"/>
      <c r="K225" s="116"/>
      <c r="L225" s="117"/>
      <c r="M225" s="118"/>
      <c r="N225" s="117"/>
      <c r="O225" s="117"/>
      <c r="P225" s="117"/>
      <c r="Q225" s="119"/>
      <c r="R225" s="119"/>
      <c r="S225" s="120"/>
      <c r="T225" s="390"/>
      <c r="U225" s="765"/>
    </row>
    <row r="226" spans="2:22" s="109" customFormat="1" x14ac:dyDescent="0.2">
      <c r="B226" s="702" t="s">
        <v>214</v>
      </c>
      <c r="C226" s="703" t="s">
        <v>88</v>
      </c>
      <c r="D226" s="703" t="s">
        <v>24</v>
      </c>
      <c r="E226" s="703" t="s">
        <v>83</v>
      </c>
      <c r="F226" s="703">
        <v>1</v>
      </c>
      <c r="G226" s="704">
        <v>675</v>
      </c>
      <c r="H226" s="705">
        <v>413</v>
      </c>
      <c r="I226" s="857">
        <v>217.85749999999999</v>
      </c>
      <c r="J226" s="858">
        <v>126</v>
      </c>
      <c r="K226" s="706">
        <f>H226*1.205</f>
        <v>497.66500000000002</v>
      </c>
      <c r="L226" s="707">
        <f t="shared" ref="L226:L234" si="102">IF(K226&lt;=G226,K226,G226)</f>
        <v>497.66500000000002</v>
      </c>
      <c r="M226" s="859">
        <v>0</v>
      </c>
      <c r="N226" s="707">
        <f>I226+M226</f>
        <v>217.85749999999999</v>
      </c>
      <c r="O226" s="707">
        <f>L226-H226+M226</f>
        <v>84.66500000000002</v>
      </c>
      <c r="P226" s="860">
        <f>O226*J226</f>
        <v>10667.790000000003</v>
      </c>
      <c r="Q226" s="861">
        <f t="shared" ref="Q226:Q234" si="103">P226*12</f>
        <v>128013.48000000004</v>
      </c>
      <c r="R226" s="861">
        <f t="shared" ref="R226:R234" si="104">Q226*0.2409</f>
        <v>30838.447332000011</v>
      </c>
      <c r="S226" s="862">
        <f t="shared" ref="S226:S234" si="105">Q226+R226</f>
        <v>158851.92733200005</v>
      </c>
      <c r="T226" s="390"/>
      <c r="U226" s="863"/>
    </row>
    <row r="227" spans="2:22" s="109" customFormat="1" x14ac:dyDescent="0.2">
      <c r="B227" s="708" t="s">
        <v>214</v>
      </c>
      <c r="C227" s="709" t="s">
        <v>88</v>
      </c>
      <c r="D227" s="709" t="s">
        <v>24</v>
      </c>
      <c r="E227" s="709" t="s">
        <v>83</v>
      </c>
      <c r="F227" s="709">
        <v>2</v>
      </c>
      <c r="G227" s="710">
        <v>835</v>
      </c>
      <c r="H227" s="711">
        <v>420</v>
      </c>
      <c r="I227" s="864">
        <v>183.75</v>
      </c>
      <c r="J227" s="865">
        <v>46.5</v>
      </c>
      <c r="K227" s="706">
        <f t="shared" ref="K227" si="106">H227*1.2</f>
        <v>504</v>
      </c>
      <c r="L227" s="712">
        <f t="shared" si="102"/>
        <v>504</v>
      </c>
      <c r="M227" s="859">
        <v>0</v>
      </c>
      <c r="N227" s="707">
        <f t="shared" ref="N227:N234" si="107">I227+M227</f>
        <v>183.75</v>
      </c>
      <c r="O227" s="712">
        <f t="shared" ref="O227:O234" si="108">L227-H227+M227</f>
        <v>84</v>
      </c>
      <c r="P227" s="866">
        <f t="shared" ref="P227:P234" si="109">O227*J227</f>
        <v>3906</v>
      </c>
      <c r="Q227" s="867">
        <f t="shared" si="103"/>
        <v>46872</v>
      </c>
      <c r="R227" s="867">
        <f t="shared" si="104"/>
        <v>11291.4648</v>
      </c>
      <c r="S227" s="868">
        <f t="shared" si="105"/>
        <v>58163.464800000002</v>
      </c>
      <c r="T227" s="390"/>
      <c r="U227" s="863"/>
    </row>
    <row r="228" spans="2:22" s="109" customFormat="1" x14ac:dyDescent="0.2">
      <c r="B228" s="708" t="s">
        <v>214</v>
      </c>
      <c r="C228" s="709" t="s">
        <v>88</v>
      </c>
      <c r="D228" s="709" t="s">
        <v>24</v>
      </c>
      <c r="E228" s="709" t="s">
        <v>83</v>
      </c>
      <c r="F228" s="709">
        <v>3</v>
      </c>
      <c r="G228" s="710">
        <v>996</v>
      </c>
      <c r="H228" s="711">
        <v>428</v>
      </c>
      <c r="I228" s="864">
        <v>187.25</v>
      </c>
      <c r="J228" s="865">
        <v>588.5</v>
      </c>
      <c r="K228" s="706">
        <f>H228*1.2</f>
        <v>513.6</v>
      </c>
      <c r="L228" s="712">
        <f t="shared" si="102"/>
        <v>513.6</v>
      </c>
      <c r="M228" s="859">
        <v>0</v>
      </c>
      <c r="N228" s="707">
        <f t="shared" si="107"/>
        <v>187.25</v>
      </c>
      <c r="O228" s="712">
        <f t="shared" si="108"/>
        <v>85.600000000000023</v>
      </c>
      <c r="P228" s="866">
        <f t="shared" si="109"/>
        <v>50375.600000000013</v>
      </c>
      <c r="Q228" s="867">
        <f t="shared" si="103"/>
        <v>604507.20000000019</v>
      </c>
      <c r="R228" s="867">
        <f t="shared" si="104"/>
        <v>145625.78448000006</v>
      </c>
      <c r="S228" s="868">
        <f t="shared" si="105"/>
        <v>750132.98448000022</v>
      </c>
      <c r="T228" s="390"/>
      <c r="U228" s="863"/>
    </row>
    <row r="229" spans="2:22" s="109" customFormat="1" x14ac:dyDescent="0.2">
      <c r="B229" s="708" t="s">
        <v>215</v>
      </c>
      <c r="C229" s="709" t="s">
        <v>88</v>
      </c>
      <c r="D229" s="709" t="s">
        <v>24</v>
      </c>
      <c r="E229" s="709" t="s">
        <v>83</v>
      </c>
      <c r="F229" s="709">
        <v>2</v>
      </c>
      <c r="G229" s="710">
        <v>835</v>
      </c>
      <c r="H229" s="711">
        <v>447</v>
      </c>
      <c r="I229" s="864">
        <v>195.5625</v>
      </c>
      <c r="J229" s="865">
        <v>1</v>
      </c>
      <c r="K229" s="706">
        <f>H229*1.205</f>
        <v>538.63499999999999</v>
      </c>
      <c r="L229" s="712">
        <f t="shared" si="102"/>
        <v>538.63499999999999</v>
      </c>
      <c r="M229" s="859">
        <v>0</v>
      </c>
      <c r="N229" s="707">
        <f t="shared" si="107"/>
        <v>195.5625</v>
      </c>
      <c r="O229" s="712">
        <f t="shared" si="108"/>
        <v>91.634999999999991</v>
      </c>
      <c r="P229" s="866">
        <f t="shared" si="109"/>
        <v>91.634999999999991</v>
      </c>
      <c r="Q229" s="867">
        <f t="shared" si="103"/>
        <v>1099.6199999999999</v>
      </c>
      <c r="R229" s="867">
        <f t="shared" si="104"/>
        <v>264.89845800000001</v>
      </c>
      <c r="S229" s="868">
        <f t="shared" si="105"/>
        <v>1364.518458</v>
      </c>
      <c r="T229" s="390"/>
      <c r="U229" s="863"/>
    </row>
    <row r="230" spans="2:22" s="109" customFormat="1" x14ac:dyDescent="0.2">
      <c r="B230" s="708" t="s">
        <v>215</v>
      </c>
      <c r="C230" s="709" t="s">
        <v>88</v>
      </c>
      <c r="D230" s="709" t="s">
        <v>24</v>
      </c>
      <c r="E230" s="709" t="s">
        <v>83</v>
      </c>
      <c r="F230" s="709">
        <v>2</v>
      </c>
      <c r="G230" s="710">
        <v>835</v>
      </c>
      <c r="H230" s="711">
        <v>458</v>
      </c>
      <c r="I230" s="864">
        <v>200.375</v>
      </c>
      <c r="J230" s="865">
        <v>1</v>
      </c>
      <c r="K230" s="706">
        <f>H230*1.205</f>
        <v>551.89</v>
      </c>
      <c r="L230" s="712">
        <f t="shared" si="102"/>
        <v>551.89</v>
      </c>
      <c r="M230" s="859">
        <v>0</v>
      </c>
      <c r="N230" s="707">
        <f t="shared" si="107"/>
        <v>200.375</v>
      </c>
      <c r="O230" s="712">
        <f t="shared" si="108"/>
        <v>93.889999999999986</v>
      </c>
      <c r="P230" s="866">
        <f t="shared" si="109"/>
        <v>93.889999999999986</v>
      </c>
      <c r="Q230" s="867">
        <f t="shared" si="103"/>
        <v>1126.6799999999998</v>
      </c>
      <c r="R230" s="867">
        <f t="shared" si="104"/>
        <v>271.41721199999995</v>
      </c>
      <c r="S230" s="868">
        <f t="shared" si="105"/>
        <v>1398.0972119999997</v>
      </c>
      <c r="T230" s="390"/>
      <c r="U230" s="863"/>
    </row>
    <row r="231" spans="2:22" s="109" customFormat="1" x14ac:dyDescent="0.2">
      <c r="B231" s="708" t="s">
        <v>215</v>
      </c>
      <c r="C231" s="709" t="s">
        <v>88</v>
      </c>
      <c r="D231" s="709" t="s">
        <v>24</v>
      </c>
      <c r="E231" s="709" t="s">
        <v>83</v>
      </c>
      <c r="F231" s="709">
        <v>3</v>
      </c>
      <c r="G231" s="710">
        <v>996</v>
      </c>
      <c r="H231" s="711">
        <v>457</v>
      </c>
      <c r="I231" s="864">
        <v>241.0675</v>
      </c>
      <c r="J231" s="865">
        <v>46.25</v>
      </c>
      <c r="K231" s="706">
        <f>H231*1.205</f>
        <v>550.68500000000006</v>
      </c>
      <c r="L231" s="712">
        <f t="shared" si="102"/>
        <v>550.68500000000006</v>
      </c>
      <c r="M231" s="859">
        <v>0</v>
      </c>
      <c r="N231" s="707">
        <f t="shared" si="107"/>
        <v>241.0675</v>
      </c>
      <c r="O231" s="712">
        <f t="shared" si="108"/>
        <v>93.685000000000059</v>
      </c>
      <c r="P231" s="866">
        <f t="shared" si="109"/>
        <v>4332.9312500000024</v>
      </c>
      <c r="Q231" s="867">
        <f t="shared" si="103"/>
        <v>51995.175000000032</v>
      </c>
      <c r="R231" s="867">
        <f t="shared" si="104"/>
        <v>12525.637657500009</v>
      </c>
      <c r="S231" s="868">
        <f t="shared" si="105"/>
        <v>64520.812657500042</v>
      </c>
      <c r="T231" s="390"/>
      <c r="U231" s="863"/>
    </row>
    <row r="232" spans="2:22" s="109" customFormat="1" x14ac:dyDescent="0.2">
      <c r="B232" s="708" t="s">
        <v>215</v>
      </c>
      <c r="C232" s="709" t="s">
        <v>88</v>
      </c>
      <c r="D232" s="709" t="s">
        <v>24</v>
      </c>
      <c r="E232" s="709" t="s">
        <v>83</v>
      </c>
      <c r="F232" s="709">
        <v>3</v>
      </c>
      <c r="G232" s="710">
        <v>996</v>
      </c>
      <c r="H232" s="711">
        <v>472</v>
      </c>
      <c r="I232" s="864">
        <v>206.5</v>
      </c>
      <c r="J232" s="865">
        <v>36.25</v>
      </c>
      <c r="K232" s="706">
        <f>H232*1.205</f>
        <v>568.76</v>
      </c>
      <c r="L232" s="712">
        <f t="shared" si="102"/>
        <v>568.76</v>
      </c>
      <c r="M232" s="859">
        <v>0</v>
      </c>
      <c r="N232" s="707">
        <f t="shared" si="107"/>
        <v>206.5</v>
      </c>
      <c r="O232" s="712">
        <f t="shared" si="108"/>
        <v>96.759999999999991</v>
      </c>
      <c r="P232" s="866">
        <f t="shared" si="109"/>
        <v>3507.5499999999997</v>
      </c>
      <c r="Q232" s="867">
        <f t="shared" si="103"/>
        <v>42090.6</v>
      </c>
      <c r="R232" s="867">
        <f t="shared" si="104"/>
        <v>10139.625539999999</v>
      </c>
      <c r="S232" s="868">
        <f t="shared" si="105"/>
        <v>52230.225539999999</v>
      </c>
      <c r="T232" s="390"/>
      <c r="U232" s="863"/>
    </row>
    <row r="233" spans="2:22" s="109" customFormat="1" x14ac:dyDescent="0.2">
      <c r="B233" s="708" t="s">
        <v>215</v>
      </c>
      <c r="C233" s="709" t="s">
        <v>88</v>
      </c>
      <c r="D233" s="709" t="s">
        <v>24</v>
      </c>
      <c r="E233" s="709" t="s">
        <v>83</v>
      </c>
      <c r="F233" s="709">
        <v>3</v>
      </c>
      <c r="G233" s="713">
        <v>996</v>
      </c>
      <c r="H233" s="711">
        <v>487</v>
      </c>
      <c r="I233" s="864">
        <v>213.0625</v>
      </c>
      <c r="J233" s="865">
        <v>16.5</v>
      </c>
      <c r="K233" s="714">
        <f>H233*1.205</f>
        <v>586.83500000000004</v>
      </c>
      <c r="L233" s="711">
        <f t="shared" si="102"/>
        <v>586.83500000000004</v>
      </c>
      <c r="M233" s="869">
        <v>0</v>
      </c>
      <c r="N233" s="705">
        <f t="shared" si="107"/>
        <v>213.0625</v>
      </c>
      <c r="O233" s="711">
        <f t="shared" si="108"/>
        <v>99.835000000000036</v>
      </c>
      <c r="P233" s="864">
        <f t="shared" si="109"/>
        <v>1647.2775000000006</v>
      </c>
      <c r="Q233" s="870">
        <f t="shared" si="103"/>
        <v>19767.330000000009</v>
      </c>
      <c r="R233" s="870">
        <f t="shared" si="104"/>
        <v>4761.949797000002</v>
      </c>
      <c r="S233" s="871">
        <f t="shared" si="105"/>
        <v>24529.27979700001</v>
      </c>
      <c r="T233" s="390"/>
      <c r="U233" s="863"/>
    </row>
    <row r="234" spans="2:22" s="109" customFormat="1" ht="13.5" thickBot="1" x14ac:dyDescent="0.25">
      <c r="B234" s="715" t="s">
        <v>216</v>
      </c>
      <c r="C234" s="716" t="s">
        <v>88</v>
      </c>
      <c r="D234" s="716" t="s">
        <v>24</v>
      </c>
      <c r="E234" s="716" t="s">
        <v>83</v>
      </c>
      <c r="F234" s="716">
        <v>3</v>
      </c>
      <c r="G234" s="717">
        <v>996</v>
      </c>
      <c r="H234" s="718">
        <v>449</v>
      </c>
      <c r="I234" s="872">
        <v>191.94749999999999</v>
      </c>
      <c r="J234" s="873">
        <v>29</v>
      </c>
      <c r="K234" s="719">
        <f>H234*1.200721</f>
        <v>539.12372899999991</v>
      </c>
      <c r="L234" s="718">
        <f t="shared" si="102"/>
        <v>539.12372899999991</v>
      </c>
      <c r="M234" s="874">
        <v>0</v>
      </c>
      <c r="N234" s="718">
        <f t="shared" si="107"/>
        <v>191.94749999999999</v>
      </c>
      <c r="O234" s="718">
        <f t="shared" si="108"/>
        <v>90.123728999999912</v>
      </c>
      <c r="P234" s="872">
        <f t="shared" si="109"/>
        <v>2613.5881409999974</v>
      </c>
      <c r="Q234" s="875">
        <f t="shared" si="103"/>
        <v>31363.057691999969</v>
      </c>
      <c r="R234" s="875">
        <f t="shared" si="104"/>
        <v>7555.3605980027924</v>
      </c>
      <c r="S234" s="876">
        <f t="shared" si="105"/>
        <v>38918.418290002759</v>
      </c>
      <c r="T234" s="390"/>
      <c r="U234" s="863"/>
      <c r="V234" s="765"/>
    </row>
    <row r="235" spans="2:22" s="52" customFormat="1" ht="13.5" thickTop="1" x14ac:dyDescent="0.25">
      <c r="B235" s="430" t="s">
        <v>39</v>
      </c>
      <c r="C235" s="68"/>
      <c r="D235" s="68"/>
      <c r="E235" s="68"/>
      <c r="F235" s="68"/>
      <c r="G235" s="69"/>
      <c r="H235" s="9"/>
      <c r="I235" s="70"/>
      <c r="J235" s="431">
        <f>SUM(J226:J234)</f>
        <v>891</v>
      </c>
      <c r="K235" s="71"/>
      <c r="L235" s="10"/>
      <c r="M235" s="72"/>
      <c r="N235" s="70"/>
      <c r="O235" s="10"/>
      <c r="P235" s="70"/>
      <c r="Q235" s="73">
        <f t="shared" ref="Q235:R235" si="110">SUM(Q226:Q234)</f>
        <v>926835.14269200014</v>
      </c>
      <c r="R235" s="73">
        <f t="shared" si="110"/>
        <v>223274.5858745029</v>
      </c>
      <c r="S235" s="74">
        <f>SUM(S226:S234)</f>
        <v>1150109.7285665032</v>
      </c>
      <c r="T235" s="390"/>
      <c r="U235" s="432"/>
      <c r="V235" s="433"/>
    </row>
    <row r="236" spans="2:22" s="52" customFormat="1" ht="13.5" thickBot="1" x14ac:dyDescent="0.3">
      <c r="B236" s="434" t="s">
        <v>55</v>
      </c>
      <c r="C236" s="435"/>
      <c r="D236" s="435"/>
      <c r="E236" s="435"/>
      <c r="F236" s="435"/>
      <c r="G236" s="75"/>
      <c r="H236" s="76"/>
      <c r="I236" s="385"/>
      <c r="J236" s="436">
        <f>J151+J219+J224+J235</f>
        <v>3126.25</v>
      </c>
      <c r="K236" s="437"/>
      <c r="L236" s="385"/>
      <c r="M236" s="385"/>
      <c r="N236" s="385"/>
      <c r="O236" s="385"/>
      <c r="P236" s="385"/>
      <c r="Q236" s="77">
        <f t="shared" ref="Q236:R236" si="111">Q151+Q219+Q224+Q235</f>
        <v>6917695.035056999</v>
      </c>
      <c r="R236" s="77">
        <f t="shared" si="111"/>
        <v>1666472.7339452319</v>
      </c>
      <c r="S236" s="78">
        <f>S151+S219+S224+S235</f>
        <v>8584167.7690022327</v>
      </c>
      <c r="T236" s="390"/>
      <c r="U236" s="432"/>
      <c r="V236" s="433"/>
    </row>
    <row r="237" spans="2:22" s="805" customFormat="1" ht="8.25" customHeight="1" thickBot="1" x14ac:dyDescent="0.3">
      <c r="B237" s="806"/>
      <c r="C237" s="807"/>
      <c r="D237" s="807"/>
      <c r="E237" s="807"/>
      <c r="F237" s="807"/>
      <c r="G237" s="808"/>
      <c r="H237" s="809"/>
      <c r="I237" s="810"/>
      <c r="J237" s="809"/>
      <c r="K237" s="810"/>
      <c r="L237" s="810"/>
      <c r="M237" s="807"/>
      <c r="N237" s="810"/>
      <c r="O237" s="810"/>
      <c r="P237" s="810"/>
      <c r="Q237" s="811"/>
      <c r="R237" s="811"/>
      <c r="S237" s="811"/>
      <c r="T237" s="382"/>
      <c r="U237" s="810"/>
    </row>
    <row r="238" spans="2:22" s="396" customFormat="1" ht="15" x14ac:dyDescent="0.25">
      <c r="B238" s="408" t="s">
        <v>217</v>
      </c>
      <c r="C238" s="383"/>
      <c r="D238" s="383"/>
      <c r="E238" s="383"/>
      <c r="F238" s="383"/>
      <c r="G238" s="409"/>
      <c r="H238" s="400"/>
      <c r="I238" s="381"/>
      <c r="J238" s="410"/>
      <c r="K238" s="381"/>
      <c r="L238" s="381"/>
      <c r="M238" s="381"/>
      <c r="N238" s="381"/>
      <c r="O238" s="381"/>
      <c r="P238" s="381"/>
      <c r="Q238" s="438"/>
      <c r="R238" s="438"/>
      <c r="S238" s="439"/>
      <c r="T238" s="440"/>
      <c r="U238" s="404"/>
    </row>
    <row r="239" spans="2:22" s="109" customFormat="1" x14ac:dyDescent="0.25">
      <c r="B239" s="758" t="s">
        <v>19</v>
      </c>
      <c r="C239" s="283"/>
      <c r="D239" s="283"/>
      <c r="E239" s="283"/>
      <c r="F239" s="283"/>
      <c r="G239" s="812"/>
      <c r="H239" s="877"/>
      <c r="I239" s="812"/>
      <c r="J239" s="814"/>
      <c r="K239" s="812"/>
      <c r="L239" s="812"/>
      <c r="M239" s="812"/>
      <c r="N239" s="812"/>
      <c r="O239" s="812"/>
      <c r="P239" s="812"/>
      <c r="Q239" s="306"/>
      <c r="R239" s="306"/>
      <c r="S239" s="307"/>
      <c r="T239" s="390"/>
      <c r="U239" s="765"/>
    </row>
    <row r="240" spans="2:22" s="109" customFormat="1" ht="25.5" x14ac:dyDescent="0.25">
      <c r="B240" s="878" t="s">
        <v>218</v>
      </c>
      <c r="C240" s="683" t="s">
        <v>65</v>
      </c>
      <c r="D240" s="683" t="s">
        <v>43</v>
      </c>
      <c r="E240" s="683">
        <v>13</v>
      </c>
      <c r="F240" s="683">
        <v>3</v>
      </c>
      <c r="G240" s="677">
        <v>1917</v>
      </c>
      <c r="H240" s="5">
        <v>1708</v>
      </c>
      <c r="I240" s="123">
        <v>170.8</v>
      </c>
      <c r="J240" s="879">
        <v>1</v>
      </c>
      <c r="K240" s="668">
        <f t="shared" ref="K240:K261" si="112">H240*1.27</f>
        <v>2169.16</v>
      </c>
      <c r="L240" s="5">
        <f t="shared" ref="L240:L261" si="113">IF(K240&lt;=G240,K240,G240)</f>
        <v>1917</v>
      </c>
      <c r="M240" s="830">
        <f t="shared" ref="M240:M254" si="114">N240-I240</f>
        <v>20.900000000000006</v>
      </c>
      <c r="N240" s="505">
        <f t="shared" ref="N240:N254" si="115">I240/H240*L240</f>
        <v>191.70000000000002</v>
      </c>
      <c r="O240" s="5">
        <f>L240-H240+M240</f>
        <v>229.9</v>
      </c>
      <c r="P240" s="123">
        <f>O240*J240</f>
        <v>229.9</v>
      </c>
      <c r="Q240" s="124">
        <f>P240*12</f>
        <v>2758.8</v>
      </c>
      <c r="R240" s="124">
        <f t="shared" ref="R240:R276" si="116">Q240*0.2409</f>
        <v>664.59492</v>
      </c>
      <c r="S240" s="125">
        <f>Q240+R240</f>
        <v>3423.3949200000002</v>
      </c>
      <c r="T240" s="390"/>
      <c r="U240" s="765"/>
    </row>
    <row r="241" spans="2:21" s="109" customFormat="1" ht="25.5" x14ac:dyDescent="0.25">
      <c r="B241" s="878" t="s">
        <v>219</v>
      </c>
      <c r="C241" s="683" t="s">
        <v>65</v>
      </c>
      <c r="D241" s="683" t="s">
        <v>45</v>
      </c>
      <c r="E241" s="683">
        <v>12</v>
      </c>
      <c r="F241" s="683">
        <v>3</v>
      </c>
      <c r="G241" s="677">
        <v>1647</v>
      </c>
      <c r="H241" s="678">
        <v>1566</v>
      </c>
      <c r="I241" s="880">
        <v>156.60000000000002</v>
      </c>
      <c r="J241" s="879">
        <v>1</v>
      </c>
      <c r="K241" s="668">
        <f t="shared" si="112"/>
        <v>1988.82</v>
      </c>
      <c r="L241" s="5">
        <f t="shared" si="113"/>
        <v>1647</v>
      </c>
      <c r="M241" s="830">
        <f t="shared" si="114"/>
        <v>8.1000000000000227</v>
      </c>
      <c r="N241" s="505">
        <f t="shared" si="115"/>
        <v>164.70000000000005</v>
      </c>
      <c r="O241" s="5">
        <f>L241-H241+M241</f>
        <v>89.100000000000023</v>
      </c>
      <c r="P241" s="123">
        <f t="shared" ref="P241:P276" si="117">O241*J241</f>
        <v>89.100000000000023</v>
      </c>
      <c r="Q241" s="124">
        <f t="shared" ref="Q241:Q276" si="118">P241*12</f>
        <v>1069.2000000000003</v>
      </c>
      <c r="R241" s="124">
        <f t="shared" si="116"/>
        <v>257.57028000000008</v>
      </c>
      <c r="S241" s="125">
        <f t="shared" ref="S241:S276" si="119">Q241+R241</f>
        <v>1326.7702800000004</v>
      </c>
      <c r="T241" s="390"/>
      <c r="U241" s="765"/>
    </row>
    <row r="242" spans="2:21" s="109" customFormat="1" ht="25.5" x14ac:dyDescent="0.25">
      <c r="B242" s="878" t="s">
        <v>220</v>
      </c>
      <c r="C242" s="683" t="s">
        <v>65</v>
      </c>
      <c r="D242" s="683" t="s">
        <v>45</v>
      </c>
      <c r="E242" s="683">
        <v>12</v>
      </c>
      <c r="F242" s="683">
        <v>3</v>
      </c>
      <c r="G242" s="677">
        <v>1647</v>
      </c>
      <c r="H242" s="678">
        <v>1566</v>
      </c>
      <c r="I242" s="880">
        <v>156.60000000000002</v>
      </c>
      <c r="J242" s="879">
        <v>4</v>
      </c>
      <c r="K242" s="668">
        <f t="shared" si="112"/>
        <v>1988.82</v>
      </c>
      <c r="L242" s="5">
        <f t="shared" si="113"/>
        <v>1647</v>
      </c>
      <c r="M242" s="830">
        <f t="shared" si="114"/>
        <v>8.1000000000000227</v>
      </c>
      <c r="N242" s="505">
        <f t="shared" si="115"/>
        <v>164.70000000000005</v>
      </c>
      <c r="O242" s="5">
        <f t="shared" ref="O242:O254" si="120">L242-H242+M242</f>
        <v>89.100000000000023</v>
      </c>
      <c r="P242" s="123">
        <f t="shared" si="117"/>
        <v>356.40000000000009</v>
      </c>
      <c r="Q242" s="124">
        <f t="shared" si="118"/>
        <v>4276.8000000000011</v>
      </c>
      <c r="R242" s="124">
        <f t="shared" si="116"/>
        <v>1030.2811200000003</v>
      </c>
      <c r="S242" s="125">
        <f t="shared" si="119"/>
        <v>5307.0811200000016</v>
      </c>
      <c r="T242" s="390"/>
      <c r="U242" s="765"/>
    </row>
    <row r="243" spans="2:21" s="109" customFormat="1" ht="25.5" x14ac:dyDescent="0.25">
      <c r="B243" s="878" t="s">
        <v>221</v>
      </c>
      <c r="C243" s="683" t="s">
        <v>65</v>
      </c>
      <c r="D243" s="683" t="s">
        <v>45</v>
      </c>
      <c r="E243" s="683">
        <v>12</v>
      </c>
      <c r="F243" s="683">
        <v>3</v>
      </c>
      <c r="G243" s="677">
        <v>1647</v>
      </c>
      <c r="H243" s="678">
        <v>1423</v>
      </c>
      <c r="I243" s="880">
        <v>142.30000000000001</v>
      </c>
      <c r="J243" s="879">
        <v>2</v>
      </c>
      <c r="K243" s="668">
        <f t="shared" si="112"/>
        <v>1807.21</v>
      </c>
      <c r="L243" s="5">
        <f t="shared" si="113"/>
        <v>1647</v>
      </c>
      <c r="M243" s="830">
        <f t="shared" si="114"/>
        <v>22.400000000000006</v>
      </c>
      <c r="N243" s="505">
        <f t="shared" si="115"/>
        <v>164.70000000000002</v>
      </c>
      <c r="O243" s="5">
        <f t="shared" si="120"/>
        <v>246.4</v>
      </c>
      <c r="P243" s="123">
        <f t="shared" si="117"/>
        <v>492.8</v>
      </c>
      <c r="Q243" s="124">
        <f t="shared" si="118"/>
        <v>5913.6</v>
      </c>
      <c r="R243" s="124">
        <f t="shared" si="116"/>
        <v>1424.5862400000001</v>
      </c>
      <c r="S243" s="125">
        <f t="shared" si="119"/>
        <v>7338.1862400000009</v>
      </c>
      <c r="T243" s="390"/>
      <c r="U243" s="765"/>
    </row>
    <row r="244" spans="2:21" s="109" customFormat="1" ht="25.5" x14ac:dyDescent="0.25">
      <c r="B244" s="878" t="s">
        <v>222</v>
      </c>
      <c r="C244" s="683" t="s">
        <v>65</v>
      </c>
      <c r="D244" s="683" t="s">
        <v>45</v>
      </c>
      <c r="E244" s="683">
        <v>12</v>
      </c>
      <c r="F244" s="683">
        <v>3</v>
      </c>
      <c r="G244" s="677">
        <v>1647</v>
      </c>
      <c r="H244" s="5">
        <v>1423</v>
      </c>
      <c r="I244" s="123">
        <v>142.30000000000001</v>
      </c>
      <c r="J244" s="879">
        <v>3</v>
      </c>
      <c r="K244" s="668">
        <f t="shared" si="112"/>
        <v>1807.21</v>
      </c>
      <c r="L244" s="5">
        <f t="shared" si="113"/>
        <v>1647</v>
      </c>
      <c r="M244" s="830">
        <f t="shared" si="114"/>
        <v>22.400000000000006</v>
      </c>
      <c r="N244" s="505">
        <f t="shared" si="115"/>
        <v>164.70000000000002</v>
      </c>
      <c r="O244" s="5">
        <f t="shared" si="120"/>
        <v>246.4</v>
      </c>
      <c r="P244" s="123">
        <f t="shared" si="117"/>
        <v>739.2</v>
      </c>
      <c r="Q244" s="124">
        <f t="shared" si="118"/>
        <v>8870.4000000000015</v>
      </c>
      <c r="R244" s="124">
        <f t="shared" si="116"/>
        <v>2136.8793600000004</v>
      </c>
      <c r="S244" s="125">
        <f t="shared" si="119"/>
        <v>11007.279360000002</v>
      </c>
      <c r="T244" s="390"/>
      <c r="U244" s="765"/>
    </row>
    <row r="245" spans="2:21" s="109" customFormat="1" ht="25.5" x14ac:dyDescent="0.25">
      <c r="B245" s="878" t="s">
        <v>223</v>
      </c>
      <c r="C245" s="683" t="s">
        <v>65</v>
      </c>
      <c r="D245" s="683" t="s">
        <v>45</v>
      </c>
      <c r="E245" s="683">
        <v>12</v>
      </c>
      <c r="F245" s="683">
        <v>3</v>
      </c>
      <c r="G245" s="677">
        <v>1647</v>
      </c>
      <c r="H245" s="678">
        <v>1423</v>
      </c>
      <c r="I245" s="880">
        <v>142.30000000000001</v>
      </c>
      <c r="J245" s="879">
        <v>1</v>
      </c>
      <c r="K245" s="668">
        <f t="shared" si="112"/>
        <v>1807.21</v>
      </c>
      <c r="L245" s="5">
        <f t="shared" si="113"/>
        <v>1647</v>
      </c>
      <c r="M245" s="830">
        <f t="shared" si="114"/>
        <v>22.400000000000006</v>
      </c>
      <c r="N245" s="505">
        <f t="shared" si="115"/>
        <v>164.70000000000002</v>
      </c>
      <c r="O245" s="5">
        <f t="shared" si="120"/>
        <v>246.4</v>
      </c>
      <c r="P245" s="123">
        <f t="shared" si="117"/>
        <v>246.4</v>
      </c>
      <c r="Q245" s="124">
        <f t="shared" si="118"/>
        <v>2956.8</v>
      </c>
      <c r="R245" s="124">
        <f t="shared" si="116"/>
        <v>712.29312000000004</v>
      </c>
      <c r="S245" s="125">
        <f t="shared" si="119"/>
        <v>3669.0931200000005</v>
      </c>
      <c r="T245" s="390"/>
      <c r="U245" s="765"/>
    </row>
    <row r="246" spans="2:21" s="109" customFormat="1" ht="25.5" x14ac:dyDescent="0.25">
      <c r="B246" s="878" t="s">
        <v>224</v>
      </c>
      <c r="C246" s="683" t="s">
        <v>65</v>
      </c>
      <c r="D246" s="683" t="s">
        <v>45</v>
      </c>
      <c r="E246" s="683">
        <v>12</v>
      </c>
      <c r="F246" s="683">
        <v>3</v>
      </c>
      <c r="G246" s="677">
        <v>1647</v>
      </c>
      <c r="H246" s="678">
        <v>1281</v>
      </c>
      <c r="I246" s="880">
        <v>128.1</v>
      </c>
      <c r="J246" s="879">
        <v>1</v>
      </c>
      <c r="K246" s="668">
        <f t="shared" si="112"/>
        <v>1626.8700000000001</v>
      </c>
      <c r="L246" s="5">
        <f t="shared" si="113"/>
        <v>1626.8700000000001</v>
      </c>
      <c r="M246" s="830">
        <f t="shared" si="114"/>
        <v>34.587000000000018</v>
      </c>
      <c r="N246" s="505">
        <f t="shared" si="115"/>
        <v>162.68700000000001</v>
      </c>
      <c r="O246" s="5">
        <f t="shared" si="120"/>
        <v>380.45700000000011</v>
      </c>
      <c r="P246" s="123">
        <f t="shared" si="117"/>
        <v>380.45700000000011</v>
      </c>
      <c r="Q246" s="124">
        <f t="shared" si="118"/>
        <v>4565.4840000000013</v>
      </c>
      <c r="R246" s="124">
        <f t="shared" si="116"/>
        <v>1099.8250956000004</v>
      </c>
      <c r="S246" s="125">
        <f t="shared" si="119"/>
        <v>5665.3090956000015</v>
      </c>
      <c r="T246" s="390"/>
      <c r="U246" s="765"/>
    </row>
    <row r="247" spans="2:21" s="109" customFormat="1" x14ac:dyDescent="0.25">
      <c r="B247" s="878" t="s">
        <v>225</v>
      </c>
      <c r="C247" s="683" t="s">
        <v>65</v>
      </c>
      <c r="D247" s="683" t="s">
        <v>45</v>
      </c>
      <c r="E247" s="683">
        <v>12</v>
      </c>
      <c r="F247" s="683">
        <v>3</v>
      </c>
      <c r="G247" s="677">
        <v>1647</v>
      </c>
      <c r="H247" s="678">
        <v>1174</v>
      </c>
      <c r="I247" s="880">
        <v>117.4</v>
      </c>
      <c r="J247" s="879">
        <v>26</v>
      </c>
      <c r="K247" s="668">
        <f t="shared" si="112"/>
        <v>1490.98</v>
      </c>
      <c r="L247" s="5">
        <f t="shared" si="113"/>
        <v>1490.98</v>
      </c>
      <c r="M247" s="830">
        <f t="shared" si="114"/>
        <v>31.698000000000008</v>
      </c>
      <c r="N247" s="505">
        <f t="shared" si="115"/>
        <v>149.09800000000001</v>
      </c>
      <c r="O247" s="5">
        <f t="shared" si="120"/>
        <v>348.678</v>
      </c>
      <c r="P247" s="123">
        <f t="shared" si="117"/>
        <v>9065.6280000000006</v>
      </c>
      <c r="Q247" s="124">
        <f t="shared" si="118"/>
        <v>108787.53600000001</v>
      </c>
      <c r="R247" s="124">
        <f t="shared" si="116"/>
        <v>26206.917422400002</v>
      </c>
      <c r="S247" s="125">
        <f t="shared" si="119"/>
        <v>134994.45342239999</v>
      </c>
      <c r="T247" s="390"/>
      <c r="U247" s="765"/>
    </row>
    <row r="248" spans="2:21" s="109" customFormat="1" ht="25.5" x14ac:dyDescent="0.25">
      <c r="B248" s="878" t="s">
        <v>226</v>
      </c>
      <c r="C248" s="683" t="s">
        <v>65</v>
      </c>
      <c r="D248" s="683" t="s">
        <v>45</v>
      </c>
      <c r="E248" s="683">
        <v>12</v>
      </c>
      <c r="F248" s="683">
        <v>3</v>
      </c>
      <c r="G248" s="677">
        <v>1647</v>
      </c>
      <c r="H248" s="678">
        <v>1174</v>
      </c>
      <c r="I248" s="880">
        <v>117.4</v>
      </c>
      <c r="J248" s="879">
        <v>3</v>
      </c>
      <c r="K248" s="668">
        <f t="shared" si="112"/>
        <v>1490.98</v>
      </c>
      <c r="L248" s="5">
        <f t="shared" si="113"/>
        <v>1490.98</v>
      </c>
      <c r="M248" s="830">
        <f t="shared" si="114"/>
        <v>31.698000000000008</v>
      </c>
      <c r="N248" s="505">
        <f t="shared" si="115"/>
        <v>149.09800000000001</v>
      </c>
      <c r="O248" s="5">
        <f t="shared" si="120"/>
        <v>348.678</v>
      </c>
      <c r="P248" s="123">
        <f t="shared" si="117"/>
        <v>1046.0340000000001</v>
      </c>
      <c r="Q248" s="124">
        <f t="shared" si="118"/>
        <v>12552.408000000001</v>
      </c>
      <c r="R248" s="124">
        <f t="shared" si="116"/>
        <v>3023.8750872000005</v>
      </c>
      <c r="S248" s="125">
        <f t="shared" si="119"/>
        <v>15576.283087200001</v>
      </c>
      <c r="T248" s="390"/>
      <c r="U248" s="765"/>
    </row>
    <row r="249" spans="2:21" s="109" customFormat="1" x14ac:dyDescent="0.25">
      <c r="B249" s="878" t="s">
        <v>227</v>
      </c>
      <c r="C249" s="683" t="s">
        <v>65</v>
      </c>
      <c r="D249" s="683" t="s">
        <v>24</v>
      </c>
      <c r="E249" s="683">
        <v>10</v>
      </c>
      <c r="F249" s="683">
        <v>3</v>
      </c>
      <c r="G249" s="677">
        <v>1287</v>
      </c>
      <c r="H249" s="678">
        <v>1029</v>
      </c>
      <c r="I249" s="880">
        <v>102.9</v>
      </c>
      <c r="J249" s="879">
        <v>0.75</v>
      </c>
      <c r="K249" s="668">
        <f t="shared" si="112"/>
        <v>1306.83</v>
      </c>
      <c r="L249" s="5">
        <f t="shared" si="113"/>
        <v>1287</v>
      </c>
      <c r="M249" s="830">
        <f t="shared" si="114"/>
        <v>25.800000000000011</v>
      </c>
      <c r="N249" s="505">
        <f t="shared" si="115"/>
        <v>128.70000000000002</v>
      </c>
      <c r="O249" s="5">
        <f t="shared" si="120"/>
        <v>283.8</v>
      </c>
      <c r="P249" s="123">
        <f t="shared" si="117"/>
        <v>212.85000000000002</v>
      </c>
      <c r="Q249" s="124">
        <f t="shared" si="118"/>
        <v>2554.2000000000003</v>
      </c>
      <c r="R249" s="124">
        <f t="shared" si="116"/>
        <v>615.30678000000012</v>
      </c>
      <c r="S249" s="125">
        <f t="shared" si="119"/>
        <v>3169.5067800000006</v>
      </c>
      <c r="T249" s="390"/>
      <c r="U249" s="765"/>
    </row>
    <row r="250" spans="2:21" s="109" customFormat="1" x14ac:dyDescent="0.25">
      <c r="B250" s="878" t="s">
        <v>227</v>
      </c>
      <c r="C250" s="683" t="s">
        <v>65</v>
      </c>
      <c r="D250" s="683" t="s">
        <v>24</v>
      </c>
      <c r="E250" s="683">
        <v>10</v>
      </c>
      <c r="F250" s="683">
        <v>3</v>
      </c>
      <c r="G250" s="677">
        <v>1287</v>
      </c>
      <c r="H250" s="678">
        <v>684</v>
      </c>
      <c r="I250" s="880">
        <v>68.400000000000006</v>
      </c>
      <c r="J250" s="879">
        <v>0.25</v>
      </c>
      <c r="K250" s="668">
        <f t="shared" si="112"/>
        <v>868.68000000000006</v>
      </c>
      <c r="L250" s="5">
        <f t="shared" si="113"/>
        <v>868.68000000000006</v>
      </c>
      <c r="M250" s="830">
        <f t="shared" si="114"/>
        <v>18.468000000000004</v>
      </c>
      <c r="N250" s="505">
        <f t="shared" si="115"/>
        <v>86.868000000000009</v>
      </c>
      <c r="O250" s="5">
        <f t="shared" si="120"/>
        <v>203.14800000000008</v>
      </c>
      <c r="P250" s="123">
        <f t="shared" si="117"/>
        <v>50.78700000000002</v>
      </c>
      <c r="Q250" s="124">
        <f t="shared" si="118"/>
        <v>609.44400000000019</v>
      </c>
      <c r="R250" s="124">
        <f t="shared" si="116"/>
        <v>146.81505960000004</v>
      </c>
      <c r="S250" s="125">
        <f t="shared" si="119"/>
        <v>756.25905960000023</v>
      </c>
      <c r="T250" s="390"/>
      <c r="U250" s="765"/>
    </row>
    <row r="251" spans="2:21" s="109" customFormat="1" x14ac:dyDescent="0.25">
      <c r="B251" s="878" t="s">
        <v>228</v>
      </c>
      <c r="C251" s="683" t="s">
        <v>65</v>
      </c>
      <c r="D251" s="683" t="s">
        <v>24</v>
      </c>
      <c r="E251" s="683">
        <v>10</v>
      </c>
      <c r="F251" s="683">
        <v>3</v>
      </c>
      <c r="G251" s="677">
        <v>1287</v>
      </c>
      <c r="H251" s="678">
        <v>925</v>
      </c>
      <c r="I251" s="880">
        <v>92.5</v>
      </c>
      <c r="J251" s="879">
        <v>1</v>
      </c>
      <c r="K251" s="668">
        <f t="shared" si="112"/>
        <v>1174.75</v>
      </c>
      <c r="L251" s="5">
        <f t="shared" si="113"/>
        <v>1174.75</v>
      </c>
      <c r="M251" s="830">
        <f t="shared" si="114"/>
        <v>24.975000000000009</v>
      </c>
      <c r="N251" s="505">
        <f t="shared" si="115"/>
        <v>117.47500000000001</v>
      </c>
      <c r="O251" s="5">
        <f t="shared" si="120"/>
        <v>274.72500000000002</v>
      </c>
      <c r="P251" s="123">
        <f t="shared" si="117"/>
        <v>274.72500000000002</v>
      </c>
      <c r="Q251" s="124">
        <f t="shared" si="118"/>
        <v>3296.7000000000003</v>
      </c>
      <c r="R251" s="124">
        <f t="shared" si="116"/>
        <v>794.17503000000011</v>
      </c>
      <c r="S251" s="125">
        <f t="shared" si="119"/>
        <v>4090.8750300000002</v>
      </c>
      <c r="T251" s="390"/>
      <c r="U251" s="765"/>
    </row>
    <row r="252" spans="2:21" s="845" customFormat="1" x14ac:dyDescent="0.25">
      <c r="B252" s="878" t="s">
        <v>228</v>
      </c>
      <c r="C252" s="691" t="s">
        <v>65</v>
      </c>
      <c r="D252" s="691" t="s">
        <v>24</v>
      </c>
      <c r="E252" s="691">
        <v>10</v>
      </c>
      <c r="F252" s="691">
        <v>2</v>
      </c>
      <c r="G252" s="722">
        <v>1115</v>
      </c>
      <c r="H252" s="692">
        <v>925</v>
      </c>
      <c r="I252" s="881">
        <v>92.5</v>
      </c>
      <c r="J252" s="882">
        <v>6</v>
      </c>
      <c r="K252" s="668">
        <f t="shared" si="112"/>
        <v>1174.75</v>
      </c>
      <c r="L252" s="5">
        <f t="shared" si="113"/>
        <v>1115</v>
      </c>
      <c r="M252" s="830">
        <f t="shared" si="114"/>
        <v>19</v>
      </c>
      <c r="N252" s="505">
        <f t="shared" si="115"/>
        <v>111.5</v>
      </c>
      <c r="O252" s="5">
        <f t="shared" si="120"/>
        <v>209</v>
      </c>
      <c r="P252" s="123">
        <f t="shared" si="117"/>
        <v>1254</v>
      </c>
      <c r="Q252" s="124">
        <f t="shared" si="118"/>
        <v>15048</v>
      </c>
      <c r="R252" s="124">
        <f t="shared" si="116"/>
        <v>3625.0632000000001</v>
      </c>
      <c r="S252" s="125">
        <f t="shared" si="119"/>
        <v>18673.063200000001</v>
      </c>
      <c r="T252" s="418"/>
      <c r="U252" s="848"/>
    </row>
    <row r="253" spans="2:21" s="845" customFormat="1" x14ac:dyDescent="0.25">
      <c r="B253" s="878" t="s">
        <v>229</v>
      </c>
      <c r="C253" s="691" t="s">
        <v>65</v>
      </c>
      <c r="D253" s="691" t="s">
        <v>24</v>
      </c>
      <c r="E253" s="691">
        <v>10</v>
      </c>
      <c r="F253" s="691">
        <v>3</v>
      </c>
      <c r="G253" s="722">
        <v>1287</v>
      </c>
      <c r="H253" s="692">
        <v>925</v>
      </c>
      <c r="I253" s="881">
        <v>92.5</v>
      </c>
      <c r="J253" s="882">
        <v>1</v>
      </c>
      <c r="K253" s="668">
        <f t="shared" si="112"/>
        <v>1174.75</v>
      </c>
      <c r="L253" s="5">
        <f t="shared" si="113"/>
        <v>1174.75</v>
      </c>
      <c r="M253" s="830">
        <f t="shared" si="114"/>
        <v>24.975000000000009</v>
      </c>
      <c r="N253" s="505">
        <f t="shared" si="115"/>
        <v>117.47500000000001</v>
      </c>
      <c r="O253" s="5">
        <f t="shared" si="120"/>
        <v>274.72500000000002</v>
      </c>
      <c r="P253" s="123">
        <f t="shared" si="117"/>
        <v>274.72500000000002</v>
      </c>
      <c r="Q253" s="124">
        <f t="shared" si="118"/>
        <v>3296.7000000000003</v>
      </c>
      <c r="R253" s="124">
        <f t="shared" si="116"/>
        <v>794.17503000000011</v>
      </c>
      <c r="S253" s="125">
        <f t="shared" si="119"/>
        <v>4090.8750300000002</v>
      </c>
      <c r="T253" s="418"/>
      <c r="U253" s="848"/>
    </row>
    <row r="254" spans="2:21" s="845" customFormat="1" x14ac:dyDescent="0.25">
      <c r="B254" s="878" t="s">
        <v>131</v>
      </c>
      <c r="C254" s="691" t="s">
        <v>23</v>
      </c>
      <c r="D254" s="691" t="s">
        <v>93</v>
      </c>
      <c r="E254" s="691">
        <v>9</v>
      </c>
      <c r="F254" s="691">
        <v>1</v>
      </c>
      <c r="G254" s="722">
        <v>835</v>
      </c>
      <c r="H254" s="692">
        <v>500</v>
      </c>
      <c r="I254" s="881">
        <v>50</v>
      </c>
      <c r="J254" s="882">
        <v>1</v>
      </c>
      <c r="K254" s="668">
        <f t="shared" si="112"/>
        <v>635</v>
      </c>
      <c r="L254" s="5">
        <f t="shared" si="113"/>
        <v>635</v>
      </c>
      <c r="M254" s="830">
        <f t="shared" si="114"/>
        <v>13.5</v>
      </c>
      <c r="N254" s="505">
        <f t="shared" si="115"/>
        <v>63.5</v>
      </c>
      <c r="O254" s="5">
        <f t="shared" si="120"/>
        <v>148.5</v>
      </c>
      <c r="P254" s="123">
        <f t="shared" si="117"/>
        <v>148.5</v>
      </c>
      <c r="Q254" s="124">
        <f t="shared" si="118"/>
        <v>1782</v>
      </c>
      <c r="R254" s="124">
        <f t="shared" si="116"/>
        <v>429.28379999999999</v>
      </c>
      <c r="S254" s="125">
        <f t="shared" si="119"/>
        <v>2211.2838000000002</v>
      </c>
      <c r="T254" s="418"/>
      <c r="U254" s="848"/>
    </row>
    <row r="255" spans="2:21" s="52" customFormat="1" x14ac:dyDescent="0.25">
      <c r="B255" s="407" t="s">
        <v>39</v>
      </c>
      <c r="C255" s="54"/>
      <c r="D255" s="54"/>
      <c r="E255" s="54"/>
      <c r="F255" s="54"/>
      <c r="G255" s="56"/>
      <c r="H255" s="6"/>
      <c r="I255" s="57"/>
      <c r="J255" s="405">
        <f>SUM(J240:J254)</f>
        <v>52</v>
      </c>
      <c r="K255" s="58"/>
      <c r="L255" s="7"/>
      <c r="M255" s="59"/>
      <c r="N255" s="57"/>
      <c r="O255" s="7"/>
      <c r="P255" s="57"/>
      <c r="Q255" s="60">
        <f>SUM(Q240:Q254)</f>
        <v>178338.07200000001</v>
      </c>
      <c r="R255" s="60">
        <f>SUM(R240:R254)</f>
        <v>42961.64154479999</v>
      </c>
      <c r="S255" s="61">
        <f>SUM(S240:S254)</f>
        <v>221299.71354479998</v>
      </c>
      <c r="T255" s="390"/>
      <c r="U255" s="406"/>
    </row>
    <row r="256" spans="2:21" s="109" customFormat="1" x14ac:dyDescent="0.25">
      <c r="B256" s="110" t="s">
        <v>40</v>
      </c>
      <c r="C256" s="111"/>
      <c r="D256" s="111"/>
      <c r="E256" s="111"/>
      <c r="F256" s="111"/>
      <c r="G256" s="792"/>
      <c r="H256" s="113"/>
      <c r="I256" s="117"/>
      <c r="J256" s="793"/>
      <c r="K256" s="116"/>
      <c r="L256" s="117"/>
      <c r="M256" s="118"/>
      <c r="N256" s="117"/>
      <c r="O256" s="117"/>
      <c r="P256" s="117"/>
      <c r="Q256" s="119"/>
      <c r="R256" s="119"/>
      <c r="S256" s="120"/>
      <c r="T256" s="390"/>
      <c r="U256" s="765"/>
    </row>
    <row r="257" spans="2:21" s="109" customFormat="1" x14ac:dyDescent="0.25">
      <c r="B257" s="878" t="s">
        <v>230</v>
      </c>
      <c r="C257" s="683" t="s">
        <v>42</v>
      </c>
      <c r="D257" s="683" t="s">
        <v>43</v>
      </c>
      <c r="E257" s="683">
        <v>11</v>
      </c>
      <c r="F257" s="683">
        <v>3</v>
      </c>
      <c r="G257" s="677">
        <v>1382</v>
      </c>
      <c r="H257" s="678">
        <v>1068</v>
      </c>
      <c r="I257" s="880">
        <v>85.44</v>
      </c>
      <c r="J257" s="879">
        <v>1</v>
      </c>
      <c r="K257" s="668">
        <f>H257*1.27</f>
        <v>1356.3600000000001</v>
      </c>
      <c r="L257" s="5">
        <f t="shared" si="113"/>
        <v>1356.3600000000001</v>
      </c>
      <c r="M257" s="830">
        <f t="shared" ref="M257:M261" si="121">N257-I257</f>
        <v>23.06880000000001</v>
      </c>
      <c r="N257" s="505">
        <f t="shared" ref="N257:N261" si="122">I257/H257*L257</f>
        <v>108.50880000000001</v>
      </c>
      <c r="O257" s="5">
        <f t="shared" ref="O257:O261" si="123">L257-H257+M257</f>
        <v>311.42880000000014</v>
      </c>
      <c r="P257" s="123">
        <f t="shared" si="117"/>
        <v>311.42880000000014</v>
      </c>
      <c r="Q257" s="124">
        <f t="shared" si="118"/>
        <v>3737.1456000000017</v>
      </c>
      <c r="R257" s="124">
        <f t="shared" si="116"/>
        <v>900.27837504000036</v>
      </c>
      <c r="S257" s="125">
        <f t="shared" si="119"/>
        <v>4637.423975040002</v>
      </c>
      <c r="T257" s="441"/>
      <c r="U257" s="765"/>
    </row>
    <row r="258" spans="2:21" s="109" customFormat="1" x14ac:dyDescent="0.25">
      <c r="B258" s="878" t="s">
        <v>231</v>
      </c>
      <c r="C258" s="683" t="s">
        <v>23</v>
      </c>
      <c r="D258" s="683" t="s">
        <v>51</v>
      </c>
      <c r="E258" s="683">
        <v>9</v>
      </c>
      <c r="F258" s="683">
        <v>3</v>
      </c>
      <c r="G258" s="677">
        <v>1190</v>
      </c>
      <c r="H258" s="678">
        <v>775</v>
      </c>
      <c r="I258" s="880">
        <v>77.5</v>
      </c>
      <c r="J258" s="879">
        <v>16</v>
      </c>
      <c r="K258" s="668">
        <f t="shared" si="112"/>
        <v>984.25</v>
      </c>
      <c r="L258" s="5">
        <f t="shared" si="113"/>
        <v>984.25</v>
      </c>
      <c r="M258" s="830">
        <f t="shared" si="121"/>
        <v>20.925000000000011</v>
      </c>
      <c r="N258" s="505">
        <f t="shared" si="122"/>
        <v>98.425000000000011</v>
      </c>
      <c r="O258" s="5">
        <f t="shared" si="123"/>
        <v>230.17500000000001</v>
      </c>
      <c r="P258" s="123">
        <f t="shared" si="117"/>
        <v>3682.8</v>
      </c>
      <c r="Q258" s="124">
        <f t="shared" si="118"/>
        <v>44193.600000000006</v>
      </c>
      <c r="R258" s="124">
        <f t="shared" si="116"/>
        <v>10646.238240000002</v>
      </c>
      <c r="S258" s="125">
        <f t="shared" si="119"/>
        <v>54839.838240000012</v>
      </c>
      <c r="T258" s="441"/>
      <c r="U258" s="765"/>
    </row>
    <row r="259" spans="2:21" s="109" customFormat="1" x14ac:dyDescent="0.25">
      <c r="B259" s="878" t="s">
        <v>232</v>
      </c>
      <c r="C259" s="683" t="s">
        <v>65</v>
      </c>
      <c r="D259" s="683" t="s">
        <v>25</v>
      </c>
      <c r="E259" s="683">
        <v>9</v>
      </c>
      <c r="F259" s="683">
        <v>3</v>
      </c>
      <c r="G259" s="677">
        <v>1190</v>
      </c>
      <c r="H259" s="678">
        <v>710</v>
      </c>
      <c r="I259" s="880">
        <v>56.800000000000004</v>
      </c>
      <c r="J259" s="879">
        <v>28</v>
      </c>
      <c r="K259" s="668">
        <f t="shared" si="112"/>
        <v>901.7</v>
      </c>
      <c r="L259" s="5">
        <f t="shared" si="113"/>
        <v>901.7</v>
      </c>
      <c r="M259" s="830">
        <f t="shared" si="121"/>
        <v>15.336000000000006</v>
      </c>
      <c r="N259" s="505">
        <f t="shared" si="122"/>
        <v>72.13600000000001</v>
      </c>
      <c r="O259" s="5">
        <f t="shared" si="123"/>
        <v>207.03600000000006</v>
      </c>
      <c r="P259" s="123">
        <f t="shared" si="117"/>
        <v>5797.0080000000016</v>
      </c>
      <c r="Q259" s="124">
        <f t="shared" si="118"/>
        <v>69564.09600000002</v>
      </c>
      <c r="R259" s="124">
        <f t="shared" si="116"/>
        <v>16757.990726400007</v>
      </c>
      <c r="S259" s="125">
        <f t="shared" si="119"/>
        <v>86322.086726400026</v>
      </c>
      <c r="T259" s="441"/>
      <c r="U259" s="765"/>
    </row>
    <row r="260" spans="2:21" s="109" customFormat="1" x14ac:dyDescent="0.25">
      <c r="B260" s="878" t="s">
        <v>232</v>
      </c>
      <c r="C260" s="683" t="s">
        <v>65</v>
      </c>
      <c r="D260" s="683" t="s">
        <v>25</v>
      </c>
      <c r="E260" s="683">
        <v>9</v>
      </c>
      <c r="F260" s="683">
        <v>2</v>
      </c>
      <c r="G260" s="677">
        <v>1015</v>
      </c>
      <c r="H260" s="678">
        <v>595</v>
      </c>
      <c r="I260" s="880">
        <v>47.6</v>
      </c>
      <c r="J260" s="879">
        <v>3</v>
      </c>
      <c r="K260" s="668">
        <f t="shared" si="112"/>
        <v>755.65</v>
      </c>
      <c r="L260" s="5">
        <f t="shared" si="113"/>
        <v>755.65</v>
      </c>
      <c r="M260" s="830">
        <f t="shared" si="121"/>
        <v>12.851999999999997</v>
      </c>
      <c r="N260" s="505">
        <f t="shared" si="122"/>
        <v>60.451999999999998</v>
      </c>
      <c r="O260" s="5">
        <f t="shared" si="123"/>
        <v>173.50199999999998</v>
      </c>
      <c r="P260" s="123">
        <f t="shared" si="117"/>
        <v>520.50599999999997</v>
      </c>
      <c r="Q260" s="124">
        <f t="shared" si="118"/>
        <v>6246.0720000000001</v>
      </c>
      <c r="R260" s="124">
        <f t="shared" si="116"/>
        <v>1504.6787448</v>
      </c>
      <c r="S260" s="125">
        <f t="shared" si="119"/>
        <v>7750.7507447999997</v>
      </c>
      <c r="T260" s="441"/>
      <c r="U260" s="765"/>
    </row>
    <row r="261" spans="2:21" s="109" customFormat="1" x14ac:dyDescent="0.25">
      <c r="B261" s="878" t="s">
        <v>232</v>
      </c>
      <c r="C261" s="683" t="s">
        <v>65</v>
      </c>
      <c r="D261" s="683" t="s">
        <v>25</v>
      </c>
      <c r="E261" s="683">
        <v>9</v>
      </c>
      <c r="F261" s="683">
        <v>1</v>
      </c>
      <c r="G261" s="677">
        <v>835</v>
      </c>
      <c r="H261" s="678">
        <v>485</v>
      </c>
      <c r="I261" s="880">
        <v>38.800000000000004</v>
      </c>
      <c r="J261" s="879">
        <v>1</v>
      </c>
      <c r="K261" s="668">
        <f t="shared" si="112"/>
        <v>615.95000000000005</v>
      </c>
      <c r="L261" s="5">
        <f t="shared" si="113"/>
        <v>615.95000000000005</v>
      </c>
      <c r="M261" s="830">
        <f t="shared" si="121"/>
        <v>10.476000000000006</v>
      </c>
      <c r="N261" s="505">
        <f t="shared" si="122"/>
        <v>49.27600000000001</v>
      </c>
      <c r="O261" s="5">
        <f t="shared" si="123"/>
        <v>141.42600000000004</v>
      </c>
      <c r="P261" s="123">
        <f t="shared" si="117"/>
        <v>141.42600000000004</v>
      </c>
      <c r="Q261" s="124">
        <f t="shared" si="118"/>
        <v>1697.1120000000005</v>
      </c>
      <c r="R261" s="124">
        <f t="shared" si="116"/>
        <v>408.83428080000016</v>
      </c>
      <c r="S261" s="125">
        <f t="shared" si="119"/>
        <v>2105.9462808000007</v>
      </c>
      <c r="T261" s="441"/>
      <c r="U261" s="765"/>
    </row>
    <row r="262" spans="2:21" s="52" customFormat="1" x14ac:dyDescent="0.25">
      <c r="B262" s="407" t="s">
        <v>39</v>
      </c>
      <c r="C262" s="54"/>
      <c r="D262" s="54"/>
      <c r="E262" s="54"/>
      <c r="F262" s="54"/>
      <c r="G262" s="56"/>
      <c r="H262" s="6"/>
      <c r="I262" s="57"/>
      <c r="J262" s="405">
        <f>SUM(J257:J261)</f>
        <v>49</v>
      </c>
      <c r="K262" s="58"/>
      <c r="L262" s="7"/>
      <c r="M262" s="59"/>
      <c r="N262" s="57"/>
      <c r="O262" s="7"/>
      <c r="P262" s="57"/>
      <c r="Q262" s="60">
        <f>SUM(Q257:Q261)</f>
        <v>125438.02560000002</v>
      </c>
      <c r="R262" s="60">
        <f>SUM(R257:R261)</f>
        <v>30218.020367040011</v>
      </c>
      <c r="S262" s="61">
        <f>SUM(S257:S261)</f>
        <v>155656.04596704006</v>
      </c>
      <c r="T262" s="390"/>
      <c r="U262" s="406"/>
    </row>
    <row r="263" spans="2:21" s="109" customFormat="1" x14ac:dyDescent="0.25">
      <c r="B263" s="110" t="s">
        <v>94</v>
      </c>
      <c r="C263" s="111"/>
      <c r="D263" s="111"/>
      <c r="E263" s="111"/>
      <c r="F263" s="111"/>
      <c r="G263" s="792"/>
      <c r="H263" s="113"/>
      <c r="I263" s="117"/>
      <c r="J263" s="793"/>
      <c r="K263" s="116"/>
      <c r="L263" s="117"/>
      <c r="M263" s="118"/>
      <c r="N263" s="117"/>
      <c r="O263" s="117"/>
      <c r="P263" s="117"/>
      <c r="Q263" s="119"/>
      <c r="R263" s="119"/>
      <c r="S263" s="120"/>
      <c r="T263" s="390"/>
      <c r="U263" s="765"/>
    </row>
    <row r="264" spans="2:21" s="109" customFormat="1" x14ac:dyDescent="0.25">
      <c r="B264" s="878" t="s">
        <v>233</v>
      </c>
      <c r="C264" s="683" t="s">
        <v>65</v>
      </c>
      <c r="D264" s="683" t="s">
        <v>54</v>
      </c>
      <c r="E264" s="683">
        <v>7</v>
      </c>
      <c r="F264" s="683">
        <v>3</v>
      </c>
      <c r="G264" s="677">
        <v>996</v>
      </c>
      <c r="H264" s="678">
        <v>645</v>
      </c>
      <c r="I264" s="880">
        <v>64.5</v>
      </c>
      <c r="J264" s="879">
        <v>10</v>
      </c>
      <c r="K264" s="668">
        <f t="shared" ref="K264:K322" si="124">H264*1.27</f>
        <v>819.15</v>
      </c>
      <c r="L264" s="5">
        <f t="shared" ref="L264:L322" si="125">IF(K264&lt;=G264,K264,G264)</f>
        <v>819.15</v>
      </c>
      <c r="M264" s="830">
        <f t="shared" ref="M264:M276" si="126">N264-I264</f>
        <v>17.415000000000006</v>
      </c>
      <c r="N264" s="505">
        <f t="shared" ref="N264:N276" si="127">I264/H264*L264</f>
        <v>81.915000000000006</v>
      </c>
      <c r="O264" s="5">
        <f t="shared" ref="O264:O276" si="128">L264-H264+M264</f>
        <v>191.565</v>
      </c>
      <c r="P264" s="123">
        <f t="shared" si="117"/>
        <v>1915.65</v>
      </c>
      <c r="Q264" s="124">
        <f t="shared" si="118"/>
        <v>22987.800000000003</v>
      </c>
      <c r="R264" s="124">
        <f t="shared" si="116"/>
        <v>5537.7610200000008</v>
      </c>
      <c r="S264" s="125">
        <f t="shared" si="119"/>
        <v>28525.561020000005</v>
      </c>
      <c r="T264" s="441"/>
      <c r="U264" s="765"/>
    </row>
    <row r="265" spans="2:21" s="109" customFormat="1" x14ac:dyDescent="0.25">
      <c r="B265" s="878" t="s">
        <v>233</v>
      </c>
      <c r="C265" s="683" t="s">
        <v>65</v>
      </c>
      <c r="D265" s="683" t="s">
        <v>54</v>
      </c>
      <c r="E265" s="683">
        <v>7</v>
      </c>
      <c r="F265" s="683">
        <v>3</v>
      </c>
      <c r="G265" s="677">
        <v>996</v>
      </c>
      <c r="H265" s="678">
        <v>585</v>
      </c>
      <c r="I265" s="880">
        <v>58.5</v>
      </c>
      <c r="J265" s="879">
        <v>2.75</v>
      </c>
      <c r="K265" s="668">
        <f t="shared" si="124"/>
        <v>742.95</v>
      </c>
      <c r="L265" s="5">
        <f t="shared" si="125"/>
        <v>742.95</v>
      </c>
      <c r="M265" s="830">
        <f t="shared" si="126"/>
        <v>15.795000000000002</v>
      </c>
      <c r="N265" s="505">
        <f t="shared" si="127"/>
        <v>74.295000000000002</v>
      </c>
      <c r="O265" s="5">
        <f t="shared" si="128"/>
        <v>173.74500000000006</v>
      </c>
      <c r="P265" s="123">
        <f t="shared" si="117"/>
        <v>477.79875000000015</v>
      </c>
      <c r="Q265" s="124">
        <f t="shared" si="118"/>
        <v>5733.5850000000019</v>
      </c>
      <c r="R265" s="124">
        <f t="shared" si="116"/>
        <v>1381.2206265000004</v>
      </c>
      <c r="S265" s="125">
        <f t="shared" si="119"/>
        <v>7114.8056265000023</v>
      </c>
      <c r="T265" s="441"/>
      <c r="U265" s="765"/>
    </row>
    <row r="266" spans="2:21" s="109" customFormat="1" x14ac:dyDescent="0.25">
      <c r="B266" s="878" t="s">
        <v>233</v>
      </c>
      <c r="C266" s="683" t="s">
        <v>65</v>
      </c>
      <c r="D266" s="683" t="s">
        <v>54</v>
      </c>
      <c r="E266" s="683">
        <v>7</v>
      </c>
      <c r="F266" s="683">
        <v>3</v>
      </c>
      <c r="G266" s="677">
        <v>996</v>
      </c>
      <c r="H266" s="678">
        <v>585</v>
      </c>
      <c r="I266" s="880">
        <v>46.800000000000004</v>
      </c>
      <c r="J266" s="879">
        <v>1.5</v>
      </c>
      <c r="K266" s="668">
        <f t="shared" si="124"/>
        <v>742.95</v>
      </c>
      <c r="L266" s="5">
        <f t="shared" si="125"/>
        <v>742.95</v>
      </c>
      <c r="M266" s="830">
        <f t="shared" si="126"/>
        <v>12.636000000000003</v>
      </c>
      <c r="N266" s="505">
        <f t="shared" si="127"/>
        <v>59.436000000000007</v>
      </c>
      <c r="O266" s="5">
        <f t="shared" si="128"/>
        <v>170.58600000000004</v>
      </c>
      <c r="P266" s="123">
        <f t="shared" si="117"/>
        <v>255.87900000000008</v>
      </c>
      <c r="Q266" s="124">
        <f t="shared" si="118"/>
        <v>3070.5480000000007</v>
      </c>
      <c r="R266" s="124">
        <f t="shared" si="116"/>
        <v>739.69501320000018</v>
      </c>
      <c r="S266" s="125">
        <f t="shared" si="119"/>
        <v>3810.2430132000009</v>
      </c>
      <c r="T266" s="441"/>
      <c r="U266" s="765"/>
    </row>
    <row r="267" spans="2:21" s="109" customFormat="1" x14ac:dyDescent="0.25">
      <c r="B267" s="878" t="s">
        <v>233</v>
      </c>
      <c r="C267" s="683" t="s">
        <v>65</v>
      </c>
      <c r="D267" s="683" t="s">
        <v>54</v>
      </c>
      <c r="E267" s="683">
        <v>7</v>
      </c>
      <c r="F267" s="683">
        <v>3</v>
      </c>
      <c r="G267" s="677">
        <v>996</v>
      </c>
      <c r="H267" s="678">
        <v>585</v>
      </c>
      <c r="I267" s="880">
        <v>0</v>
      </c>
      <c r="J267" s="879">
        <v>0.5</v>
      </c>
      <c r="K267" s="668">
        <f t="shared" si="124"/>
        <v>742.95</v>
      </c>
      <c r="L267" s="5">
        <f t="shared" si="125"/>
        <v>742.95</v>
      </c>
      <c r="M267" s="830">
        <f t="shared" si="126"/>
        <v>0</v>
      </c>
      <c r="N267" s="505">
        <f t="shared" si="127"/>
        <v>0</v>
      </c>
      <c r="O267" s="5">
        <f t="shared" si="128"/>
        <v>157.95000000000005</v>
      </c>
      <c r="P267" s="123">
        <f t="shared" si="117"/>
        <v>78.975000000000023</v>
      </c>
      <c r="Q267" s="124">
        <f t="shared" si="118"/>
        <v>947.70000000000027</v>
      </c>
      <c r="R267" s="124">
        <f t="shared" si="116"/>
        <v>228.30093000000008</v>
      </c>
      <c r="S267" s="125">
        <f t="shared" si="119"/>
        <v>1176.0009300000004</v>
      </c>
      <c r="T267" s="441"/>
      <c r="U267" s="765"/>
    </row>
    <row r="268" spans="2:21" s="109" customFormat="1" x14ac:dyDescent="0.25">
      <c r="B268" s="878" t="s">
        <v>233</v>
      </c>
      <c r="C268" s="683" t="s">
        <v>65</v>
      </c>
      <c r="D268" s="683" t="s">
        <v>54</v>
      </c>
      <c r="E268" s="683">
        <v>7</v>
      </c>
      <c r="F268" s="683">
        <v>2</v>
      </c>
      <c r="G268" s="677">
        <v>835</v>
      </c>
      <c r="H268" s="678">
        <v>590</v>
      </c>
      <c r="I268" s="880">
        <v>59</v>
      </c>
      <c r="J268" s="879">
        <v>0.5</v>
      </c>
      <c r="K268" s="668">
        <f t="shared" si="124"/>
        <v>749.3</v>
      </c>
      <c r="L268" s="5">
        <f t="shared" si="125"/>
        <v>749.3</v>
      </c>
      <c r="M268" s="830">
        <f t="shared" si="126"/>
        <v>15.929999999999993</v>
      </c>
      <c r="N268" s="505">
        <f t="shared" si="127"/>
        <v>74.929999999999993</v>
      </c>
      <c r="O268" s="5">
        <f t="shared" si="128"/>
        <v>175.22999999999996</v>
      </c>
      <c r="P268" s="123">
        <f t="shared" si="117"/>
        <v>87.614999999999981</v>
      </c>
      <c r="Q268" s="124">
        <f t="shared" si="118"/>
        <v>1051.3799999999997</v>
      </c>
      <c r="R268" s="124">
        <f t="shared" si="116"/>
        <v>253.27744199999992</v>
      </c>
      <c r="S268" s="125">
        <f t="shared" si="119"/>
        <v>1304.6574419999995</v>
      </c>
      <c r="T268" s="441"/>
      <c r="U268" s="765"/>
    </row>
    <row r="269" spans="2:21" s="109" customFormat="1" x14ac:dyDescent="0.25">
      <c r="B269" s="878" t="s">
        <v>233</v>
      </c>
      <c r="C269" s="683" t="s">
        <v>65</v>
      </c>
      <c r="D269" s="683" t="s">
        <v>54</v>
      </c>
      <c r="E269" s="683">
        <v>7</v>
      </c>
      <c r="F269" s="683">
        <v>2</v>
      </c>
      <c r="G269" s="677">
        <v>835</v>
      </c>
      <c r="H269" s="678">
        <v>543</v>
      </c>
      <c r="I269" s="880">
        <v>54.300000000000004</v>
      </c>
      <c r="J269" s="879">
        <v>2</v>
      </c>
      <c r="K269" s="668">
        <f t="shared" si="124"/>
        <v>689.61</v>
      </c>
      <c r="L269" s="5">
        <f t="shared" si="125"/>
        <v>689.61</v>
      </c>
      <c r="M269" s="830">
        <f t="shared" si="126"/>
        <v>14.660999999999994</v>
      </c>
      <c r="N269" s="505">
        <f t="shared" si="127"/>
        <v>68.960999999999999</v>
      </c>
      <c r="O269" s="5">
        <f t="shared" si="128"/>
        <v>161.27100000000002</v>
      </c>
      <c r="P269" s="123">
        <f t="shared" si="117"/>
        <v>322.54200000000003</v>
      </c>
      <c r="Q269" s="124">
        <f t="shared" si="118"/>
        <v>3870.5040000000004</v>
      </c>
      <c r="R269" s="124">
        <f t="shared" si="116"/>
        <v>932.40441360000011</v>
      </c>
      <c r="S269" s="125">
        <f t="shared" si="119"/>
        <v>4802.9084136000001</v>
      </c>
      <c r="T269" s="441"/>
      <c r="U269" s="765"/>
    </row>
    <row r="270" spans="2:21" s="109" customFormat="1" x14ac:dyDescent="0.25">
      <c r="B270" s="878" t="s">
        <v>233</v>
      </c>
      <c r="C270" s="683" t="s">
        <v>65</v>
      </c>
      <c r="D270" s="683" t="s">
        <v>54</v>
      </c>
      <c r="E270" s="683">
        <v>7</v>
      </c>
      <c r="F270" s="683">
        <v>2</v>
      </c>
      <c r="G270" s="677">
        <v>835</v>
      </c>
      <c r="H270" s="678">
        <v>450</v>
      </c>
      <c r="I270" s="880">
        <v>36</v>
      </c>
      <c r="J270" s="879">
        <v>0.75</v>
      </c>
      <c r="K270" s="668">
        <f t="shared" si="124"/>
        <v>571.5</v>
      </c>
      <c r="L270" s="5">
        <f t="shared" si="125"/>
        <v>571.5</v>
      </c>
      <c r="M270" s="830">
        <f t="shared" si="126"/>
        <v>9.7199999999999989</v>
      </c>
      <c r="N270" s="505">
        <f t="shared" si="127"/>
        <v>45.72</v>
      </c>
      <c r="O270" s="5">
        <f t="shared" si="128"/>
        <v>131.22</v>
      </c>
      <c r="P270" s="123">
        <f t="shared" si="117"/>
        <v>98.414999999999992</v>
      </c>
      <c r="Q270" s="124">
        <f t="shared" si="118"/>
        <v>1180.98</v>
      </c>
      <c r="R270" s="124">
        <f t="shared" si="116"/>
        <v>284.49808200000001</v>
      </c>
      <c r="S270" s="125">
        <f t="shared" si="119"/>
        <v>1465.4780820000001</v>
      </c>
      <c r="T270" s="441"/>
      <c r="U270" s="765"/>
    </row>
    <row r="271" spans="2:21" s="109" customFormat="1" x14ac:dyDescent="0.25">
      <c r="B271" s="878" t="s">
        <v>233</v>
      </c>
      <c r="C271" s="683" t="s">
        <v>65</v>
      </c>
      <c r="D271" s="683" t="s">
        <v>54</v>
      </c>
      <c r="E271" s="683">
        <v>7</v>
      </c>
      <c r="F271" s="683">
        <v>1</v>
      </c>
      <c r="G271" s="677">
        <v>675</v>
      </c>
      <c r="H271" s="678">
        <v>480</v>
      </c>
      <c r="I271" s="880">
        <v>38.4</v>
      </c>
      <c r="J271" s="879">
        <v>1</v>
      </c>
      <c r="K271" s="668">
        <f t="shared" si="124"/>
        <v>609.6</v>
      </c>
      <c r="L271" s="5">
        <f t="shared" si="125"/>
        <v>609.6</v>
      </c>
      <c r="M271" s="830">
        <f t="shared" si="126"/>
        <v>10.368000000000002</v>
      </c>
      <c r="N271" s="505">
        <f t="shared" si="127"/>
        <v>48.768000000000001</v>
      </c>
      <c r="O271" s="5">
        <f t="shared" si="128"/>
        <v>139.96800000000002</v>
      </c>
      <c r="P271" s="123">
        <f t="shared" si="117"/>
        <v>139.96800000000002</v>
      </c>
      <c r="Q271" s="124">
        <f t="shared" si="118"/>
        <v>1679.6160000000002</v>
      </c>
      <c r="R271" s="124">
        <f t="shared" si="116"/>
        <v>404.61949440000006</v>
      </c>
      <c r="S271" s="125">
        <f t="shared" si="119"/>
        <v>2084.2354944000003</v>
      </c>
      <c r="T271" s="441"/>
      <c r="U271" s="765"/>
    </row>
    <row r="272" spans="2:21" s="109" customFormat="1" x14ac:dyDescent="0.25">
      <c r="B272" s="878" t="s">
        <v>233</v>
      </c>
      <c r="C272" s="683" t="s">
        <v>65</v>
      </c>
      <c r="D272" s="683" t="s">
        <v>54</v>
      </c>
      <c r="E272" s="683">
        <v>7</v>
      </c>
      <c r="F272" s="683">
        <v>1</v>
      </c>
      <c r="G272" s="677">
        <v>675</v>
      </c>
      <c r="H272" s="678">
        <v>440</v>
      </c>
      <c r="I272" s="880">
        <v>44</v>
      </c>
      <c r="J272" s="879">
        <v>2</v>
      </c>
      <c r="K272" s="668">
        <f t="shared" si="124"/>
        <v>558.79999999999995</v>
      </c>
      <c r="L272" s="5">
        <f t="shared" si="125"/>
        <v>558.79999999999995</v>
      </c>
      <c r="M272" s="830">
        <f t="shared" si="126"/>
        <v>11.879999999999995</v>
      </c>
      <c r="N272" s="505">
        <f t="shared" si="127"/>
        <v>55.879999999999995</v>
      </c>
      <c r="O272" s="5">
        <f t="shared" si="128"/>
        <v>130.67999999999995</v>
      </c>
      <c r="P272" s="123">
        <f t="shared" si="117"/>
        <v>261.3599999999999</v>
      </c>
      <c r="Q272" s="124">
        <f t="shared" si="118"/>
        <v>3136.3199999999988</v>
      </c>
      <c r="R272" s="124">
        <f t="shared" si="116"/>
        <v>755.53948799999966</v>
      </c>
      <c r="S272" s="125">
        <f t="shared" si="119"/>
        <v>3891.8594879999982</v>
      </c>
      <c r="T272" s="441"/>
      <c r="U272" s="765"/>
    </row>
    <row r="273" spans="2:21" s="109" customFormat="1" x14ac:dyDescent="0.25">
      <c r="B273" s="878" t="s">
        <v>95</v>
      </c>
      <c r="C273" s="683" t="s">
        <v>42</v>
      </c>
      <c r="D273" s="683" t="s">
        <v>190</v>
      </c>
      <c r="E273" s="683">
        <v>5</v>
      </c>
      <c r="F273" s="683">
        <v>3</v>
      </c>
      <c r="G273" s="677">
        <v>802</v>
      </c>
      <c r="H273" s="678">
        <v>584</v>
      </c>
      <c r="I273" s="880">
        <v>46.72</v>
      </c>
      <c r="J273" s="879">
        <v>4.25</v>
      </c>
      <c r="K273" s="668">
        <f t="shared" si="124"/>
        <v>741.68000000000006</v>
      </c>
      <c r="L273" s="5">
        <f t="shared" si="125"/>
        <v>741.68000000000006</v>
      </c>
      <c r="M273" s="830">
        <f t="shared" si="126"/>
        <v>12.61440000000001</v>
      </c>
      <c r="N273" s="505">
        <f t="shared" si="127"/>
        <v>59.334400000000009</v>
      </c>
      <c r="O273" s="5">
        <f t="shared" si="128"/>
        <v>170.29440000000008</v>
      </c>
      <c r="P273" s="123">
        <f t="shared" si="117"/>
        <v>723.75120000000038</v>
      </c>
      <c r="Q273" s="124">
        <f t="shared" si="118"/>
        <v>8685.0144000000037</v>
      </c>
      <c r="R273" s="124">
        <f t="shared" si="116"/>
        <v>2092.2199689600011</v>
      </c>
      <c r="S273" s="125">
        <f t="shared" si="119"/>
        <v>10777.234368960006</v>
      </c>
      <c r="T273" s="441"/>
      <c r="U273" s="765"/>
    </row>
    <row r="274" spans="2:21" s="109" customFormat="1" x14ac:dyDescent="0.25">
      <c r="B274" s="878" t="s">
        <v>234</v>
      </c>
      <c r="C274" s="683" t="s">
        <v>71</v>
      </c>
      <c r="D274" s="683" t="s">
        <v>54</v>
      </c>
      <c r="E274" s="683">
        <v>4</v>
      </c>
      <c r="F274" s="683">
        <v>3</v>
      </c>
      <c r="G274" s="677">
        <v>705</v>
      </c>
      <c r="H274" s="678">
        <v>428</v>
      </c>
      <c r="I274" s="880">
        <v>0</v>
      </c>
      <c r="J274" s="879">
        <v>1</v>
      </c>
      <c r="K274" s="668">
        <f t="shared" si="124"/>
        <v>543.56000000000006</v>
      </c>
      <c r="L274" s="5">
        <f t="shared" si="125"/>
        <v>543.56000000000006</v>
      </c>
      <c r="M274" s="830">
        <f t="shared" si="126"/>
        <v>0</v>
      </c>
      <c r="N274" s="505">
        <f t="shared" si="127"/>
        <v>0</v>
      </c>
      <c r="O274" s="5">
        <f t="shared" si="128"/>
        <v>115.56000000000006</v>
      </c>
      <c r="P274" s="123">
        <f t="shared" si="117"/>
        <v>115.56000000000006</v>
      </c>
      <c r="Q274" s="124">
        <f t="shared" si="118"/>
        <v>1386.7200000000007</v>
      </c>
      <c r="R274" s="124">
        <f t="shared" si="116"/>
        <v>334.06084800000019</v>
      </c>
      <c r="S274" s="125">
        <f t="shared" si="119"/>
        <v>1720.7808480000008</v>
      </c>
      <c r="T274" s="441"/>
      <c r="U274" s="765"/>
    </row>
    <row r="275" spans="2:21" s="109" customFormat="1" x14ac:dyDescent="0.25">
      <c r="B275" s="878" t="s">
        <v>234</v>
      </c>
      <c r="C275" s="683" t="s">
        <v>71</v>
      </c>
      <c r="D275" s="683" t="s">
        <v>54</v>
      </c>
      <c r="E275" s="683">
        <v>4</v>
      </c>
      <c r="F275" s="683">
        <v>2</v>
      </c>
      <c r="G275" s="677">
        <v>580</v>
      </c>
      <c r="H275" s="678">
        <v>400</v>
      </c>
      <c r="I275" s="880">
        <v>0</v>
      </c>
      <c r="J275" s="879">
        <v>2</v>
      </c>
      <c r="K275" s="668">
        <f t="shared" si="124"/>
        <v>508</v>
      </c>
      <c r="L275" s="5">
        <f t="shared" si="125"/>
        <v>508</v>
      </c>
      <c r="M275" s="830">
        <f t="shared" si="126"/>
        <v>0</v>
      </c>
      <c r="N275" s="505">
        <f t="shared" si="127"/>
        <v>0</v>
      </c>
      <c r="O275" s="5">
        <f t="shared" si="128"/>
        <v>108</v>
      </c>
      <c r="P275" s="123">
        <f t="shared" si="117"/>
        <v>216</v>
      </c>
      <c r="Q275" s="124">
        <f t="shared" si="118"/>
        <v>2592</v>
      </c>
      <c r="R275" s="124">
        <f t="shared" si="116"/>
        <v>624.41280000000006</v>
      </c>
      <c r="S275" s="125">
        <f t="shared" si="119"/>
        <v>3216.4128000000001</v>
      </c>
      <c r="T275" s="441"/>
      <c r="U275" s="765"/>
    </row>
    <row r="276" spans="2:21" s="109" customFormat="1" x14ac:dyDescent="0.25">
      <c r="B276" s="878" t="s">
        <v>234</v>
      </c>
      <c r="C276" s="683" t="s">
        <v>71</v>
      </c>
      <c r="D276" s="683" t="s">
        <v>54</v>
      </c>
      <c r="E276" s="683">
        <v>4</v>
      </c>
      <c r="F276" s="694">
        <v>1</v>
      </c>
      <c r="G276" s="677">
        <v>460</v>
      </c>
      <c r="H276" s="678">
        <v>380</v>
      </c>
      <c r="I276" s="880">
        <v>0</v>
      </c>
      <c r="J276" s="879">
        <v>1</v>
      </c>
      <c r="K276" s="668">
        <f t="shared" si="124"/>
        <v>482.6</v>
      </c>
      <c r="L276" s="5">
        <f t="shared" si="125"/>
        <v>460</v>
      </c>
      <c r="M276" s="830">
        <f t="shared" si="126"/>
        <v>0</v>
      </c>
      <c r="N276" s="505">
        <f t="shared" si="127"/>
        <v>0</v>
      </c>
      <c r="O276" s="5">
        <f t="shared" si="128"/>
        <v>80</v>
      </c>
      <c r="P276" s="123">
        <f t="shared" si="117"/>
        <v>80</v>
      </c>
      <c r="Q276" s="124">
        <f t="shared" si="118"/>
        <v>960</v>
      </c>
      <c r="R276" s="124">
        <f t="shared" si="116"/>
        <v>231.26400000000001</v>
      </c>
      <c r="S276" s="125">
        <f t="shared" si="119"/>
        <v>1191.2640000000001</v>
      </c>
      <c r="T276" s="441"/>
      <c r="U276" s="765"/>
    </row>
    <row r="277" spans="2:21" s="52" customFormat="1" x14ac:dyDescent="0.25">
      <c r="B277" s="407" t="s">
        <v>39</v>
      </c>
      <c r="C277" s="54"/>
      <c r="D277" s="54"/>
      <c r="E277" s="54"/>
      <c r="F277" s="54"/>
      <c r="G277" s="56"/>
      <c r="H277" s="6"/>
      <c r="I277" s="57"/>
      <c r="J277" s="405">
        <f>SUM(J264:J276)</f>
        <v>29.25</v>
      </c>
      <c r="K277" s="58"/>
      <c r="L277" s="7"/>
      <c r="M277" s="59"/>
      <c r="N277" s="57"/>
      <c r="O277" s="7"/>
      <c r="P277" s="57"/>
      <c r="Q277" s="60">
        <f>SUM(Q264:Q276)</f>
        <v>57282.16740000002</v>
      </c>
      <c r="R277" s="60">
        <f>SUM(R264:R276)</f>
        <v>13799.274126660004</v>
      </c>
      <c r="S277" s="61">
        <f>SUM(S264:S276)</f>
        <v>71081.441526660012</v>
      </c>
      <c r="T277" s="390"/>
      <c r="U277" s="406"/>
    </row>
    <row r="278" spans="2:21" s="109" customFormat="1" ht="13.5" thickBot="1" x14ac:dyDescent="0.3">
      <c r="B278" s="883" t="s">
        <v>55</v>
      </c>
      <c r="C278" s="884"/>
      <c r="D278" s="884"/>
      <c r="E278" s="884"/>
      <c r="F278" s="884"/>
      <c r="G278" s="885"/>
      <c r="H278" s="886"/>
      <c r="I278" s="884"/>
      <c r="J278" s="887">
        <f>J255+J262+J277</f>
        <v>130.25</v>
      </c>
      <c r="K278" s="888"/>
      <c r="L278" s="884"/>
      <c r="M278" s="884"/>
      <c r="N278" s="884"/>
      <c r="O278" s="884"/>
      <c r="P278" s="884"/>
      <c r="Q278" s="889">
        <f>Q255+Q262+Q277</f>
        <v>361058.26500000007</v>
      </c>
      <c r="R278" s="889">
        <f>R255+R262+R277</f>
        <v>86978.936038500004</v>
      </c>
      <c r="S278" s="890">
        <f>S255+S262+S277</f>
        <v>448037.20103850006</v>
      </c>
      <c r="T278" s="390"/>
      <c r="U278" s="765"/>
    </row>
    <row r="279" spans="2:21" s="805" customFormat="1" ht="11.25" customHeight="1" thickBot="1" x14ac:dyDescent="0.3">
      <c r="B279" s="806"/>
      <c r="C279" s="807"/>
      <c r="D279" s="807"/>
      <c r="E279" s="807"/>
      <c r="F279" s="807"/>
      <c r="G279" s="808"/>
      <c r="H279" s="809"/>
      <c r="I279" s="810"/>
      <c r="J279" s="809"/>
      <c r="K279" s="810"/>
      <c r="L279" s="810"/>
      <c r="M279" s="807"/>
      <c r="N279" s="810"/>
      <c r="O279" s="810"/>
      <c r="P279" s="810"/>
      <c r="Q279" s="811"/>
      <c r="R279" s="811"/>
      <c r="S279" s="811"/>
      <c r="T279" s="382"/>
      <c r="U279" s="810"/>
    </row>
    <row r="280" spans="2:21" s="396" customFormat="1" ht="15" x14ac:dyDescent="0.25">
      <c r="B280" s="408" t="s">
        <v>3</v>
      </c>
      <c r="C280" s="383"/>
      <c r="D280" s="383"/>
      <c r="E280" s="383"/>
      <c r="F280" s="383"/>
      <c r="G280" s="409"/>
      <c r="H280" s="400"/>
      <c r="I280" s="383"/>
      <c r="J280" s="410"/>
      <c r="K280" s="383"/>
      <c r="L280" s="383"/>
      <c r="M280" s="381"/>
      <c r="N280" s="383"/>
      <c r="O280" s="383"/>
      <c r="P280" s="383"/>
      <c r="Q280" s="402"/>
      <c r="R280" s="402"/>
      <c r="S280" s="403"/>
      <c r="T280" s="404"/>
      <c r="U280" s="404"/>
    </row>
    <row r="281" spans="2:21" s="109" customFormat="1" x14ac:dyDescent="0.25">
      <c r="B281" s="758" t="s">
        <v>19</v>
      </c>
      <c r="C281" s="283"/>
      <c r="D281" s="283"/>
      <c r="E281" s="283"/>
      <c r="F281" s="283"/>
      <c r="G281" s="812"/>
      <c r="H281" s="813"/>
      <c r="I281" s="283"/>
      <c r="J281" s="814"/>
      <c r="K281" s="283"/>
      <c r="L281" s="283"/>
      <c r="M281" s="815"/>
      <c r="N281" s="283"/>
      <c r="O281" s="283"/>
      <c r="P281" s="283"/>
      <c r="Q281" s="306"/>
      <c r="R281" s="306"/>
      <c r="S281" s="307"/>
      <c r="T281" s="390"/>
      <c r="U281" s="765"/>
    </row>
    <row r="282" spans="2:21" s="109" customFormat="1" x14ac:dyDescent="0.25">
      <c r="B282" s="720" t="s">
        <v>235</v>
      </c>
      <c r="C282" s="721" t="s">
        <v>236</v>
      </c>
      <c r="D282" s="721" t="s">
        <v>43</v>
      </c>
      <c r="E282" s="721">
        <v>13</v>
      </c>
      <c r="F282" s="721">
        <v>2</v>
      </c>
      <c r="G282" s="722">
        <v>1678</v>
      </c>
      <c r="H282" s="723">
        <v>1500</v>
      </c>
      <c r="I282" s="123">
        <v>0</v>
      </c>
      <c r="J282" s="823">
        <v>1</v>
      </c>
      <c r="K282" s="668">
        <f t="shared" si="124"/>
        <v>1905</v>
      </c>
      <c r="L282" s="5">
        <f t="shared" si="125"/>
        <v>1678</v>
      </c>
      <c r="M282" s="122">
        <f>I282*0.27</f>
        <v>0</v>
      </c>
      <c r="N282" s="123">
        <f t="shared" ref="N282:N322" si="129">I282+M282</f>
        <v>0</v>
      </c>
      <c r="O282" s="5">
        <f>L282-H282+M282</f>
        <v>178</v>
      </c>
      <c r="P282" s="123">
        <f>O282*J282</f>
        <v>178</v>
      </c>
      <c r="Q282" s="124">
        <f t="shared" ref="Q282:Q322" si="130">P282*12</f>
        <v>2136</v>
      </c>
      <c r="R282" s="124">
        <f>Q282*0.2409</f>
        <v>514.56240000000003</v>
      </c>
      <c r="S282" s="125">
        <f t="shared" ref="S282:S321" si="131">Q282+R282</f>
        <v>2650.5623999999998</v>
      </c>
      <c r="T282" s="390"/>
      <c r="U282" s="765"/>
    </row>
    <row r="283" spans="2:21" s="109" customFormat="1" x14ac:dyDescent="0.25">
      <c r="B283" s="720" t="s">
        <v>237</v>
      </c>
      <c r="C283" s="721" t="s">
        <v>236</v>
      </c>
      <c r="D283" s="721" t="s">
        <v>45</v>
      </c>
      <c r="E283" s="721">
        <v>12</v>
      </c>
      <c r="F283" s="721">
        <v>3</v>
      </c>
      <c r="G283" s="722">
        <v>1647</v>
      </c>
      <c r="H283" s="723">
        <v>1416</v>
      </c>
      <c r="I283" s="123">
        <v>0</v>
      </c>
      <c r="J283" s="823">
        <v>1</v>
      </c>
      <c r="K283" s="668">
        <f t="shared" si="124"/>
        <v>1798.32</v>
      </c>
      <c r="L283" s="5">
        <f t="shared" si="125"/>
        <v>1647</v>
      </c>
      <c r="M283" s="122">
        <f t="shared" ref="M283:M322" si="132">I283*0.27</f>
        <v>0</v>
      </c>
      <c r="N283" s="123">
        <f t="shared" si="129"/>
        <v>0</v>
      </c>
      <c r="O283" s="5">
        <f t="shared" ref="O283:O322" si="133">L283-H283+M283</f>
        <v>231</v>
      </c>
      <c r="P283" s="123">
        <f t="shared" ref="P283:P322" si="134">O283*J283</f>
        <v>231</v>
      </c>
      <c r="Q283" s="124">
        <f t="shared" si="130"/>
        <v>2772</v>
      </c>
      <c r="R283" s="124">
        <f t="shared" ref="R283:R322" si="135">Q283*0.2409</f>
        <v>667.77480000000003</v>
      </c>
      <c r="S283" s="125">
        <f t="shared" si="131"/>
        <v>3439.7748000000001</v>
      </c>
      <c r="T283" s="390"/>
      <c r="U283" s="765"/>
    </row>
    <row r="284" spans="2:21" s="109" customFormat="1" x14ac:dyDescent="0.25">
      <c r="B284" s="720" t="s">
        <v>237</v>
      </c>
      <c r="C284" s="721" t="s">
        <v>236</v>
      </c>
      <c r="D284" s="721" t="s">
        <v>45</v>
      </c>
      <c r="E284" s="721">
        <v>12</v>
      </c>
      <c r="F284" s="721">
        <v>3</v>
      </c>
      <c r="G284" s="722">
        <v>1647</v>
      </c>
      <c r="H284" s="723">
        <v>1327</v>
      </c>
      <c r="I284" s="123">
        <v>0</v>
      </c>
      <c r="J284" s="823">
        <v>7</v>
      </c>
      <c r="K284" s="668">
        <f t="shared" si="124"/>
        <v>1685.29</v>
      </c>
      <c r="L284" s="5">
        <f t="shared" si="125"/>
        <v>1647</v>
      </c>
      <c r="M284" s="122">
        <f t="shared" si="132"/>
        <v>0</v>
      </c>
      <c r="N284" s="123">
        <f t="shared" si="129"/>
        <v>0</v>
      </c>
      <c r="O284" s="5">
        <f t="shared" si="133"/>
        <v>320</v>
      </c>
      <c r="P284" s="123">
        <f t="shared" si="134"/>
        <v>2240</v>
      </c>
      <c r="Q284" s="124">
        <f t="shared" si="130"/>
        <v>26880</v>
      </c>
      <c r="R284" s="124">
        <f t="shared" si="135"/>
        <v>6475.3919999999998</v>
      </c>
      <c r="S284" s="125">
        <f t="shared" si="131"/>
        <v>33355.392</v>
      </c>
      <c r="T284" s="390"/>
      <c r="U284" s="765"/>
    </row>
    <row r="285" spans="2:21" s="109" customFormat="1" x14ac:dyDescent="0.25">
      <c r="B285" s="720" t="s">
        <v>237</v>
      </c>
      <c r="C285" s="721" t="s">
        <v>236</v>
      </c>
      <c r="D285" s="721" t="s">
        <v>45</v>
      </c>
      <c r="E285" s="721">
        <v>12</v>
      </c>
      <c r="F285" s="721">
        <v>3</v>
      </c>
      <c r="G285" s="722">
        <v>1647</v>
      </c>
      <c r="H285" s="723">
        <v>1227</v>
      </c>
      <c r="I285" s="123">
        <v>0</v>
      </c>
      <c r="J285" s="823">
        <v>5</v>
      </c>
      <c r="K285" s="668">
        <f t="shared" si="124"/>
        <v>1558.29</v>
      </c>
      <c r="L285" s="5">
        <f t="shared" si="125"/>
        <v>1558.29</v>
      </c>
      <c r="M285" s="122">
        <f t="shared" si="132"/>
        <v>0</v>
      </c>
      <c r="N285" s="123">
        <f t="shared" si="129"/>
        <v>0</v>
      </c>
      <c r="O285" s="5">
        <f t="shared" si="133"/>
        <v>331.28999999999996</v>
      </c>
      <c r="P285" s="123">
        <f t="shared" si="134"/>
        <v>1656.4499999999998</v>
      </c>
      <c r="Q285" s="124">
        <f t="shared" si="130"/>
        <v>19877.399999999998</v>
      </c>
      <c r="R285" s="124">
        <f t="shared" si="135"/>
        <v>4788.4656599999998</v>
      </c>
      <c r="S285" s="125">
        <f t="shared" si="131"/>
        <v>24665.865659999996</v>
      </c>
      <c r="T285" s="390"/>
      <c r="U285" s="765"/>
    </row>
    <row r="286" spans="2:21" s="109" customFormat="1" x14ac:dyDescent="0.25">
      <c r="B286" s="720" t="s">
        <v>238</v>
      </c>
      <c r="C286" s="724" t="s">
        <v>236</v>
      </c>
      <c r="D286" s="721" t="s">
        <v>24</v>
      </c>
      <c r="E286" s="724">
        <v>10</v>
      </c>
      <c r="F286" s="724">
        <v>3</v>
      </c>
      <c r="G286" s="722">
        <v>1287</v>
      </c>
      <c r="H286" s="723">
        <v>1100</v>
      </c>
      <c r="I286" s="123">
        <v>0</v>
      </c>
      <c r="J286" s="823">
        <v>3</v>
      </c>
      <c r="K286" s="668">
        <f t="shared" si="124"/>
        <v>1397</v>
      </c>
      <c r="L286" s="5">
        <f t="shared" si="125"/>
        <v>1287</v>
      </c>
      <c r="M286" s="122">
        <f t="shared" si="132"/>
        <v>0</v>
      </c>
      <c r="N286" s="123">
        <f t="shared" si="129"/>
        <v>0</v>
      </c>
      <c r="O286" s="5">
        <f t="shared" si="133"/>
        <v>187</v>
      </c>
      <c r="P286" s="123">
        <f t="shared" si="134"/>
        <v>561</v>
      </c>
      <c r="Q286" s="124">
        <f t="shared" si="130"/>
        <v>6732</v>
      </c>
      <c r="R286" s="124">
        <f t="shared" si="135"/>
        <v>1621.7388000000001</v>
      </c>
      <c r="S286" s="125">
        <f t="shared" si="131"/>
        <v>8353.7387999999992</v>
      </c>
      <c r="T286" s="390"/>
      <c r="U286" s="765"/>
    </row>
    <row r="287" spans="2:21" s="109" customFormat="1" x14ac:dyDescent="0.25">
      <c r="B287" s="720" t="s">
        <v>238</v>
      </c>
      <c r="C287" s="721" t="s">
        <v>236</v>
      </c>
      <c r="D287" s="721" t="s">
        <v>24</v>
      </c>
      <c r="E287" s="721">
        <v>10</v>
      </c>
      <c r="F287" s="721">
        <v>3</v>
      </c>
      <c r="G287" s="722">
        <v>1287</v>
      </c>
      <c r="H287" s="692">
        <v>1000</v>
      </c>
      <c r="I287" s="123">
        <v>0</v>
      </c>
      <c r="J287" s="823">
        <v>2</v>
      </c>
      <c r="K287" s="668">
        <f t="shared" si="124"/>
        <v>1270</v>
      </c>
      <c r="L287" s="5">
        <f t="shared" si="125"/>
        <v>1270</v>
      </c>
      <c r="M287" s="122">
        <f t="shared" si="132"/>
        <v>0</v>
      </c>
      <c r="N287" s="123">
        <f t="shared" si="129"/>
        <v>0</v>
      </c>
      <c r="O287" s="5">
        <f t="shared" si="133"/>
        <v>270</v>
      </c>
      <c r="P287" s="123">
        <f t="shared" si="134"/>
        <v>540</v>
      </c>
      <c r="Q287" s="124">
        <f t="shared" si="130"/>
        <v>6480</v>
      </c>
      <c r="R287" s="124">
        <f t="shared" si="135"/>
        <v>1561.0319999999999</v>
      </c>
      <c r="S287" s="125">
        <f t="shared" si="131"/>
        <v>8041.0320000000002</v>
      </c>
      <c r="T287" s="390"/>
      <c r="U287" s="765"/>
    </row>
    <row r="288" spans="2:21" s="109" customFormat="1" x14ac:dyDescent="0.25">
      <c r="B288" s="720" t="s">
        <v>239</v>
      </c>
      <c r="C288" s="721" t="s">
        <v>61</v>
      </c>
      <c r="D288" s="721" t="s">
        <v>93</v>
      </c>
      <c r="E288" s="724">
        <v>9</v>
      </c>
      <c r="F288" s="724">
        <v>1</v>
      </c>
      <c r="G288" s="722">
        <v>835</v>
      </c>
      <c r="H288" s="692">
        <v>835</v>
      </c>
      <c r="I288" s="123">
        <v>0</v>
      </c>
      <c r="J288" s="823">
        <v>1</v>
      </c>
      <c r="K288" s="668">
        <f t="shared" si="124"/>
        <v>1060.45</v>
      </c>
      <c r="L288" s="5">
        <f t="shared" si="125"/>
        <v>835</v>
      </c>
      <c r="M288" s="122">
        <f t="shared" si="132"/>
        <v>0</v>
      </c>
      <c r="N288" s="123">
        <f t="shared" si="129"/>
        <v>0</v>
      </c>
      <c r="O288" s="5">
        <f t="shared" si="133"/>
        <v>0</v>
      </c>
      <c r="P288" s="123">
        <f>O288*J288</f>
        <v>0</v>
      </c>
      <c r="Q288" s="124">
        <f>P288*12</f>
        <v>0</v>
      </c>
      <c r="R288" s="124">
        <f t="shared" si="135"/>
        <v>0</v>
      </c>
      <c r="S288" s="125">
        <f>Q288+R288</f>
        <v>0</v>
      </c>
      <c r="T288" s="390"/>
      <c r="U288" s="765"/>
    </row>
    <row r="289" spans="2:21" s="109" customFormat="1" x14ac:dyDescent="0.25">
      <c r="B289" s="720" t="s">
        <v>235</v>
      </c>
      <c r="C289" s="721" t="s">
        <v>240</v>
      </c>
      <c r="D289" s="721" t="s">
        <v>122</v>
      </c>
      <c r="E289" s="721">
        <v>11</v>
      </c>
      <c r="F289" s="721">
        <v>3</v>
      </c>
      <c r="G289" s="722">
        <v>1382</v>
      </c>
      <c r="H289" s="723">
        <v>1382</v>
      </c>
      <c r="I289" s="123">
        <v>0</v>
      </c>
      <c r="J289" s="823">
        <v>1</v>
      </c>
      <c r="K289" s="668">
        <f t="shared" si="124"/>
        <v>1755.14</v>
      </c>
      <c r="L289" s="5">
        <f t="shared" si="125"/>
        <v>1382</v>
      </c>
      <c r="M289" s="122">
        <f t="shared" si="132"/>
        <v>0</v>
      </c>
      <c r="N289" s="123">
        <f t="shared" si="129"/>
        <v>0</v>
      </c>
      <c r="O289" s="5">
        <f t="shared" si="133"/>
        <v>0</v>
      </c>
      <c r="P289" s="123">
        <f t="shared" si="134"/>
        <v>0</v>
      </c>
      <c r="Q289" s="124">
        <f t="shared" si="130"/>
        <v>0</v>
      </c>
      <c r="R289" s="124">
        <f t="shared" si="135"/>
        <v>0</v>
      </c>
      <c r="S289" s="125">
        <f t="shared" si="131"/>
        <v>0</v>
      </c>
      <c r="T289" s="390"/>
      <c r="U289" s="765"/>
    </row>
    <row r="290" spans="2:21" s="109" customFormat="1" x14ac:dyDescent="0.25">
      <c r="B290" s="720" t="s">
        <v>241</v>
      </c>
      <c r="C290" s="721" t="s">
        <v>240</v>
      </c>
      <c r="D290" s="721" t="s">
        <v>25</v>
      </c>
      <c r="E290" s="721">
        <v>9</v>
      </c>
      <c r="F290" s="721">
        <v>2</v>
      </c>
      <c r="G290" s="722">
        <v>1015</v>
      </c>
      <c r="H290" s="723">
        <v>800</v>
      </c>
      <c r="I290" s="123">
        <v>0</v>
      </c>
      <c r="J290" s="823">
        <v>1</v>
      </c>
      <c r="K290" s="668">
        <f t="shared" si="124"/>
        <v>1016</v>
      </c>
      <c r="L290" s="5">
        <f t="shared" si="125"/>
        <v>1015</v>
      </c>
      <c r="M290" s="122">
        <f t="shared" si="132"/>
        <v>0</v>
      </c>
      <c r="N290" s="123">
        <f t="shared" si="129"/>
        <v>0</v>
      </c>
      <c r="O290" s="5">
        <f t="shared" si="133"/>
        <v>215</v>
      </c>
      <c r="P290" s="123">
        <f t="shared" si="134"/>
        <v>215</v>
      </c>
      <c r="Q290" s="124">
        <f t="shared" si="130"/>
        <v>2580</v>
      </c>
      <c r="R290" s="124">
        <f t="shared" si="135"/>
        <v>621.52200000000005</v>
      </c>
      <c r="S290" s="125">
        <f t="shared" si="131"/>
        <v>3201.5219999999999</v>
      </c>
      <c r="T290" s="390"/>
      <c r="U290" s="765"/>
    </row>
    <row r="291" spans="2:21" s="109" customFormat="1" x14ac:dyDescent="0.25">
      <c r="B291" s="725" t="s">
        <v>242</v>
      </c>
      <c r="C291" s="724" t="s">
        <v>236</v>
      </c>
      <c r="D291" s="721" t="s">
        <v>45</v>
      </c>
      <c r="E291" s="724">
        <v>12</v>
      </c>
      <c r="F291" s="724">
        <v>3</v>
      </c>
      <c r="G291" s="722">
        <v>1647</v>
      </c>
      <c r="H291" s="723">
        <v>982</v>
      </c>
      <c r="I291" s="123">
        <v>0</v>
      </c>
      <c r="J291" s="823">
        <v>1</v>
      </c>
      <c r="K291" s="668">
        <f t="shared" si="124"/>
        <v>1247.1400000000001</v>
      </c>
      <c r="L291" s="5">
        <f t="shared" si="125"/>
        <v>1247.1400000000001</v>
      </c>
      <c r="M291" s="122">
        <f t="shared" si="132"/>
        <v>0</v>
      </c>
      <c r="N291" s="123">
        <f t="shared" si="129"/>
        <v>0</v>
      </c>
      <c r="O291" s="5">
        <f t="shared" si="133"/>
        <v>265.1400000000001</v>
      </c>
      <c r="P291" s="123">
        <f t="shared" si="134"/>
        <v>265.1400000000001</v>
      </c>
      <c r="Q291" s="124">
        <f t="shared" si="130"/>
        <v>3181.6800000000012</v>
      </c>
      <c r="R291" s="124">
        <f t="shared" si="135"/>
        <v>766.46671200000026</v>
      </c>
      <c r="S291" s="125">
        <f t="shared" si="131"/>
        <v>3948.1467120000016</v>
      </c>
      <c r="T291" s="390"/>
      <c r="U291" s="765"/>
    </row>
    <row r="292" spans="2:21" s="109" customFormat="1" x14ac:dyDescent="0.25">
      <c r="B292" s="720" t="s">
        <v>242</v>
      </c>
      <c r="C292" s="721" t="s">
        <v>236</v>
      </c>
      <c r="D292" s="721" t="s">
        <v>45</v>
      </c>
      <c r="E292" s="721">
        <v>12</v>
      </c>
      <c r="F292" s="721">
        <v>3</v>
      </c>
      <c r="G292" s="722">
        <v>1647</v>
      </c>
      <c r="H292" s="723">
        <v>933</v>
      </c>
      <c r="I292" s="123">
        <v>0</v>
      </c>
      <c r="J292" s="823">
        <v>4</v>
      </c>
      <c r="K292" s="668">
        <f t="shared" si="124"/>
        <v>1184.9100000000001</v>
      </c>
      <c r="L292" s="5">
        <f t="shared" si="125"/>
        <v>1184.9100000000001</v>
      </c>
      <c r="M292" s="122">
        <f t="shared" si="132"/>
        <v>0</v>
      </c>
      <c r="N292" s="123">
        <f t="shared" si="129"/>
        <v>0</v>
      </c>
      <c r="O292" s="5">
        <f>L292-H292+M292</f>
        <v>251.91000000000008</v>
      </c>
      <c r="P292" s="123">
        <f t="shared" si="134"/>
        <v>1007.6400000000003</v>
      </c>
      <c r="Q292" s="124">
        <f t="shared" si="130"/>
        <v>12091.680000000004</v>
      </c>
      <c r="R292" s="124">
        <f t="shared" si="135"/>
        <v>2912.8857120000011</v>
      </c>
      <c r="S292" s="125">
        <f t="shared" si="131"/>
        <v>15004.565712000005</v>
      </c>
      <c r="T292" s="390"/>
      <c r="U292" s="765"/>
    </row>
    <row r="293" spans="2:21" s="109" customFormat="1" x14ac:dyDescent="0.25">
      <c r="B293" s="720" t="s">
        <v>243</v>
      </c>
      <c r="C293" s="721" t="s">
        <v>236</v>
      </c>
      <c r="D293" s="721" t="s">
        <v>24</v>
      </c>
      <c r="E293" s="721">
        <v>10</v>
      </c>
      <c r="F293" s="721">
        <v>3</v>
      </c>
      <c r="G293" s="722">
        <v>1287</v>
      </c>
      <c r="H293" s="692">
        <v>899</v>
      </c>
      <c r="I293" s="123">
        <v>0</v>
      </c>
      <c r="J293" s="823">
        <v>7</v>
      </c>
      <c r="K293" s="668">
        <f t="shared" si="124"/>
        <v>1141.73</v>
      </c>
      <c r="L293" s="5">
        <f t="shared" si="125"/>
        <v>1141.73</v>
      </c>
      <c r="M293" s="122">
        <f t="shared" si="132"/>
        <v>0</v>
      </c>
      <c r="N293" s="123">
        <f t="shared" si="129"/>
        <v>0</v>
      </c>
      <c r="O293" s="5">
        <f t="shared" si="133"/>
        <v>242.73000000000002</v>
      </c>
      <c r="P293" s="123">
        <f t="shared" si="134"/>
        <v>1699.1100000000001</v>
      </c>
      <c r="Q293" s="124">
        <f t="shared" si="130"/>
        <v>20389.32</v>
      </c>
      <c r="R293" s="124">
        <f t="shared" si="135"/>
        <v>4911.7871880000002</v>
      </c>
      <c r="S293" s="125">
        <f t="shared" si="131"/>
        <v>25301.107188000002</v>
      </c>
      <c r="T293" s="390"/>
      <c r="U293" s="765"/>
    </row>
    <row r="294" spans="2:21" s="109" customFormat="1" x14ac:dyDescent="0.25">
      <c r="B294" s="720" t="s">
        <v>243</v>
      </c>
      <c r="C294" s="726" t="s">
        <v>236</v>
      </c>
      <c r="D294" s="721" t="s">
        <v>24</v>
      </c>
      <c r="E294" s="495">
        <v>10</v>
      </c>
      <c r="F294" s="726">
        <v>3</v>
      </c>
      <c r="G294" s="722">
        <v>1287</v>
      </c>
      <c r="H294" s="723">
        <v>849</v>
      </c>
      <c r="I294" s="123">
        <v>0</v>
      </c>
      <c r="J294" s="823">
        <v>4</v>
      </c>
      <c r="K294" s="668">
        <f t="shared" si="124"/>
        <v>1078.23</v>
      </c>
      <c r="L294" s="5">
        <f t="shared" si="125"/>
        <v>1078.23</v>
      </c>
      <c r="M294" s="122">
        <f t="shared" si="132"/>
        <v>0</v>
      </c>
      <c r="N294" s="123">
        <f t="shared" si="129"/>
        <v>0</v>
      </c>
      <c r="O294" s="5">
        <f t="shared" si="133"/>
        <v>229.23000000000002</v>
      </c>
      <c r="P294" s="123">
        <f t="shared" si="134"/>
        <v>916.92000000000007</v>
      </c>
      <c r="Q294" s="124">
        <f t="shared" si="130"/>
        <v>11003.04</v>
      </c>
      <c r="R294" s="124">
        <f t="shared" si="135"/>
        <v>2650.6323360000001</v>
      </c>
      <c r="S294" s="125">
        <f t="shared" si="131"/>
        <v>13653.672336000001</v>
      </c>
      <c r="T294" s="390"/>
      <c r="U294" s="765"/>
    </row>
    <row r="295" spans="2:21" s="109" customFormat="1" x14ac:dyDescent="0.25">
      <c r="B295" s="720" t="s">
        <v>243</v>
      </c>
      <c r="C295" s="727" t="s">
        <v>236</v>
      </c>
      <c r="D295" s="721" t="s">
        <v>24</v>
      </c>
      <c r="E295" s="721">
        <v>10</v>
      </c>
      <c r="F295" s="721">
        <v>2</v>
      </c>
      <c r="G295" s="722">
        <v>1115</v>
      </c>
      <c r="H295" s="723">
        <v>780</v>
      </c>
      <c r="I295" s="123">
        <v>0</v>
      </c>
      <c r="J295" s="823">
        <v>1</v>
      </c>
      <c r="K295" s="668">
        <f t="shared" si="124"/>
        <v>990.6</v>
      </c>
      <c r="L295" s="5">
        <f t="shared" si="125"/>
        <v>990.6</v>
      </c>
      <c r="M295" s="122">
        <f t="shared" si="132"/>
        <v>0</v>
      </c>
      <c r="N295" s="123">
        <f t="shared" si="129"/>
        <v>0</v>
      </c>
      <c r="O295" s="5">
        <f t="shared" si="133"/>
        <v>210.60000000000002</v>
      </c>
      <c r="P295" s="123">
        <f t="shared" si="134"/>
        <v>210.60000000000002</v>
      </c>
      <c r="Q295" s="124">
        <f t="shared" si="130"/>
        <v>2527.2000000000003</v>
      </c>
      <c r="R295" s="124">
        <f t="shared" si="135"/>
        <v>608.80248000000006</v>
      </c>
      <c r="S295" s="125">
        <f t="shared" si="131"/>
        <v>3136.0024800000001</v>
      </c>
      <c r="T295" s="390"/>
      <c r="U295" s="765"/>
    </row>
    <row r="296" spans="2:21" s="109" customFormat="1" x14ac:dyDescent="0.25">
      <c r="B296" s="720" t="s">
        <v>235</v>
      </c>
      <c r="C296" s="721" t="s">
        <v>244</v>
      </c>
      <c r="D296" s="721" t="s">
        <v>43</v>
      </c>
      <c r="E296" s="721">
        <v>12</v>
      </c>
      <c r="F296" s="721">
        <v>3</v>
      </c>
      <c r="G296" s="722">
        <v>1647</v>
      </c>
      <c r="H296" s="723">
        <v>1371</v>
      </c>
      <c r="I296" s="123">
        <v>0</v>
      </c>
      <c r="J296" s="823">
        <v>5</v>
      </c>
      <c r="K296" s="668">
        <f t="shared" si="124"/>
        <v>1741.17</v>
      </c>
      <c r="L296" s="5">
        <f t="shared" si="125"/>
        <v>1647</v>
      </c>
      <c r="M296" s="122">
        <f t="shared" si="132"/>
        <v>0</v>
      </c>
      <c r="N296" s="123">
        <f t="shared" si="129"/>
        <v>0</v>
      </c>
      <c r="O296" s="5">
        <f t="shared" si="133"/>
        <v>276</v>
      </c>
      <c r="P296" s="123">
        <f t="shared" si="134"/>
        <v>1380</v>
      </c>
      <c r="Q296" s="124">
        <f t="shared" si="130"/>
        <v>16560</v>
      </c>
      <c r="R296" s="124">
        <f t="shared" si="135"/>
        <v>3989.3040000000001</v>
      </c>
      <c r="S296" s="125">
        <f t="shared" si="131"/>
        <v>20549.304</v>
      </c>
      <c r="T296" s="390"/>
      <c r="U296" s="765"/>
    </row>
    <row r="297" spans="2:21" s="109" customFormat="1" x14ac:dyDescent="0.25">
      <c r="B297" s="720" t="s">
        <v>235</v>
      </c>
      <c r="C297" s="495" t="s">
        <v>244</v>
      </c>
      <c r="D297" s="721" t="s">
        <v>43</v>
      </c>
      <c r="E297" s="728">
        <v>12</v>
      </c>
      <c r="F297" s="729">
        <v>3</v>
      </c>
      <c r="G297" s="722">
        <v>1647</v>
      </c>
      <c r="H297" s="723">
        <v>1292</v>
      </c>
      <c r="I297" s="123">
        <v>0</v>
      </c>
      <c r="J297" s="823">
        <v>1</v>
      </c>
      <c r="K297" s="668">
        <f t="shared" si="124"/>
        <v>1640.84</v>
      </c>
      <c r="L297" s="5">
        <f t="shared" si="125"/>
        <v>1640.84</v>
      </c>
      <c r="M297" s="122">
        <f t="shared" si="132"/>
        <v>0</v>
      </c>
      <c r="N297" s="123">
        <f t="shared" si="129"/>
        <v>0</v>
      </c>
      <c r="O297" s="5">
        <f t="shared" si="133"/>
        <v>348.83999999999992</v>
      </c>
      <c r="P297" s="123">
        <f t="shared" si="134"/>
        <v>348.83999999999992</v>
      </c>
      <c r="Q297" s="124">
        <f t="shared" si="130"/>
        <v>4186.079999999999</v>
      </c>
      <c r="R297" s="124">
        <f t="shared" si="135"/>
        <v>1008.4266719999998</v>
      </c>
      <c r="S297" s="125">
        <f t="shared" si="131"/>
        <v>5194.5066719999986</v>
      </c>
      <c r="T297" s="390"/>
      <c r="U297" s="765"/>
    </row>
    <row r="298" spans="2:21" s="109" customFormat="1" x14ac:dyDescent="0.25">
      <c r="B298" s="720" t="s">
        <v>245</v>
      </c>
      <c r="C298" s="727" t="s">
        <v>244</v>
      </c>
      <c r="D298" s="721" t="s">
        <v>45</v>
      </c>
      <c r="E298" s="730">
        <v>11</v>
      </c>
      <c r="F298" s="730">
        <v>3</v>
      </c>
      <c r="G298" s="722">
        <v>1382</v>
      </c>
      <c r="H298" s="723">
        <v>1010</v>
      </c>
      <c r="I298" s="123">
        <v>0</v>
      </c>
      <c r="J298" s="823">
        <v>1</v>
      </c>
      <c r="K298" s="668">
        <f t="shared" si="124"/>
        <v>1282.7</v>
      </c>
      <c r="L298" s="5">
        <f t="shared" si="125"/>
        <v>1282.7</v>
      </c>
      <c r="M298" s="122">
        <f t="shared" si="132"/>
        <v>0</v>
      </c>
      <c r="N298" s="123">
        <f t="shared" si="129"/>
        <v>0</v>
      </c>
      <c r="O298" s="5">
        <f t="shared" si="133"/>
        <v>272.70000000000005</v>
      </c>
      <c r="P298" s="123">
        <f t="shared" si="134"/>
        <v>272.70000000000005</v>
      </c>
      <c r="Q298" s="124">
        <f t="shared" si="130"/>
        <v>3272.4000000000005</v>
      </c>
      <c r="R298" s="124">
        <f t="shared" si="135"/>
        <v>788.32116000000019</v>
      </c>
      <c r="S298" s="125">
        <f t="shared" si="131"/>
        <v>4060.721160000001</v>
      </c>
      <c r="T298" s="390"/>
      <c r="U298" s="765"/>
    </row>
    <row r="299" spans="2:21" s="109" customFormat="1" x14ac:dyDescent="0.25">
      <c r="B299" s="720" t="s">
        <v>245</v>
      </c>
      <c r="C299" s="726" t="s">
        <v>244</v>
      </c>
      <c r="D299" s="721" t="s">
        <v>45</v>
      </c>
      <c r="E299" s="495">
        <v>11</v>
      </c>
      <c r="F299" s="495">
        <v>3</v>
      </c>
      <c r="G299" s="722">
        <v>1382</v>
      </c>
      <c r="H299" s="723">
        <v>982</v>
      </c>
      <c r="I299" s="123">
        <v>0</v>
      </c>
      <c r="J299" s="823">
        <v>2</v>
      </c>
      <c r="K299" s="668">
        <f t="shared" si="124"/>
        <v>1247.1400000000001</v>
      </c>
      <c r="L299" s="5">
        <f t="shared" si="125"/>
        <v>1247.1400000000001</v>
      </c>
      <c r="M299" s="122">
        <f t="shared" si="132"/>
        <v>0</v>
      </c>
      <c r="N299" s="123">
        <f t="shared" si="129"/>
        <v>0</v>
      </c>
      <c r="O299" s="5">
        <f t="shared" si="133"/>
        <v>265.1400000000001</v>
      </c>
      <c r="P299" s="123">
        <f t="shared" si="134"/>
        <v>530.2800000000002</v>
      </c>
      <c r="Q299" s="124">
        <f t="shared" si="130"/>
        <v>6363.3600000000024</v>
      </c>
      <c r="R299" s="124">
        <f t="shared" si="135"/>
        <v>1532.9334240000005</v>
      </c>
      <c r="S299" s="125">
        <f t="shared" si="131"/>
        <v>7896.2934240000031</v>
      </c>
      <c r="T299" s="390"/>
      <c r="U299" s="765"/>
    </row>
    <row r="300" spans="2:21" s="109" customFormat="1" ht="25.5" x14ac:dyDescent="0.25">
      <c r="B300" s="720" t="s">
        <v>246</v>
      </c>
      <c r="C300" s="726" t="s">
        <v>244</v>
      </c>
      <c r="D300" s="721" t="s">
        <v>45</v>
      </c>
      <c r="E300" s="495">
        <v>11</v>
      </c>
      <c r="F300" s="726">
        <v>3</v>
      </c>
      <c r="G300" s="722">
        <v>1382</v>
      </c>
      <c r="H300" s="723">
        <v>982</v>
      </c>
      <c r="I300" s="123">
        <v>0</v>
      </c>
      <c r="J300" s="823">
        <v>2</v>
      </c>
      <c r="K300" s="668">
        <f t="shared" si="124"/>
        <v>1247.1400000000001</v>
      </c>
      <c r="L300" s="5">
        <f t="shared" si="125"/>
        <v>1247.1400000000001</v>
      </c>
      <c r="M300" s="122">
        <f t="shared" si="132"/>
        <v>0</v>
      </c>
      <c r="N300" s="123">
        <f t="shared" si="129"/>
        <v>0</v>
      </c>
      <c r="O300" s="5">
        <f t="shared" si="133"/>
        <v>265.1400000000001</v>
      </c>
      <c r="P300" s="123">
        <f t="shared" si="134"/>
        <v>530.2800000000002</v>
      </c>
      <c r="Q300" s="124">
        <f t="shared" si="130"/>
        <v>6363.3600000000024</v>
      </c>
      <c r="R300" s="124">
        <f t="shared" si="135"/>
        <v>1532.9334240000005</v>
      </c>
      <c r="S300" s="125">
        <f t="shared" si="131"/>
        <v>7896.2934240000031</v>
      </c>
      <c r="T300" s="390"/>
      <c r="U300" s="765"/>
    </row>
    <row r="301" spans="2:21" s="109" customFormat="1" ht="25.5" x14ac:dyDescent="0.25">
      <c r="B301" s="725" t="s">
        <v>246</v>
      </c>
      <c r="C301" s="721" t="s">
        <v>244</v>
      </c>
      <c r="D301" s="721" t="s">
        <v>45</v>
      </c>
      <c r="E301" s="724">
        <v>11</v>
      </c>
      <c r="F301" s="724">
        <v>3</v>
      </c>
      <c r="G301" s="722">
        <v>1382</v>
      </c>
      <c r="H301" s="692">
        <v>933</v>
      </c>
      <c r="I301" s="123">
        <v>0</v>
      </c>
      <c r="J301" s="823">
        <v>1</v>
      </c>
      <c r="K301" s="668">
        <f t="shared" si="124"/>
        <v>1184.9100000000001</v>
      </c>
      <c r="L301" s="5">
        <f t="shared" si="125"/>
        <v>1184.9100000000001</v>
      </c>
      <c r="M301" s="122">
        <f t="shared" si="132"/>
        <v>0</v>
      </c>
      <c r="N301" s="123">
        <f t="shared" si="129"/>
        <v>0</v>
      </c>
      <c r="O301" s="5">
        <f t="shared" si="133"/>
        <v>251.91000000000008</v>
      </c>
      <c r="P301" s="123">
        <f t="shared" si="134"/>
        <v>251.91000000000008</v>
      </c>
      <c r="Q301" s="124">
        <f t="shared" si="130"/>
        <v>3022.920000000001</v>
      </c>
      <c r="R301" s="124">
        <f t="shared" si="135"/>
        <v>728.22142800000029</v>
      </c>
      <c r="S301" s="125">
        <f t="shared" si="131"/>
        <v>3751.1414280000013</v>
      </c>
      <c r="T301" s="390"/>
      <c r="U301" s="765"/>
    </row>
    <row r="302" spans="2:21" s="109" customFormat="1" x14ac:dyDescent="0.25">
      <c r="B302" s="720" t="s">
        <v>245</v>
      </c>
      <c r="C302" s="721" t="s">
        <v>244</v>
      </c>
      <c r="D302" s="721" t="s">
        <v>45</v>
      </c>
      <c r="E302" s="721">
        <v>11</v>
      </c>
      <c r="F302" s="721">
        <v>3</v>
      </c>
      <c r="G302" s="722">
        <v>1382</v>
      </c>
      <c r="H302" s="723">
        <v>900</v>
      </c>
      <c r="I302" s="123">
        <v>0</v>
      </c>
      <c r="J302" s="823">
        <v>1</v>
      </c>
      <c r="K302" s="668">
        <f t="shared" si="124"/>
        <v>1143</v>
      </c>
      <c r="L302" s="5">
        <f t="shared" si="125"/>
        <v>1143</v>
      </c>
      <c r="M302" s="122">
        <f t="shared" si="132"/>
        <v>0</v>
      </c>
      <c r="N302" s="123">
        <f t="shared" si="129"/>
        <v>0</v>
      </c>
      <c r="O302" s="5">
        <f t="shared" si="133"/>
        <v>243</v>
      </c>
      <c r="P302" s="123">
        <f t="shared" si="134"/>
        <v>243</v>
      </c>
      <c r="Q302" s="124">
        <f t="shared" si="130"/>
        <v>2916</v>
      </c>
      <c r="R302" s="124">
        <f t="shared" si="135"/>
        <v>702.46439999999996</v>
      </c>
      <c r="S302" s="125">
        <f t="shared" si="131"/>
        <v>3618.4643999999998</v>
      </c>
      <c r="T302" s="390"/>
      <c r="U302" s="765"/>
    </row>
    <row r="303" spans="2:21" s="109" customFormat="1" x14ac:dyDescent="0.25">
      <c r="B303" s="720" t="s">
        <v>247</v>
      </c>
      <c r="C303" s="721" t="s">
        <v>244</v>
      </c>
      <c r="D303" s="721" t="s">
        <v>127</v>
      </c>
      <c r="E303" s="721">
        <v>10</v>
      </c>
      <c r="F303" s="721">
        <v>3</v>
      </c>
      <c r="G303" s="722">
        <v>1287</v>
      </c>
      <c r="H303" s="723">
        <v>842</v>
      </c>
      <c r="I303" s="123">
        <v>0</v>
      </c>
      <c r="J303" s="823">
        <v>2</v>
      </c>
      <c r="K303" s="668">
        <f t="shared" si="124"/>
        <v>1069.3399999999999</v>
      </c>
      <c r="L303" s="5">
        <f t="shared" si="125"/>
        <v>1069.3399999999999</v>
      </c>
      <c r="M303" s="122">
        <f t="shared" si="132"/>
        <v>0</v>
      </c>
      <c r="N303" s="123">
        <f t="shared" si="129"/>
        <v>0</v>
      </c>
      <c r="O303" s="5">
        <f t="shared" si="133"/>
        <v>227.33999999999992</v>
      </c>
      <c r="P303" s="123">
        <f t="shared" si="134"/>
        <v>454.67999999999984</v>
      </c>
      <c r="Q303" s="124">
        <f t="shared" si="130"/>
        <v>5456.159999999998</v>
      </c>
      <c r="R303" s="124">
        <f t="shared" si="135"/>
        <v>1314.3889439999996</v>
      </c>
      <c r="S303" s="125">
        <f t="shared" si="131"/>
        <v>6770.5489439999974</v>
      </c>
      <c r="T303" s="390"/>
      <c r="U303" s="765"/>
    </row>
    <row r="304" spans="2:21" s="109" customFormat="1" x14ac:dyDescent="0.25">
      <c r="B304" s="720" t="s">
        <v>248</v>
      </c>
      <c r="C304" s="721" t="s">
        <v>244</v>
      </c>
      <c r="D304" s="721" t="s">
        <v>127</v>
      </c>
      <c r="E304" s="721">
        <v>10</v>
      </c>
      <c r="F304" s="721">
        <v>3</v>
      </c>
      <c r="G304" s="722">
        <v>1287</v>
      </c>
      <c r="H304" s="723">
        <v>801</v>
      </c>
      <c r="I304" s="123">
        <v>0</v>
      </c>
      <c r="J304" s="823">
        <v>5</v>
      </c>
      <c r="K304" s="668">
        <f t="shared" si="124"/>
        <v>1017.27</v>
      </c>
      <c r="L304" s="5">
        <f t="shared" si="125"/>
        <v>1017.27</v>
      </c>
      <c r="M304" s="122">
        <f t="shared" si="132"/>
        <v>0</v>
      </c>
      <c r="N304" s="123">
        <f t="shared" si="129"/>
        <v>0</v>
      </c>
      <c r="O304" s="5">
        <f t="shared" si="133"/>
        <v>216.26999999999998</v>
      </c>
      <c r="P304" s="123">
        <f t="shared" si="134"/>
        <v>1081.3499999999999</v>
      </c>
      <c r="Q304" s="124">
        <f t="shared" si="130"/>
        <v>12976.199999999999</v>
      </c>
      <c r="R304" s="124">
        <f t="shared" si="135"/>
        <v>3125.9665799999998</v>
      </c>
      <c r="S304" s="125">
        <f t="shared" si="131"/>
        <v>16102.166579999999</v>
      </c>
      <c r="T304" s="390"/>
      <c r="U304" s="765"/>
    </row>
    <row r="305" spans="2:21" s="109" customFormat="1" x14ac:dyDescent="0.25">
      <c r="B305" s="720" t="s">
        <v>248</v>
      </c>
      <c r="C305" s="721" t="s">
        <v>244</v>
      </c>
      <c r="D305" s="721" t="s">
        <v>127</v>
      </c>
      <c r="E305" s="721">
        <v>10</v>
      </c>
      <c r="F305" s="721">
        <v>3</v>
      </c>
      <c r="G305" s="722">
        <v>1287</v>
      </c>
      <c r="H305" s="723">
        <v>754</v>
      </c>
      <c r="I305" s="123">
        <v>0</v>
      </c>
      <c r="J305" s="823">
        <v>1</v>
      </c>
      <c r="K305" s="668">
        <f t="shared" si="124"/>
        <v>957.58</v>
      </c>
      <c r="L305" s="5">
        <f t="shared" si="125"/>
        <v>957.58</v>
      </c>
      <c r="M305" s="122">
        <f t="shared" si="132"/>
        <v>0</v>
      </c>
      <c r="N305" s="123">
        <f t="shared" si="129"/>
        <v>0</v>
      </c>
      <c r="O305" s="5">
        <f t="shared" si="133"/>
        <v>203.58000000000004</v>
      </c>
      <c r="P305" s="123">
        <f t="shared" si="134"/>
        <v>203.58000000000004</v>
      </c>
      <c r="Q305" s="124">
        <f t="shared" si="130"/>
        <v>2442.9600000000005</v>
      </c>
      <c r="R305" s="124">
        <f t="shared" si="135"/>
        <v>588.50906400000008</v>
      </c>
      <c r="S305" s="125">
        <f t="shared" si="131"/>
        <v>3031.4690640000008</v>
      </c>
      <c r="T305" s="390"/>
      <c r="U305" s="765"/>
    </row>
    <row r="306" spans="2:21" s="109" customFormat="1" x14ac:dyDescent="0.25">
      <c r="B306" s="720" t="s">
        <v>248</v>
      </c>
      <c r="C306" s="721" t="s">
        <v>244</v>
      </c>
      <c r="D306" s="721" t="s">
        <v>127</v>
      </c>
      <c r="E306" s="721">
        <v>10</v>
      </c>
      <c r="F306" s="721">
        <v>3</v>
      </c>
      <c r="G306" s="722">
        <v>1287</v>
      </c>
      <c r="H306" s="723">
        <v>751</v>
      </c>
      <c r="I306" s="123">
        <v>0</v>
      </c>
      <c r="J306" s="823">
        <v>2</v>
      </c>
      <c r="K306" s="668">
        <f t="shared" si="124"/>
        <v>953.77</v>
      </c>
      <c r="L306" s="5">
        <f t="shared" si="125"/>
        <v>953.77</v>
      </c>
      <c r="M306" s="122">
        <f t="shared" si="132"/>
        <v>0</v>
      </c>
      <c r="N306" s="123">
        <f t="shared" si="129"/>
        <v>0</v>
      </c>
      <c r="O306" s="5">
        <f t="shared" si="133"/>
        <v>202.76999999999998</v>
      </c>
      <c r="P306" s="123">
        <f t="shared" si="134"/>
        <v>405.53999999999996</v>
      </c>
      <c r="Q306" s="124">
        <f t="shared" si="130"/>
        <v>4866.4799999999996</v>
      </c>
      <c r="R306" s="124">
        <f t="shared" si="135"/>
        <v>1172.335032</v>
      </c>
      <c r="S306" s="125">
        <f t="shared" si="131"/>
        <v>6038.8150319999995</v>
      </c>
      <c r="T306" s="390"/>
      <c r="U306" s="765"/>
    </row>
    <row r="307" spans="2:21" s="109" customFormat="1" x14ac:dyDescent="0.25">
      <c r="B307" s="720" t="s">
        <v>248</v>
      </c>
      <c r="C307" s="721" t="s">
        <v>244</v>
      </c>
      <c r="D307" s="721" t="s">
        <v>127</v>
      </c>
      <c r="E307" s="721">
        <v>10</v>
      </c>
      <c r="F307" s="721">
        <v>3</v>
      </c>
      <c r="G307" s="722">
        <v>1287</v>
      </c>
      <c r="H307" s="723">
        <v>710</v>
      </c>
      <c r="I307" s="123">
        <v>0</v>
      </c>
      <c r="J307" s="823">
        <v>1</v>
      </c>
      <c r="K307" s="668">
        <f t="shared" si="124"/>
        <v>901.7</v>
      </c>
      <c r="L307" s="5">
        <f t="shared" si="125"/>
        <v>901.7</v>
      </c>
      <c r="M307" s="122">
        <f t="shared" si="132"/>
        <v>0</v>
      </c>
      <c r="N307" s="123">
        <f t="shared" si="129"/>
        <v>0</v>
      </c>
      <c r="O307" s="5">
        <f t="shared" si="133"/>
        <v>191.70000000000005</v>
      </c>
      <c r="P307" s="123">
        <f t="shared" si="134"/>
        <v>191.70000000000005</v>
      </c>
      <c r="Q307" s="124">
        <f t="shared" si="130"/>
        <v>2300.4000000000005</v>
      </c>
      <c r="R307" s="124">
        <f t="shared" si="135"/>
        <v>554.16636000000017</v>
      </c>
      <c r="S307" s="125">
        <f t="shared" si="131"/>
        <v>2854.5663600000007</v>
      </c>
      <c r="T307" s="390"/>
      <c r="U307" s="765"/>
    </row>
    <row r="308" spans="2:21" s="109" customFormat="1" x14ac:dyDescent="0.25">
      <c r="B308" s="720" t="s">
        <v>247</v>
      </c>
      <c r="C308" s="721" t="s">
        <v>244</v>
      </c>
      <c r="D308" s="721" t="s">
        <v>127</v>
      </c>
      <c r="E308" s="721">
        <v>10</v>
      </c>
      <c r="F308" s="721">
        <v>2</v>
      </c>
      <c r="G308" s="722">
        <v>1115</v>
      </c>
      <c r="H308" s="723">
        <v>700</v>
      </c>
      <c r="I308" s="123">
        <v>0</v>
      </c>
      <c r="J308" s="823">
        <v>1</v>
      </c>
      <c r="K308" s="668">
        <f t="shared" si="124"/>
        <v>889</v>
      </c>
      <c r="L308" s="5">
        <f t="shared" si="125"/>
        <v>889</v>
      </c>
      <c r="M308" s="122">
        <f t="shared" si="132"/>
        <v>0</v>
      </c>
      <c r="N308" s="123">
        <f t="shared" si="129"/>
        <v>0</v>
      </c>
      <c r="O308" s="5">
        <f t="shared" si="133"/>
        <v>189</v>
      </c>
      <c r="P308" s="123">
        <f t="shared" si="134"/>
        <v>189</v>
      </c>
      <c r="Q308" s="124">
        <f t="shared" si="130"/>
        <v>2268</v>
      </c>
      <c r="R308" s="124">
        <f t="shared" si="135"/>
        <v>546.36120000000005</v>
      </c>
      <c r="S308" s="125">
        <f t="shared" si="131"/>
        <v>2814.3612000000003</v>
      </c>
      <c r="T308" s="390"/>
      <c r="U308" s="765"/>
    </row>
    <row r="309" spans="2:21" s="109" customFormat="1" x14ac:dyDescent="0.25">
      <c r="B309" s="720" t="s">
        <v>248</v>
      </c>
      <c r="C309" s="721" t="s">
        <v>244</v>
      </c>
      <c r="D309" s="721" t="s">
        <v>127</v>
      </c>
      <c r="E309" s="721">
        <v>10</v>
      </c>
      <c r="F309" s="721">
        <v>1</v>
      </c>
      <c r="G309" s="722">
        <v>940</v>
      </c>
      <c r="H309" s="723">
        <v>650</v>
      </c>
      <c r="I309" s="123">
        <v>0</v>
      </c>
      <c r="J309" s="823">
        <v>1</v>
      </c>
      <c r="K309" s="668">
        <f t="shared" si="124"/>
        <v>825.5</v>
      </c>
      <c r="L309" s="5">
        <f t="shared" si="125"/>
        <v>825.5</v>
      </c>
      <c r="M309" s="122">
        <f t="shared" si="132"/>
        <v>0</v>
      </c>
      <c r="N309" s="123">
        <f t="shared" si="129"/>
        <v>0</v>
      </c>
      <c r="O309" s="5">
        <f t="shared" si="133"/>
        <v>175.5</v>
      </c>
      <c r="P309" s="123">
        <f t="shared" si="134"/>
        <v>175.5</v>
      </c>
      <c r="Q309" s="124">
        <f t="shared" si="130"/>
        <v>2106</v>
      </c>
      <c r="R309" s="124">
        <f t="shared" si="135"/>
        <v>507.33539999999999</v>
      </c>
      <c r="S309" s="125">
        <f t="shared" si="131"/>
        <v>2613.3353999999999</v>
      </c>
      <c r="T309" s="390"/>
      <c r="U309" s="765"/>
    </row>
    <row r="310" spans="2:21" s="52" customFormat="1" x14ac:dyDescent="0.25">
      <c r="B310" s="407" t="s">
        <v>249</v>
      </c>
      <c r="C310" s="54"/>
      <c r="D310" s="54"/>
      <c r="E310" s="54"/>
      <c r="F310" s="54"/>
      <c r="G310" s="56"/>
      <c r="H310" s="6"/>
      <c r="I310" s="57"/>
      <c r="J310" s="405">
        <f>SUM(J282:J309)</f>
        <v>65</v>
      </c>
      <c r="K310" s="58"/>
      <c r="L310" s="7"/>
      <c r="M310" s="59"/>
      <c r="N310" s="57"/>
      <c r="O310" s="7"/>
      <c r="P310" s="57"/>
      <c r="Q310" s="60">
        <f t="shared" ref="Q310:R310" si="136">SUM(Q282:Q309)</f>
        <v>191750.64000000004</v>
      </c>
      <c r="R310" s="60">
        <f t="shared" si="136"/>
        <v>46192.729176000008</v>
      </c>
      <c r="S310" s="61">
        <f>SUM(S282:S309)</f>
        <v>237943.36917600007</v>
      </c>
      <c r="T310" s="390"/>
      <c r="U310" s="406"/>
    </row>
    <row r="311" spans="2:21" s="109" customFormat="1" x14ac:dyDescent="0.25">
      <c r="B311" s="110" t="s">
        <v>40</v>
      </c>
      <c r="C311" s="111"/>
      <c r="D311" s="111"/>
      <c r="E311" s="111"/>
      <c r="F311" s="111"/>
      <c r="G311" s="792"/>
      <c r="H311" s="113"/>
      <c r="I311" s="117"/>
      <c r="J311" s="793"/>
      <c r="K311" s="116"/>
      <c r="L311" s="117"/>
      <c r="M311" s="118"/>
      <c r="N311" s="117"/>
      <c r="O311" s="117"/>
      <c r="P311" s="117"/>
      <c r="Q311" s="119"/>
      <c r="R311" s="119"/>
      <c r="S311" s="120"/>
      <c r="T311" s="390"/>
      <c r="U311" s="765"/>
    </row>
    <row r="312" spans="2:21" s="109" customFormat="1" ht="25.5" x14ac:dyDescent="0.25">
      <c r="B312" s="720" t="s">
        <v>250</v>
      </c>
      <c r="C312" s="721" t="s">
        <v>244</v>
      </c>
      <c r="D312" s="721" t="s">
        <v>111</v>
      </c>
      <c r="E312" s="721">
        <v>14</v>
      </c>
      <c r="F312" s="721">
        <v>3</v>
      </c>
      <c r="G312" s="722">
        <v>2264</v>
      </c>
      <c r="H312" s="723">
        <v>1450</v>
      </c>
      <c r="I312" s="773">
        <v>0</v>
      </c>
      <c r="J312" s="823">
        <v>1</v>
      </c>
      <c r="K312" s="668">
        <f t="shared" si="124"/>
        <v>1841.5</v>
      </c>
      <c r="L312" s="5">
        <f t="shared" si="125"/>
        <v>1841.5</v>
      </c>
      <c r="M312" s="122">
        <f t="shared" si="132"/>
        <v>0</v>
      </c>
      <c r="N312" s="123">
        <f t="shared" si="129"/>
        <v>0</v>
      </c>
      <c r="O312" s="5">
        <f t="shared" si="133"/>
        <v>391.5</v>
      </c>
      <c r="P312" s="123">
        <f t="shared" si="134"/>
        <v>391.5</v>
      </c>
      <c r="Q312" s="124">
        <f t="shared" si="130"/>
        <v>4698</v>
      </c>
      <c r="R312" s="124">
        <f t="shared" si="135"/>
        <v>1131.7482</v>
      </c>
      <c r="S312" s="125">
        <f t="shared" si="131"/>
        <v>5829.7482</v>
      </c>
      <c r="T312" s="390"/>
      <c r="U312" s="765"/>
    </row>
    <row r="313" spans="2:21" s="109" customFormat="1" x14ac:dyDescent="0.25">
      <c r="B313" s="720" t="s">
        <v>232</v>
      </c>
      <c r="C313" s="721" t="s">
        <v>236</v>
      </c>
      <c r="D313" s="721" t="s">
        <v>25</v>
      </c>
      <c r="E313" s="721">
        <v>9</v>
      </c>
      <c r="F313" s="721">
        <v>3</v>
      </c>
      <c r="G313" s="722">
        <v>1190</v>
      </c>
      <c r="H313" s="723">
        <v>611</v>
      </c>
      <c r="I313" s="773">
        <v>0</v>
      </c>
      <c r="J313" s="823">
        <v>3</v>
      </c>
      <c r="K313" s="668">
        <f t="shared" si="124"/>
        <v>775.97</v>
      </c>
      <c r="L313" s="5">
        <f t="shared" si="125"/>
        <v>775.97</v>
      </c>
      <c r="M313" s="122">
        <f t="shared" si="132"/>
        <v>0</v>
      </c>
      <c r="N313" s="123">
        <f t="shared" si="129"/>
        <v>0</v>
      </c>
      <c r="O313" s="5">
        <f t="shared" si="133"/>
        <v>164.97000000000003</v>
      </c>
      <c r="P313" s="123">
        <f t="shared" si="134"/>
        <v>494.91000000000008</v>
      </c>
      <c r="Q313" s="124">
        <f t="shared" si="130"/>
        <v>5938.920000000001</v>
      </c>
      <c r="R313" s="124">
        <f t="shared" si="135"/>
        <v>1430.6858280000004</v>
      </c>
      <c r="S313" s="125">
        <f t="shared" si="131"/>
        <v>7369.6058280000016</v>
      </c>
      <c r="T313" s="390"/>
      <c r="U313" s="765"/>
    </row>
    <row r="314" spans="2:21" s="109" customFormat="1" x14ac:dyDescent="0.25">
      <c r="B314" s="720" t="s">
        <v>232</v>
      </c>
      <c r="C314" s="721" t="s">
        <v>236</v>
      </c>
      <c r="D314" s="721" t="s">
        <v>25</v>
      </c>
      <c r="E314" s="721">
        <v>9</v>
      </c>
      <c r="F314" s="721">
        <v>3</v>
      </c>
      <c r="G314" s="722">
        <v>1190</v>
      </c>
      <c r="H314" s="723">
        <v>801</v>
      </c>
      <c r="I314" s="773">
        <v>0</v>
      </c>
      <c r="J314" s="823">
        <v>1</v>
      </c>
      <c r="K314" s="668">
        <f t="shared" si="124"/>
        <v>1017.27</v>
      </c>
      <c r="L314" s="5">
        <f t="shared" si="125"/>
        <v>1017.27</v>
      </c>
      <c r="M314" s="122">
        <f t="shared" si="132"/>
        <v>0</v>
      </c>
      <c r="N314" s="123">
        <f t="shared" si="129"/>
        <v>0</v>
      </c>
      <c r="O314" s="5">
        <f t="shared" si="133"/>
        <v>216.26999999999998</v>
      </c>
      <c r="P314" s="123">
        <f t="shared" si="134"/>
        <v>216.26999999999998</v>
      </c>
      <c r="Q314" s="124">
        <f t="shared" si="130"/>
        <v>2595.2399999999998</v>
      </c>
      <c r="R314" s="124">
        <f t="shared" si="135"/>
        <v>625.19331599999998</v>
      </c>
      <c r="S314" s="125">
        <f t="shared" si="131"/>
        <v>3220.4333159999996</v>
      </c>
      <c r="T314" s="390"/>
      <c r="U314" s="765"/>
    </row>
    <row r="315" spans="2:21" s="109" customFormat="1" x14ac:dyDescent="0.25">
      <c r="B315" s="720" t="s">
        <v>232</v>
      </c>
      <c r="C315" s="721" t="s">
        <v>236</v>
      </c>
      <c r="D315" s="721" t="s">
        <v>25</v>
      </c>
      <c r="E315" s="721">
        <v>9</v>
      </c>
      <c r="F315" s="721">
        <v>3</v>
      </c>
      <c r="G315" s="722">
        <v>1190</v>
      </c>
      <c r="H315" s="692">
        <v>754</v>
      </c>
      <c r="I315" s="773">
        <v>0</v>
      </c>
      <c r="J315" s="823">
        <v>1</v>
      </c>
      <c r="K315" s="668">
        <f t="shared" si="124"/>
        <v>957.58</v>
      </c>
      <c r="L315" s="5">
        <f t="shared" si="125"/>
        <v>957.58</v>
      </c>
      <c r="M315" s="122">
        <f t="shared" si="132"/>
        <v>0</v>
      </c>
      <c r="N315" s="123">
        <f t="shared" si="129"/>
        <v>0</v>
      </c>
      <c r="O315" s="5">
        <f t="shared" si="133"/>
        <v>203.58000000000004</v>
      </c>
      <c r="P315" s="123">
        <f t="shared" si="134"/>
        <v>203.58000000000004</v>
      </c>
      <c r="Q315" s="124">
        <f t="shared" si="130"/>
        <v>2442.9600000000005</v>
      </c>
      <c r="R315" s="124">
        <f t="shared" si="135"/>
        <v>588.50906400000008</v>
      </c>
      <c r="S315" s="125">
        <f>Q315+R315+1</f>
        <v>3032.4690640000008</v>
      </c>
      <c r="T315" s="390"/>
      <c r="U315" s="765"/>
    </row>
    <row r="316" spans="2:21" s="109" customFormat="1" x14ac:dyDescent="0.25">
      <c r="B316" s="720" t="s">
        <v>232</v>
      </c>
      <c r="C316" s="721" t="s">
        <v>236</v>
      </c>
      <c r="D316" s="721" t="s">
        <v>25</v>
      </c>
      <c r="E316" s="721">
        <v>9</v>
      </c>
      <c r="F316" s="721">
        <v>3</v>
      </c>
      <c r="G316" s="722">
        <v>1190</v>
      </c>
      <c r="H316" s="692">
        <v>700</v>
      </c>
      <c r="I316" s="773">
        <v>0</v>
      </c>
      <c r="J316" s="823">
        <v>1</v>
      </c>
      <c r="K316" s="668">
        <f t="shared" si="124"/>
        <v>889</v>
      </c>
      <c r="L316" s="5">
        <f t="shared" si="125"/>
        <v>889</v>
      </c>
      <c r="M316" s="122">
        <f t="shared" si="132"/>
        <v>0</v>
      </c>
      <c r="N316" s="123">
        <f t="shared" si="129"/>
        <v>0</v>
      </c>
      <c r="O316" s="5">
        <f t="shared" si="133"/>
        <v>189</v>
      </c>
      <c r="P316" s="123">
        <f t="shared" si="134"/>
        <v>189</v>
      </c>
      <c r="Q316" s="124">
        <f t="shared" si="130"/>
        <v>2268</v>
      </c>
      <c r="R316" s="124">
        <f t="shared" si="135"/>
        <v>546.36120000000005</v>
      </c>
      <c r="S316" s="125">
        <f t="shared" si="131"/>
        <v>2814.3612000000003</v>
      </c>
      <c r="T316" s="390"/>
      <c r="U316" s="765"/>
    </row>
    <row r="317" spans="2:21" s="109" customFormat="1" x14ac:dyDescent="0.25">
      <c r="B317" s="720" t="s">
        <v>232</v>
      </c>
      <c r="C317" s="721" t="s">
        <v>236</v>
      </c>
      <c r="D317" s="721" t="s">
        <v>25</v>
      </c>
      <c r="E317" s="721">
        <v>9</v>
      </c>
      <c r="F317" s="721">
        <v>3</v>
      </c>
      <c r="G317" s="722">
        <v>1190</v>
      </c>
      <c r="H317" s="692">
        <v>800</v>
      </c>
      <c r="I317" s="773">
        <v>0</v>
      </c>
      <c r="J317" s="823">
        <v>1</v>
      </c>
      <c r="K317" s="668">
        <f t="shared" si="124"/>
        <v>1016</v>
      </c>
      <c r="L317" s="5">
        <f t="shared" si="125"/>
        <v>1016</v>
      </c>
      <c r="M317" s="122">
        <f t="shared" si="132"/>
        <v>0</v>
      </c>
      <c r="N317" s="123">
        <f t="shared" si="129"/>
        <v>0</v>
      </c>
      <c r="O317" s="5">
        <f t="shared" si="133"/>
        <v>216</v>
      </c>
      <c r="P317" s="123">
        <f t="shared" si="134"/>
        <v>216</v>
      </c>
      <c r="Q317" s="124">
        <f t="shared" si="130"/>
        <v>2592</v>
      </c>
      <c r="R317" s="124">
        <f t="shared" si="135"/>
        <v>624.41280000000006</v>
      </c>
      <c r="S317" s="125">
        <f t="shared" si="131"/>
        <v>3216.4128000000001</v>
      </c>
      <c r="T317" s="390"/>
      <c r="U317" s="765"/>
    </row>
    <row r="318" spans="2:21" s="109" customFormat="1" x14ac:dyDescent="0.25">
      <c r="B318" s="720" t="s">
        <v>232</v>
      </c>
      <c r="C318" s="721" t="s">
        <v>236</v>
      </c>
      <c r="D318" s="721" t="s">
        <v>25</v>
      </c>
      <c r="E318" s="721">
        <v>9</v>
      </c>
      <c r="F318" s="721">
        <v>3</v>
      </c>
      <c r="G318" s="722">
        <v>1190</v>
      </c>
      <c r="H318" s="692">
        <v>666</v>
      </c>
      <c r="I318" s="773">
        <v>0</v>
      </c>
      <c r="J318" s="823">
        <v>1</v>
      </c>
      <c r="K318" s="668">
        <f t="shared" si="124"/>
        <v>845.82</v>
      </c>
      <c r="L318" s="5">
        <f t="shared" si="125"/>
        <v>845.82</v>
      </c>
      <c r="M318" s="122">
        <f t="shared" si="132"/>
        <v>0</v>
      </c>
      <c r="N318" s="123">
        <f t="shared" si="129"/>
        <v>0</v>
      </c>
      <c r="O318" s="5">
        <f t="shared" si="133"/>
        <v>179.82000000000005</v>
      </c>
      <c r="P318" s="123">
        <f t="shared" si="134"/>
        <v>179.82000000000005</v>
      </c>
      <c r="Q318" s="124">
        <f t="shared" si="130"/>
        <v>2157.8400000000006</v>
      </c>
      <c r="R318" s="124">
        <f t="shared" si="135"/>
        <v>519.82365600000014</v>
      </c>
      <c r="S318" s="125">
        <f t="shared" si="131"/>
        <v>2677.6636560000006</v>
      </c>
      <c r="T318" s="390"/>
      <c r="U318" s="765"/>
    </row>
    <row r="319" spans="2:21" s="109" customFormat="1" x14ac:dyDescent="0.25">
      <c r="B319" s="720" t="s">
        <v>232</v>
      </c>
      <c r="C319" s="721" t="s">
        <v>236</v>
      </c>
      <c r="D319" s="721" t="s">
        <v>25</v>
      </c>
      <c r="E319" s="721">
        <v>9</v>
      </c>
      <c r="F319" s="721">
        <v>3</v>
      </c>
      <c r="G319" s="722">
        <v>1190</v>
      </c>
      <c r="H319" s="692">
        <v>638</v>
      </c>
      <c r="I319" s="773">
        <v>0</v>
      </c>
      <c r="J319" s="823">
        <v>1</v>
      </c>
      <c r="K319" s="668">
        <f t="shared" si="124"/>
        <v>810.26</v>
      </c>
      <c r="L319" s="5">
        <f t="shared" si="125"/>
        <v>810.26</v>
      </c>
      <c r="M319" s="122">
        <f t="shared" si="132"/>
        <v>0</v>
      </c>
      <c r="N319" s="123">
        <f t="shared" si="129"/>
        <v>0</v>
      </c>
      <c r="O319" s="5">
        <f t="shared" si="133"/>
        <v>172.26</v>
      </c>
      <c r="P319" s="123">
        <f t="shared" si="134"/>
        <v>172.26</v>
      </c>
      <c r="Q319" s="124">
        <f t="shared" si="130"/>
        <v>2067.12</v>
      </c>
      <c r="R319" s="124">
        <f t="shared" si="135"/>
        <v>497.96920799999998</v>
      </c>
      <c r="S319" s="125">
        <f t="shared" si="131"/>
        <v>2565.0892079999999</v>
      </c>
      <c r="T319" s="390"/>
      <c r="U319" s="765"/>
    </row>
    <row r="320" spans="2:21" s="109" customFormat="1" x14ac:dyDescent="0.25">
      <c r="B320" s="720" t="s">
        <v>232</v>
      </c>
      <c r="C320" s="721" t="s">
        <v>236</v>
      </c>
      <c r="D320" s="721" t="s">
        <v>25</v>
      </c>
      <c r="E320" s="721">
        <v>9</v>
      </c>
      <c r="F320" s="721">
        <v>2</v>
      </c>
      <c r="G320" s="722">
        <v>1015</v>
      </c>
      <c r="H320" s="692">
        <v>585</v>
      </c>
      <c r="I320" s="773">
        <v>0</v>
      </c>
      <c r="J320" s="823">
        <v>1</v>
      </c>
      <c r="K320" s="668">
        <f t="shared" si="124"/>
        <v>742.95</v>
      </c>
      <c r="L320" s="5">
        <f t="shared" si="125"/>
        <v>742.95</v>
      </c>
      <c r="M320" s="122">
        <f t="shared" si="132"/>
        <v>0</v>
      </c>
      <c r="N320" s="123">
        <f t="shared" si="129"/>
        <v>0</v>
      </c>
      <c r="O320" s="5">
        <f t="shared" si="133"/>
        <v>157.95000000000005</v>
      </c>
      <c r="P320" s="123">
        <f t="shared" si="134"/>
        <v>157.95000000000005</v>
      </c>
      <c r="Q320" s="124">
        <f t="shared" si="130"/>
        <v>1895.4000000000005</v>
      </c>
      <c r="R320" s="124">
        <f t="shared" si="135"/>
        <v>456.60186000000016</v>
      </c>
      <c r="S320" s="125">
        <f t="shared" si="131"/>
        <v>2352.0018600000008</v>
      </c>
      <c r="T320" s="390"/>
      <c r="U320" s="765"/>
    </row>
    <row r="321" spans="2:22" s="109" customFormat="1" x14ac:dyDescent="0.25">
      <c r="B321" s="720" t="s">
        <v>232</v>
      </c>
      <c r="C321" s="721" t="s">
        <v>236</v>
      </c>
      <c r="D321" s="721" t="s">
        <v>25</v>
      </c>
      <c r="E321" s="721">
        <v>9</v>
      </c>
      <c r="F321" s="721">
        <v>1</v>
      </c>
      <c r="G321" s="722">
        <v>835</v>
      </c>
      <c r="H321" s="692">
        <v>540</v>
      </c>
      <c r="I321" s="773">
        <v>0</v>
      </c>
      <c r="J321" s="823">
        <v>2</v>
      </c>
      <c r="K321" s="668">
        <f t="shared" si="124"/>
        <v>685.8</v>
      </c>
      <c r="L321" s="5">
        <f t="shared" si="125"/>
        <v>685.8</v>
      </c>
      <c r="M321" s="122">
        <f t="shared" si="132"/>
        <v>0</v>
      </c>
      <c r="N321" s="123">
        <f t="shared" si="129"/>
        <v>0</v>
      </c>
      <c r="O321" s="5">
        <f t="shared" si="133"/>
        <v>145.79999999999995</v>
      </c>
      <c r="P321" s="123">
        <f t="shared" si="134"/>
        <v>291.59999999999991</v>
      </c>
      <c r="Q321" s="124">
        <f t="shared" si="130"/>
        <v>3499.1999999999989</v>
      </c>
      <c r="R321" s="124">
        <f t="shared" si="135"/>
        <v>842.95727999999974</v>
      </c>
      <c r="S321" s="125">
        <f t="shared" si="131"/>
        <v>4342.1572799999985</v>
      </c>
      <c r="T321" s="390"/>
      <c r="U321" s="765"/>
    </row>
    <row r="322" spans="2:22" s="109" customFormat="1" x14ac:dyDescent="0.25">
      <c r="B322" s="720" t="s">
        <v>251</v>
      </c>
      <c r="C322" s="721" t="s">
        <v>236</v>
      </c>
      <c r="D322" s="721" t="s">
        <v>252</v>
      </c>
      <c r="E322" s="721">
        <v>9</v>
      </c>
      <c r="F322" s="721">
        <v>3</v>
      </c>
      <c r="G322" s="722">
        <v>1190</v>
      </c>
      <c r="H322" s="692">
        <v>751</v>
      </c>
      <c r="I322" s="773">
        <v>0</v>
      </c>
      <c r="J322" s="823">
        <v>3</v>
      </c>
      <c r="K322" s="668">
        <f t="shared" si="124"/>
        <v>953.77</v>
      </c>
      <c r="L322" s="5">
        <f t="shared" si="125"/>
        <v>953.77</v>
      </c>
      <c r="M322" s="122">
        <f t="shared" si="132"/>
        <v>0</v>
      </c>
      <c r="N322" s="123">
        <f t="shared" si="129"/>
        <v>0</v>
      </c>
      <c r="O322" s="5">
        <f t="shared" si="133"/>
        <v>202.76999999999998</v>
      </c>
      <c r="P322" s="123">
        <f t="shared" si="134"/>
        <v>608.30999999999995</v>
      </c>
      <c r="Q322" s="124">
        <f t="shared" si="130"/>
        <v>7299.7199999999993</v>
      </c>
      <c r="R322" s="124">
        <f t="shared" si="135"/>
        <v>1758.5025479999999</v>
      </c>
      <c r="S322" s="125">
        <f>Q322+R322+1</f>
        <v>9059.2225479999997</v>
      </c>
      <c r="T322" s="390"/>
      <c r="U322" s="765"/>
    </row>
    <row r="323" spans="2:22" s="52" customFormat="1" x14ac:dyDescent="0.25">
      <c r="B323" s="407" t="s">
        <v>249</v>
      </c>
      <c r="C323" s="54"/>
      <c r="D323" s="54"/>
      <c r="E323" s="54"/>
      <c r="F323" s="54"/>
      <c r="G323" s="56"/>
      <c r="H323" s="6"/>
      <c r="I323" s="57"/>
      <c r="J323" s="405">
        <f>SUM(J312:J322)</f>
        <v>16</v>
      </c>
      <c r="K323" s="58"/>
      <c r="L323" s="7"/>
      <c r="M323" s="59"/>
      <c r="N323" s="57"/>
      <c r="O323" s="7"/>
      <c r="P323" s="57"/>
      <c r="Q323" s="60">
        <f t="shared" ref="Q323:R323" si="137">SUM(Q312:Q322)</f>
        <v>37454.400000000001</v>
      </c>
      <c r="R323" s="60">
        <f t="shared" si="137"/>
        <v>9022.7649600000004</v>
      </c>
      <c r="S323" s="61">
        <f>SUM(S312:S322)-1</f>
        <v>46478.164960000002</v>
      </c>
      <c r="T323" s="390"/>
      <c r="U323" s="406"/>
    </row>
    <row r="324" spans="2:22" s="109" customFormat="1" ht="13.5" thickBot="1" x14ac:dyDescent="0.3">
      <c r="B324" s="883" t="s">
        <v>55</v>
      </c>
      <c r="C324" s="884"/>
      <c r="D324" s="884"/>
      <c r="E324" s="884"/>
      <c r="F324" s="884"/>
      <c r="G324" s="885"/>
      <c r="H324" s="886"/>
      <c r="I324" s="884"/>
      <c r="J324" s="887">
        <f>J310+J323</f>
        <v>81</v>
      </c>
      <c r="K324" s="888"/>
      <c r="L324" s="884"/>
      <c r="M324" s="884"/>
      <c r="N324" s="884"/>
      <c r="O324" s="884"/>
      <c r="P324" s="884"/>
      <c r="Q324" s="889">
        <f t="shared" ref="Q324:R324" si="138">Q310+Q323</f>
        <v>229205.04000000004</v>
      </c>
      <c r="R324" s="889">
        <f t="shared" si="138"/>
        <v>55215.494136000008</v>
      </c>
      <c r="S324" s="890">
        <f>ROUND(S310+S323,0)-1</f>
        <v>284421</v>
      </c>
      <c r="T324" s="390"/>
      <c r="U324" s="765"/>
    </row>
    <row r="325" spans="2:22" s="805" customFormat="1" ht="11.25" customHeight="1" thickBot="1" x14ac:dyDescent="0.3">
      <c r="B325" s="806"/>
      <c r="C325" s="807"/>
      <c r="D325" s="807"/>
      <c r="E325" s="807"/>
      <c r="F325" s="807"/>
      <c r="G325" s="808"/>
      <c r="H325" s="809"/>
      <c r="I325" s="810"/>
      <c r="J325" s="809"/>
      <c r="K325" s="810"/>
      <c r="L325" s="810"/>
      <c r="M325" s="807"/>
      <c r="N325" s="810"/>
      <c r="O325" s="810"/>
      <c r="P325" s="810"/>
      <c r="Q325" s="811"/>
      <c r="R325" s="811"/>
      <c r="S325" s="811"/>
      <c r="T325" s="382"/>
      <c r="U325" s="810"/>
    </row>
    <row r="326" spans="2:22" s="52" customFormat="1" ht="14.25" x14ac:dyDescent="0.25">
      <c r="B326" s="442" t="s">
        <v>19</v>
      </c>
      <c r="C326" s="443"/>
      <c r="D326" s="443"/>
      <c r="E326" s="443"/>
      <c r="F326" s="443"/>
      <c r="G326" s="444"/>
      <c r="H326" s="445"/>
      <c r="I326" s="386"/>
      <c r="J326" s="446">
        <f>J30+J55+J84+J151+J255+J323</f>
        <v>509.5</v>
      </c>
      <c r="K326" s="447"/>
      <c r="L326" s="386"/>
      <c r="M326" s="443"/>
      <c r="N326" s="386"/>
      <c r="O326" s="386"/>
      <c r="P326" s="386"/>
      <c r="Q326" s="448">
        <f>Q30+Q55+Q84+Q151+Q255+Q310</f>
        <v>1937786.8449899997</v>
      </c>
      <c r="R326" s="448">
        <f t="shared" ref="R326" si="139">R30+R55+R84+R151+R255+R310</f>
        <v>466812.85095809097</v>
      </c>
      <c r="S326" s="449">
        <f>S30+S55+S84+S151+S255+S310</f>
        <v>2404599.6959480913</v>
      </c>
      <c r="T326" s="390"/>
      <c r="U326" s="406"/>
    </row>
    <row r="327" spans="2:22" s="52" customFormat="1" ht="14.25" x14ac:dyDescent="0.25">
      <c r="B327" s="450" t="s">
        <v>40</v>
      </c>
      <c r="C327" s="451"/>
      <c r="D327" s="451"/>
      <c r="E327" s="451"/>
      <c r="F327" s="451"/>
      <c r="G327" s="452"/>
      <c r="H327" s="453"/>
      <c r="I327" s="387"/>
      <c r="J327" s="454">
        <f>J42+J70+J89+J219+J262</f>
        <v>1832</v>
      </c>
      <c r="K327" s="455"/>
      <c r="L327" s="387"/>
      <c r="M327" s="451"/>
      <c r="N327" s="387"/>
      <c r="O327" s="387"/>
      <c r="P327" s="387"/>
      <c r="Q327" s="456">
        <f>Q42+Q70+Q89+Q219+Q262+Q323</f>
        <v>4734550.2422249997</v>
      </c>
      <c r="R327" s="456">
        <f t="shared" ref="R327" si="140">R42+R70+R89+R219+R262+R323</f>
        <v>1140553.1533520031</v>
      </c>
      <c r="S327" s="457">
        <f>S42+S70+S89+S219+S262+S323</f>
        <v>5875104.3955770023</v>
      </c>
      <c r="T327" s="390"/>
      <c r="U327" s="406"/>
    </row>
    <row r="328" spans="2:22" s="52" customFormat="1" ht="14.25" x14ac:dyDescent="0.25">
      <c r="B328" s="450" t="s">
        <v>253</v>
      </c>
      <c r="C328" s="451"/>
      <c r="D328" s="451"/>
      <c r="E328" s="451"/>
      <c r="F328" s="451"/>
      <c r="G328" s="452"/>
      <c r="H328" s="453"/>
      <c r="I328" s="387"/>
      <c r="J328" s="454">
        <f>J78+J93+J235+J262</f>
        <v>983.75</v>
      </c>
      <c r="K328" s="455"/>
      <c r="L328" s="387"/>
      <c r="M328" s="451"/>
      <c r="N328" s="387"/>
      <c r="O328" s="387"/>
      <c r="P328" s="387"/>
      <c r="Q328" s="456">
        <f>Q78+Q93+Q224+Q277</f>
        <v>310213.47615000006</v>
      </c>
      <c r="R328" s="456">
        <f t="shared" ref="R328" si="141">R78+R93+R224+R277</f>
        <v>74730.426404534999</v>
      </c>
      <c r="S328" s="457">
        <f>S78+S93+S224+S277</f>
        <v>384943.90255453502</v>
      </c>
      <c r="T328" s="390"/>
      <c r="U328" s="406"/>
    </row>
    <row r="329" spans="2:22" s="52" customFormat="1" ht="14.25" x14ac:dyDescent="0.25">
      <c r="B329" s="450" t="s">
        <v>213</v>
      </c>
      <c r="C329" s="451"/>
      <c r="D329" s="451"/>
      <c r="E329" s="451"/>
      <c r="F329" s="451"/>
      <c r="G329" s="452"/>
      <c r="H329" s="453"/>
      <c r="I329" s="387"/>
      <c r="J329" s="454">
        <f>J235</f>
        <v>891</v>
      </c>
      <c r="K329" s="455"/>
      <c r="L329" s="387"/>
      <c r="M329" s="451"/>
      <c r="N329" s="387"/>
      <c r="O329" s="387"/>
      <c r="P329" s="387"/>
      <c r="Q329" s="456">
        <f>Q235</f>
        <v>926835.14269200014</v>
      </c>
      <c r="R329" s="456">
        <f t="shared" ref="R329" si="142">R235</f>
        <v>223274.5858745029</v>
      </c>
      <c r="S329" s="457">
        <f>S235</f>
        <v>1150109.7285665032</v>
      </c>
      <c r="T329" s="390"/>
      <c r="U329" s="406"/>
    </row>
    <row r="330" spans="2:22" s="2" customFormat="1" ht="15.75" thickBot="1" x14ac:dyDescent="0.3">
      <c r="B330" s="458" t="s">
        <v>254</v>
      </c>
      <c r="C330" s="388"/>
      <c r="D330" s="388"/>
      <c r="E330" s="388"/>
      <c r="F330" s="388"/>
      <c r="G330" s="459"/>
      <c r="H330" s="460"/>
      <c r="I330" s="388"/>
      <c r="J330" s="461">
        <f>SUM(J326:J328)</f>
        <v>3325.25</v>
      </c>
      <c r="K330" s="462"/>
      <c r="L330" s="388"/>
      <c r="M330" s="388"/>
      <c r="N330" s="388"/>
      <c r="O330" s="388"/>
      <c r="P330" s="388"/>
      <c r="Q330" s="463">
        <f>SUM(Q326:Q329)</f>
        <v>7909385.706056999</v>
      </c>
      <c r="R330" s="463">
        <f t="shared" ref="R330" si="143">SUM(R326:R329)</f>
        <v>1905371.0165891321</v>
      </c>
      <c r="S330" s="464">
        <f>SUM(S326:S329)</f>
        <v>9814757.7226461321</v>
      </c>
      <c r="T330" s="3"/>
      <c r="U330" s="4"/>
    </row>
    <row r="331" spans="2:22" s="2" customFormat="1" ht="9.75" customHeight="1" thickBot="1" x14ac:dyDescent="0.3">
      <c r="B331" s="465"/>
      <c r="C331" s="466"/>
      <c r="D331" s="466"/>
      <c r="E331" s="466"/>
      <c r="F331" s="466"/>
      <c r="G331" s="467"/>
      <c r="H331" s="468"/>
      <c r="I331" s="4"/>
      <c r="J331" s="468"/>
      <c r="K331" s="466"/>
      <c r="L331" s="4"/>
      <c r="M331" s="466"/>
      <c r="N331" s="4"/>
      <c r="O331" s="4"/>
      <c r="P331" s="4"/>
      <c r="Q331" s="4"/>
      <c r="R331" s="4"/>
      <c r="S331" s="4"/>
      <c r="T331" s="3"/>
      <c r="U331" s="4"/>
    </row>
    <row r="332" spans="2:22" s="2" customFormat="1" ht="15" customHeight="1" thickBot="1" x14ac:dyDescent="0.3">
      <c r="B332" s="973" t="s">
        <v>369</v>
      </c>
      <c r="C332" s="974"/>
      <c r="D332" s="974"/>
      <c r="E332" s="974"/>
      <c r="F332" s="974"/>
      <c r="G332" s="974"/>
      <c r="H332" s="974"/>
      <c r="I332" s="974"/>
      <c r="J332" s="974"/>
      <c r="K332" s="974"/>
      <c r="L332" s="974"/>
      <c r="M332" s="974"/>
      <c r="N332" s="974"/>
      <c r="O332" s="974"/>
      <c r="P332" s="974"/>
      <c r="Q332" s="974"/>
      <c r="R332" s="974"/>
      <c r="S332" s="469">
        <v>199996</v>
      </c>
      <c r="T332" s="3"/>
      <c r="U332" s="4"/>
    </row>
    <row r="333" spans="2:22" s="2" customFormat="1" ht="6.75" customHeight="1" thickBot="1" x14ac:dyDescent="0.3">
      <c r="B333" s="389"/>
      <c r="C333" s="389"/>
      <c r="D333" s="389"/>
      <c r="E333" s="389"/>
      <c r="F333" s="389"/>
      <c r="G333" s="389"/>
      <c r="H333" s="389"/>
      <c r="I333" s="389"/>
      <c r="J333" s="389"/>
      <c r="K333" s="389"/>
      <c r="L333" s="389"/>
      <c r="M333" s="389"/>
      <c r="N333" s="389"/>
      <c r="O333" s="389"/>
      <c r="P333" s="389"/>
      <c r="Q333" s="389"/>
      <c r="R333" s="389"/>
      <c r="S333" s="470"/>
      <c r="T333" s="471"/>
      <c r="U333" s="472"/>
      <c r="V333" s="473"/>
    </row>
    <row r="334" spans="2:22" s="2" customFormat="1" ht="17.25" customHeight="1" thickBot="1" x14ac:dyDescent="0.3">
      <c r="B334" s="973" t="s">
        <v>370</v>
      </c>
      <c r="C334" s="974"/>
      <c r="D334" s="974"/>
      <c r="E334" s="974"/>
      <c r="F334" s="974"/>
      <c r="G334" s="974"/>
      <c r="H334" s="974"/>
      <c r="I334" s="974"/>
      <c r="J334" s="974"/>
      <c r="K334" s="974"/>
      <c r="L334" s="974"/>
      <c r="M334" s="974"/>
      <c r="N334" s="974"/>
      <c r="O334" s="974"/>
      <c r="P334" s="974"/>
      <c r="Q334" s="974"/>
      <c r="R334" s="974"/>
      <c r="S334" s="469">
        <v>300004</v>
      </c>
      <c r="T334" s="3"/>
      <c r="U334" s="4"/>
    </row>
    <row r="335" spans="2:22" s="473" customFormat="1" ht="17.25" customHeight="1" thickBot="1" x14ac:dyDescent="0.3">
      <c r="B335" s="389"/>
      <c r="C335" s="389"/>
      <c r="D335" s="389"/>
      <c r="E335" s="389"/>
      <c r="F335" s="389"/>
      <c r="G335" s="389"/>
      <c r="H335" s="389"/>
      <c r="I335" s="389"/>
      <c r="J335" s="389"/>
      <c r="K335" s="389"/>
      <c r="L335" s="389"/>
      <c r="M335" s="389"/>
      <c r="N335" s="389"/>
      <c r="O335" s="389"/>
      <c r="P335" s="389"/>
      <c r="Q335" s="389"/>
      <c r="R335" s="389"/>
      <c r="S335" s="474"/>
      <c r="T335" s="471"/>
      <c r="U335" s="472"/>
    </row>
    <row r="336" spans="2:22" s="2" customFormat="1" ht="17.25" customHeight="1" thickBot="1" x14ac:dyDescent="0.3">
      <c r="B336" s="981" t="s">
        <v>368</v>
      </c>
      <c r="C336" s="982"/>
      <c r="D336" s="982"/>
      <c r="E336" s="982"/>
      <c r="F336" s="982"/>
      <c r="G336" s="982"/>
      <c r="H336" s="982"/>
      <c r="I336" s="982"/>
      <c r="J336" s="982"/>
      <c r="K336" s="982"/>
      <c r="L336" s="982"/>
      <c r="M336" s="982"/>
      <c r="N336" s="982"/>
      <c r="O336" s="982"/>
      <c r="P336" s="982"/>
      <c r="Q336" s="982"/>
      <c r="R336" s="982"/>
      <c r="S336" s="475">
        <f>S334+S332+S330</f>
        <v>10314757.722646132</v>
      </c>
      <c r="T336" s="3"/>
      <c r="U336" s="4"/>
    </row>
    <row r="337" spans="2:22" s="109" customFormat="1" ht="15" customHeight="1" thickBot="1" x14ac:dyDescent="0.3">
      <c r="B337" s="891"/>
      <c r="C337" s="892"/>
      <c r="D337" s="892"/>
      <c r="E337" s="892"/>
      <c r="F337" s="892"/>
      <c r="G337" s="893"/>
      <c r="H337" s="894"/>
      <c r="I337" s="765"/>
      <c r="J337" s="894"/>
      <c r="K337" s="892"/>
      <c r="L337" s="765"/>
      <c r="M337" s="892"/>
      <c r="N337" s="765"/>
      <c r="O337" s="765"/>
      <c r="P337" s="765"/>
      <c r="Q337" s="895"/>
      <c r="R337" s="895"/>
      <c r="S337" s="895"/>
      <c r="T337" s="390"/>
      <c r="U337" s="765"/>
    </row>
    <row r="338" spans="2:22" s="52" customFormat="1" ht="15" customHeight="1" x14ac:dyDescent="0.25">
      <c r="B338" s="983" t="s">
        <v>356</v>
      </c>
      <c r="C338" s="984"/>
      <c r="D338" s="984"/>
      <c r="E338" s="984"/>
      <c r="F338" s="984"/>
      <c r="G338" s="984"/>
      <c r="H338" s="984"/>
      <c r="I338" s="984"/>
      <c r="J338" s="984"/>
      <c r="K338" s="984"/>
      <c r="L338" s="984"/>
      <c r="M338" s="984"/>
      <c r="N338" s="984"/>
      <c r="O338" s="984"/>
      <c r="P338" s="984"/>
      <c r="Q338" s="984"/>
      <c r="R338" s="985"/>
      <c r="S338" s="896">
        <v>8904628</v>
      </c>
      <c r="T338" s="390"/>
      <c r="U338" s="406"/>
      <c r="V338" s="433"/>
    </row>
    <row r="339" spans="2:22" s="52" customFormat="1" ht="15" x14ac:dyDescent="0.25">
      <c r="B339" s="975" t="s">
        <v>357</v>
      </c>
      <c r="C339" s="976"/>
      <c r="D339" s="976"/>
      <c r="E339" s="976"/>
      <c r="F339" s="976"/>
      <c r="G339" s="976"/>
      <c r="H339" s="976"/>
      <c r="I339" s="976"/>
      <c r="J339" s="976"/>
      <c r="K339" s="976"/>
      <c r="L339" s="976"/>
      <c r="M339" s="976"/>
      <c r="N339" s="976"/>
      <c r="O339" s="976"/>
      <c r="P339" s="976"/>
      <c r="Q339" s="976"/>
      <c r="R339" s="977"/>
      <c r="S339" s="897">
        <v>846378</v>
      </c>
      <c r="T339" s="390"/>
      <c r="U339" s="406"/>
    </row>
    <row r="340" spans="2:22" s="52" customFormat="1" ht="15" x14ac:dyDescent="0.25">
      <c r="B340" s="975" t="s">
        <v>358</v>
      </c>
      <c r="C340" s="976"/>
      <c r="D340" s="976"/>
      <c r="E340" s="976"/>
      <c r="F340" s="976"/>
      <c r="G340" s="976"/>
      <c r="H340" s="976"/>
      <c r="I340" s="976"/>
      <c r="J340" s="976"/>
      <c r="K340" s="976"/>
      <c r="L340" s="976"/>
      <c r="M340" s="976"/>
      <c r="N340" s="976"/>
      <c r="O340" s="976"/>
      <c r="P340" s="976"/>
      <c r="Q340" s="976"/>
      <c r="R340" s="977"/>
      <c r="S340" s="897">
        <v>345641</v>
      </c>
      <c r="T340" s="390"/>
      <c r="U340" s="406"/>
    </row>
    <row r="341" spans="2:22" s="52" customFormat="1" ht="15" x14ac:dyDescent="0.25">
      <c r="B341" s="975" t="s">
        <v>359</v>
      </c>
      <c r="C341" s="976"/>
      <c r="D341" s="976"/>
      <c r="E341" s="976"/>
      <c r="F341" s="976"/>
      <c r="G341" s="976"/>
      <c r="H341" s="976"/>
      <c r="I341" s="976"/>
      <c r="J341" s="976"/>
      <c r="K341" s="976"/>
      <c r="L341" s="976"/>
      <c r="M341" s="976"/>
      <c r="N341" s="976"/>
      <c r="O341" s="976"/>
      <c r="P341" s="976"/>
      <c r="Q341" s="976"/>
      <c r="R341" s="977"/>
      <c r="S341" s="897">
        <v>218111</v>
      </c>
      <c r="T341" s="390"/>
      <c r="U341" s="406"/>
    </row>
    <row r="342" spans="2:22" s="2" customFormat="1" ht="15.75" thickBot="1" x14ac:dyDescent="0.3">
      <c r="B342" s="978" t="s">
        <v>360</v>
      </c>
      <c r="C342" s="979"/>
      <c r="D342" s="979"/>
      <c r="E342" s="979"/>
      <c r="F342" s="979"/>
      <c r="G342" s="979"/>
      <c r="H342" s="979"/>
      <c r="I342" s="979"/>
      <c r="J342" s="979"/>
      <c r="K342" s="979"/>
      <c r="L342" s="979"/>
      <c r="M342" s="979"/>
      <c r="N342" s="979"/>
      <c r="O342" s="979"/>
      <c r="P342" s="979"/>
      <c r="Q342" s="979"/>
      <c r="R342" s="980"/>
      <c r="S342" s="481">
        <f>SUM(S338:S341)</f>
        <v>10314758</v>
      </c>
      <c r="T342" s="3"/>
      <c r="U342" s="4"/>
    </row>
    <row r="343" spans="2:22" s="2" customFormat="1" ht="9.75" customHeight="1" x14ac:dyDescent="0.25">
      <c r="B343" s="465"/>
      <c r="C343" s="466"/>
      <c r="D343" s="466"/>
      <c r="E343" s="466"/>
      <c r="F343" s="466"/>
      <c r="G343" s="467"/>
      <c r="H343" s="468"/>
      <c r="I343" s="4"/>
      <c r="J343" s="468"/>
      <c r="K343" s="466"/>
      <c r="L343" s="4"/>
      <c r="M343" s="466"/>
      <c r="N343" s="4"/>
      <c r="O343" s="4"/>
      <c r="P343" s="4"/>
      <c r="Q343" s="4"/>
      <c r="R343" s="4"/>
      <c r="S343" s="4"/>
      <c r="T343" s="3"/>
      <c r="U343" s="4"/>
    </row>
    <row r="344" spans="2:22" s="83" customFormat="1" ht="33.75" customHeight="1" x14ac:dyDescent="0.25">
      <c r="B344" s="1005" t="s">
        <v>373</v>
      </c>
      <c r="C344" s="1005"/>
      <c r="D344" s="1005"/>
      <c r="E344" s="1005"/>
      <c r="F344" s="1005"/>
      <c r="G344" s="1005"/>
      <c r="H344" s="1005"/>
      <c r="I344" s="1005"/>
      <c r="J344" s="1005"/>
      <c r="K344" s="1005"/>
      <c r="L344" s="1005"/>
      <c r="M344" s="1005"/>
      <c r="N344" s="1005"/>
      <c r="O344" s="1005"/>
      <c r="P344" s="1005"/>
      <c r="Q344" s="1005"/>
      <c r="R344" s="1005"/>
      <c r="S344" s="1005"/>
      <c r="T344" s="84"/>
    </row>
    <row r="345" spans="2:22" s="64" customFormat="1" ht="23.25" customHeight="1" thickBot="1" x14ac:dyDescent="0.25">
      <c r="B345" s="50"/>
      <c r="C345" s="50"/>
      <c r="D345" s="50"/>
      <c r="E345" s="50"/>
      <c r="F345" s="50"/>
      <c r="G345" s="79"/>
      <c r="H345" s="80"/>
      <c r="I345" s="80"/>
      <c r="J345" s="81"/>
      <c r="S345" s="743" t="s">
        <v>379</v>
      </c>
      <c r="T345" s="82"/>
    </row>
    <row r="346" spans="2:22" s="85" customFormat="1" ht="16.5" customHeight="1" thickBot="1" x14ac:dyDescent="0.3">
      <c r="B346" s="996" t="s">
        <v>255</v>
      </c>
      <c r="C346" s="997"/>
      <c r="D346" s="997"/>
      <c r="E346" s="997"/>
      <c r="F346" s="997"/>
      <c r="G346" s="997"/>
      <c r="H346" s="997"/>
      <c r="I346" s="997"/>
      <c r="J346" s="998"/>
      <c r="K346" s="999" t="s">
        <v>256</v>
      </c>
      <c r="L346" s="1000"/>
      <c r="M346" s="1000"/>
      <c r="N346" s="1000"/>
      <c r="O346" s="1000"/>
      <c r="P346" s="1000"/>
      <c r="Q346" s="1000"/>
      <c r="R346" s="1000"/>
      <c r="S346" s="1001"/>
      <c r="T346" s="86"/>
    </row>
    <row r="347" spans="2:22" s="87" customFormat="1" ht="126.75" customHeight="1" thickBot="1" x14ac:dyDescent="0.25">
      <c r="B347" s="88" t="s">
        <v>6</v>
      </c>
      <c r="C347" s="89" t="s">
        <v>7</v>
      </c>
      <c r="D347" s="89" t="s">
        <v>8</v>
      </c>
      <c r="E347" s="89" t="s">
        <v>9</v>
      </c>
      <c r="F347" s="89" t="s">
        <v>10</v>
      </c>
      <c r="G347" s="90" t="s">
        <v>378</v>
      </c>
      <c r="H347" s="91" t="s">
        <v>377</v>
      </c>
      <c r="I347" s="91" t="s">
        <v>376</v>
      </c>
      <c r="J347" s="92" t="s">
        <v>11</v>
      </c>
      <c r="K347" s="365" t="s">
        <v>375</v>
      </c>
      <c r="L347" s="486" t="s">
        <v>374</v>
      </c>
      <c r="M347" s="89" t="s">
        <v>12</v>
      </c>
      <c r="N347" s="89" t="s">
        <v>13</v>
      </c>
      <c r="O347" s="89" t="s">
        <v>14</v>
      </c>
      <c r="P347" s="89" t="s">
        <v>15</v>
      </c>
      <c r="Q347" s="93" t="s">
        <v>16</v>
      </c>
      <c r="R347" s="93" t="s">
        <v>17</v>
      </c>
      <c r="S347" s="94" t="s">
        <v>18</v>
      </c>
      <c r="T347" s="95"/>
    </row>
    <row r="348" spans="2:22" s="51" customFormat="1" ht="16.5" customHeight="1" thickBot="1" x14ac:dyDescent="0.3">
      <c r="B348" s="1002" t="s">
        <v>259</v>
      </c>
      <c r="C348" s="1003"/>
      <c r="D348" s="1003"/>
      <c r="E348" s="1003"/>
      <c r="F348" s="1003"/>
      <c r="G348" s="1003"/>
      <c r="H348" s="1003"/>
      <c r="I348" s="1003"/>
      <c r="J348" s="1003"/>
      <c r="K348" s="96"/>
      <c r="L348" s="96"/>
      <c r="M348" s="96"/>
      <c r="N348" s="96"/>
      <c r="O348" s="96"/>
      <c r="P348" s="96"/>
      <c r="Q348" s="96"/>
      <c r="R348" s="96"/>
      <c r="S348" s="97"/>
      <c r="T348" s="132"/>
    </row>
    <row r="349" spans="2:22" s="98" customFormat="1" ht="13.5" x14ac:dyDescent="0.25">
      <c r="B349" s="99" t="s">
        <v>260</v>
      </c>
      <c r="C349" s="100"/>
      <c r="D349" s="100"/>
      <c r="E349" s="100"/>
      <c r="F349" s="100"/>
      <c r="G349" s="101"/>
      <c r="H349" s="102"/>
      <c r="I349" s="102"/>
      <c r="J349" s="103"/>
      <c r="K349" s="15"/>
      <c r="L349" s="15"/>
      <c r="M349" s="133"/>
      <c r="N349" s="134"/>
      <c r="O349" s="15"/>
      <c r="P349" s="134"/>
      <c r="Q349" s="135"/>
      <c r="R349" s="135"/>
      <c r="S349" s="136"/>
      <c r="T349" s="108"/>
    </row>
    <row r="350" spans="2:22" s="64" customFormat="1" x14ac:dyDescent="0.2">
      <c r="B350" s="137" t="s">
        <v>261</v>
      </c>
      <c r="C350" s="138" t="s">
        <v>61</v>
      </c>
      <c r="D350" s="139" t="s">
        <v>24</v>
      </c>
      <c r="E350" s="139">
        <v>10</v>
      </c>
      <c r="F350" s="139">
        <v>3</v>
      </c>
      <c r="G350" s="140">
        <v>1287</v>
      </c>
      <c r="H350" s="141">
        <v>930</v>
      </c>
      <c r="I350" s="141">
        <v>391</v>
      </c>
      <c r="J350" s="142">
        <v>1</v>
      </c>
      <c r="K350" s="5">
        <f>H350*1.27</f>
        <v>1181.0999999999999</v>
      </c>
      <c r="L350" s="5">
        <f>IF(K350&lt;=G350,K350,G350)</f>
        <v>1181.0999999999999</v>
      </c>
      <c r="M350" s="122">
        <f>N350-I350</f>
        <v>105.56999999999994</v>
      </c>
      <c r="N350" s="123">
        <f>I350/H350*L350</f>
        <v>496.56999999999994</v>
      </c>
      <c r="O350" s="5">
        <f>L350-H350+M350</f>
        <v>356.66999999999985</v>
      </c>
      <c r="P350" s="123">
        <f t="shared" ref="P350" si="144">O350*J350</f>
        <v>356.66999999999985</v>
      </c>
      <c r="Q350" s="124">
        <f t="shared" ref="Q350:Q355" si="145">P350*12</f>
        <v>4280.0399999999981</v>
      </c>
      <c r="R350" s="124">
        <f>Q350*0.2409</f>
        <v>1031.0616359999995</v>
      </c>
      <c r="S350" s="125">
        <f>Q350+R350</f>
        <v>5311.1016359999976</v>
      </c>
      <c r="T350" s="143"/>
    </row>
    <row r="351" spans="2:22" s="64" customFormat="1" x14ac:dyDescent="0.2">
      <c r="B351" s="24" t="s">
        <v>261</v>
      </c>
      <c r="C351" s="128" t="s">
        <v>61</v>
      </c>
      <c r="D351" s="22" t="s">
        <v>24</v>
      </c>
      <c r="E351" s="22">
        <v>10</v>
      </c>
      <c r="F351" s="22">
        <v>3</v>
      </c>
      <c r="G351" s="42">
        <v>1287</v>
      </c>
      <c r="H351" s="14">
        <v>750</v>
      </c>
      <c r="I351" s="14">
        <v>0</v>
      </c>
      <c r="J351" s="121">
        <v>1</v>
      </c>
      <c r="K351" s="5">
        <f t="shared" ref="K351:K355" si="146">H351*1.27</f>
        <v>952.5</v>
      </c>
      <c r="L351" s="5">
        <f t="shared" ref="L351:L355" si="147">IF(K351&lt;=G351,K351,G351)</f>
        <v>952.5</v>
      </c>
      <c r="M351" s="122">
        <f t="shared" ref="M351:M355" si="148">N351-I351</f>
        <v>0</v>
      </c>
      <c r="N351" s="123">
        <f t="shared" ref="N351:N355" si="149">I351/H351*L351</f>
        <v>0</v>
      </c>
      <c r="O351" s="5">
        <f t="shared" ref="O351:O355" si="150">L351-H351+M351</f>
        <v>202.5</v>
      </c>
      <c r="P351" s="123">
        <f>O351*J351</f>
        <v>202.5</v>
      </c>
      <c r="Q351" s="124">
        <f t="shared" si="145"/>
        <v>2430</v>
      </c>
      <c r="R351" s="124">
        <f t="shared" ref="R351:R367" si="151">Q351*0.2409</f>
        <v>585.38700000000006</v>
      </c>
      <c r="S351" s="125">
        <f t="shared" ref="S351:S355" si="152">Q351+R351</f>
        <v>3015.3870000000002</v>
      </c>
      <c r="T351" s="143"/>
    </row>
    <row r="352" spans="2:22" s="64" customFormat="1" x14ac:dyDescent="0.2">
      <c r="B352" s="24" t="s">
        <v>81</v>
      </c>
      <c r="C352" s="128" t="s">
        <v>61</v>
      </c>
      <c r="D352" s="22" t="s">
        <v>80</v>
      </c>
      <c r="E352" s="22">
        <v>8</v>
      </c>
      <c r="F352" s="22">
        <v>3</v>
      </c>
      <c r="G352" s="42">
        <v>1093</v>
      </c>
      <c r="H352" s="14">
        <v>827</v>
      </c>
      <c r="I352" s="14">
        <v>290</v>
      </c>
      <c r="J352" s="121">
        <v>1</v>
      </c>
      <c r="K352" s="5">
        <f t="shared" si="146"/>
        <v>1050.29</v>
      </c>
      <c r="L352" s="5">
        <f t="shared" si="147"/>
        <v>1050.29</v>
      </c>
      <c r="M352" s="122">
        <f t="shared" si="148"/>
        <v>78.300000000000011</v>
      </c>
      <c r="N352" s="123">
        <f t="shared" si="149"/>
        <v>368.3</v>
      </c>
      <c r="O352" s="5">
        <f t="shared" si="150"/>
        <v>301.58999999999997</v>
      </c>
      <c r="P352" s="123">
        <f t="shared" ref="P352:P355" si="153">O352*J352</f>
        <v>301.58999999999997</v>
      </c>
      <c r="Q352" s="124">
        <f t="shared" si="145"/>
        <v>3619.08</v>
      </c>
      <c r="R352" s="124">
        <f t="shared" si="151"/>
        <v>871.83637199999998</v>
      </c>
      <c r="S352" s="125">
        <f t="shared" si="152"/>
        <v>4490.9163719999997</v>
      </c>
      <c r="T352" s="143"/>
    </row>
    <row r="353" spans="2:21" s="64" customFormat="1" x14ac:dyDescent="0.2">
      <c r="B353" s="24" t="s">
        <v>81</v>
      </c>
      <c r="C353" s="128" t="s">
        <v>61</v>
      </c>
      <c r="D353" s="22" t="s">
        <v>80</v>
      </c>
      <c r="E353" s="22">
        <v>8</v>
      </c>
      <c r="F353" s="22">
        <v>3</v>
      </c>
      <c r="G353" s="42">
        <v>1093</v>
      </c>
      <c r="H353" s="14">
        <v>827</v>
      </c>
      <c r="I353" s="14">
        <v>276</v>
      </c>
      <c r="J353" s="121">
        <v>1</v>
      </c>
      <c r="K353" s="5">
        <f t="shared" si="146"/>
        <v>1050.29</v>
      </c>
      <c r="L353" s="5">
        <f t="shared" si="147"/>
        <v>1050.29</v>
      </c>
      <c r="M353" s="122">
        <f t="shared" si="148"/>
        <v>74.519999999999982</v>
      </c>
      <c r="N353" s="123">
        <f t="shared" si="149"/>
        <v>350.52</v>
      </c>
      <c r="O353" s="5">
        <f t="shared" si="150"/>
        <v>297.80999999999995</v>
      </c>
      <c r="P353" s="123">
        <f t="shared" si="153"/>
        <v>297.80999999999995</v>
      </c>
      <c r="Q353" s="124">
        <f t="shared" si="145"/>
        <v>3573.7199999999993</v>
      </c>
      <c r="R353" s="124">
        <f t="shared" si="151"/>
        <v>860.90914799999985</v>
      </c>
      <c r="S353" s="125">
        <f t="shared" si="152"/>
        <v>4434.6291479999991</v>
      </c>
      <c r="T353" s="143"/>
    </row>
    <row r="354" spans="2:21" s="64" customFormat="1" x14ac:dyDescent="0.2">
      <c r="B354" s="24" t="s">
        <v>81</v>
      </c>
      <c r="C354" s="128" t="s">
        <v>61</v>
      </c>
      <c r="D354" s="22" t="s">
        <v>80</v>
      </c>
      <c r="E354" s="22">
        <v>8</v>
      </c>
      <c r="F354" s="22">
        <v>3</v>
      </c>
      <c r="G354" s="42">
        <v>1093</v>
      </c>
      <c r="H354" s="14">
        <v>827</v>
      </c>
      <c r="I354" s="14">
        <v>292</v>
      </c>
      <c r="J354" s="121">
        <v>1</v>
      </c>
      <c r="K354" s="5">
        <f t="shared" si="146"/>
        <v>1050.29</v>
      </c>
      <c r="L354" s="5">
        <f t="shared" si="147"/>
        <v>1050.29</v>
      </c>
      <c r="M354" s="122">
        <f t="shared" si="148"/>
        <v>78.839999999999975</v>
      </c>
      <c r="N354" s="123">
        <f t="shared" si="149"/>
        <v>370.84</v>
      </c>
      <c r="O354" s="5">
        <f t="shared" si="150"/>
        <v>302.12999999999994</v>
      </c>
      <c r="P354" s="123">
        <f t="shared" si="153"/>
        <v>302.12999999999994</v>
      </c>
      <c r="Q354" s="124">
        <f t="shared" si="145"/>
        <v>3625.5599999999995</v>
      </c>
      <c r="R354" s="124">
        <f t="shared" si="151"/>
        <v>873.39740399999994</v>
      </c>
      <c r="S354" s="125">
        <f t="shared" si="152"/>
        <v>4498.9574039999998</v>
      </c>
      <c r="T354" s="143"/>
    </row>
    <row r="355" spans="2:21" s="64" customFormat="1" x14ac:dyDescent="0.2">
      <c r="B355" s="24" t="s">
        <v>81</v>
      </c>
      <c r="C355" s="128" t="s">
        <v>61</v>
      </c>
      <c r="D355" s="22" t="s">
        <v>80</v>
      </c>
      <c r="E355" s="22">
        <v>8</v>
      </c>
      <c r="F355" s="22">
        <v>3</v>
      </c>
      <c r="G355" s="42">
        <v>1093</v>
      </c>
      <c r="H355" s="14">
        <v>827</v>
      </c>
      <c r="I355" s="14">
        <v>310</v>
      </c>
      <c r="J355" s="121">
        <v>1</v>
      </c>
      <c r="K355" s="5">
        <f t="shared" si="146"/>
        <v>1050.29</v>
      </c>
      <c r="L355" s="5">
        <f t="shared" si="147"/>
        <v>1050.29</v>
      </c>
      <c r="M355" s="122">
        <f t="shared" si="148"/>
        <v>83.699999999999989</v>
      </c>
      <c r="N355" s="123">
        <f t="shared" si="149"/>
        <v>393.7</v>
      </c>
      <c r="O355" s="5">
        <f t="shared" si="150"/>
        <v>306.98999999999995</v>
      </c>
      <c r="P355" s="123">
        <f t="shared" si="153"/>
        <v>306.98999999999995</v>
      </c>
      <c r="Q355" s="124">
        <f t="shared" si="145"/>
        <v>3683.8799999999992</v>
      </c>
      <c r="R355" s="124">
        <f t="shared" si="151"/>
        <v>887.44669199999987</v>
      </c>
      <c r="S355" s="125">
        <f t="shared" si="152"/>
        <v>4571.3266919999987</v>
      </c>
      <c r="T355" s="143"/>
    </row>
    <row r="356" spans="2:21" s="144" customFormat="1" x14ac:dyDescent="0.2">
      <c r="B356" s="145" t="s">
        <v>262</v>
      </c>
      <c r="C356" s="146"/>
      <c r="D356" s="147"/>
      <c r="E356" s="147"/>
      <c r="F356" s="148"/>
      <c r="G356" s="149"/>
      <c r="H356" s="150"/>
      <c r="I356" s="150"/>
      <c r="J356" s="151">
        <f>SUM(J350:J355)</f>
        <v>6</v>
      </c>
      <c r="K356" s="16"/>
      <c r="L356" s="391"/>
      <c r="M356" s="152"/>
      <c r="N356" s="153"/>
      <c r="O356" s="17"/>
      <c r="P356" s="153"/>
      <c r="Q356" s="154">
        <f t="shared" ref="Q356:S356" si="154">SUM(Q350:Q355)</f>
        <v>21212.28</v>
      </c>
      <c r="R356" s="154">
        <f t="shared" si="154"/>
        <v>5110.0382519999994</v>
      </c>
      <c r="S356" s="155">
        <f t="shared" si="154"/>
        <v>26322.318251999997</v>
      </c>
      <c r="T356" s="143"/>
      <c r="U356" s="64"/>
    </row>
    <row r="357" spans="2:21" s="98" customFormat="1" ht="13.5" x14ac:dyDescent="0.2">
      <c r="B357" s="156" t="s">
        <v>263</v>
      </c>
      <c r="C357" s="157"/>
      <c r="D357" s="158"/>
      <c r="E357" s="158"/>
      <c r="F357" s="158"/>
      <c r="G357" s="159"/>
      <c r="H357" s="160"/>
      <c r="I357" s="160"/>
      <c r="J357" s="161"/>
      <c r="K357" s="15"/>
      <c r="L357" s="15"/>
      <c r="M357" s="122"/>
      <c r="N357" s="123"/>
      <c r="O357" s="15"/>
      <c r="P357" s="134"/>
      <c r="Q357" s="135"/>
      <c r="R357" s="135"/>
      <c r="S357" s="136"/>
      <c r="T357" s="143"/>
      <c r="U357" s="64"/>
    </row>
    <row r="358" spans="2:21" s="64" customFormat="1" x14ac:dyDescent="0.2">
      <c r="B358" s="24" t="s">
        <v>81</v>
      </c>
      <c r="C358" s="128" t="s">
        <v>61</v>
      </c>
      <c r="D358" s="22" t="s">
        <v>80</v>
      </c>
      <c r="E358" s="22">
        <v>8</v>
      </c>
      <c r="F358" s="22">
        <v>3</v>
      </c>
      <c r="G358" s="42">
        <v>1093</v>
      </c>
      <c r="H358" s="14">
        <v>575</v>
      </c>
      <c r="I358" s="14">
        <v>86</v>
      </c>
      <c r="J358" s="121">
        <v>2</v>
      </c>
      <c r="K358" s="5">
        <f t="shared" ref="K358:K367" si="155">H358*1.27</f>
        <v>730.25</v>
      </c>
      <c r="L358" s="5">
        <f t="shared" ref="L358:L359" si="156">IF(K358&lt;=G358,K358,G358)</f>
        <v>730.25</v>
      </c>
      <c r="M358" s="122">
        <f t="shared" ref="M358:M359" si="157">N358-I358</f>
        <v>23.22</v>
      </c>
      <c r="N358" s="123">
        <f t="shared" ref="N358:N359" si="158">I358/H358*L358</f>
        <v>109.22</v>
      </c>
      <c r="O358" s="5">
        <f t="shared" ref="O358:O359" si="159">L358-H358+M358</f>
        <v>178.47</v>
      </c>
      <c r="P358" s="123">
        <f t="shared" ref="P358:P359" si="160">O358*J358</f>
        <v>356.94</v>
      </c>
      <c r="Q358" s="124">
        <f t="shared" ref="Q358:Q359" si="161">P358*12</f>
        <v>4283.28</v>
      </c>
      <c r="R358" s="124">
        <f t="shared" si="151"/>
        <v>1031.8421519999999</v>
      </c>
      <c r="S358" s="125">
        <f t="shared" ref="S358:S359" si="162">Q358+R358</f>
        <v>5315.1221519999999</v>
      </c>
      <c r="T358" s="143"/>
    </row>
    <row r="359" spans="2:21" s="64" customFormat="1" x14ac:dyDescent="0.2">
      <c r="B359" s="24" t="s">
        <v>81</v>
      </c>
      <c r="C359" s="128" t="s">
        <v>61</v>
      </c>
      <c r="D359" s="22" t="s">
        <v>80</v>
      </c>
      <c r="E359" s="22">
        <v>8</v>
      </c>
      <c r="F359" s="22">
        <v>3</v>
      </c>
      <c r="G359" s="42">
        <v>1093</v>
      </c>
      <c r="H359" s="14">
        <v>554</v>
      </c>
      <c r="I359" s="14">
        <v>83</v>
      </c>
      <c r="J359" s="121">
        <v>2</v>
      </c>
      <c r="K359" s="5">
        <f t="shared" si="155"/>
        <v>703.58</v>
      </c>
      <c r="L359" s="5">
        <f t="shared" si="156"/>
        <v>703.58</v>
      </c>
      <c r="M359" s="122">
        <f t="shared" si="157"/>
        <v>22.409999999999997</v>
      </c>
      <c r="N359" s="123">
        <f t="shared" si="158"/>
        <v>105.41</v>
      </c>
      <c r="O359" s="5">
        <f t="shared" si="159"/>
        <v>171.99000000000004</v>
      </c>
      <c r="P359" s="123">
        <f t="shared" si="160"/>
        <v>343.98000000000008</v>
      </c>
      <c r="Q359" s="124">
        <f t="shared" si="161"/>
        <v>4127.7600000000011</v>
      </c>
      <c r="R359" s="124">
        <f t="shared" si="151"/>
        <v>994.37738400000023</v>
      </c>
      <c r="S359" s="125">
        <f t="shared" si="162"/>
        <v>5122.1373840000015</v>
      </c>
      <c r="T359" s="143"/>
    </row>
    <row r="360" spans="2:21" s="144" customFormat="1" x14ac:dyDescent="0.2">
      <c r="B360" s="145" t="s">
        <v>264</v>
      </c>
      <c r="C360" s="146"/>
      <c r="D360" s="147"/>
      <c r="E360" s="147"/>
      <c r="F360" s="148"/>
      <c r="G360" s="149"/>
      <c r="H360" s="150"/>
      <c r="I360" s="150"/>
      <c r="J360" s="151">
        <f>SUM(J358:J359)</f>
        <v>4</v>
      </c>
      <c r="K360" s="16"/>
      <c r="L360" s="391"/>
      <c r="M360" s="152"/>
      <c r="N360" s="153"/>
      <c r="O360" s="17"/>
      <c r="P360" s="153"/>
      <c r="Q360" s="154">
        <f t="shared" ref="Q360:S360" si="163">SUM(Q358:Q359)</f>
        <v>8411.0400000000009</v>
      </c>
      <c r="R360" s="154">
        <f t="shared" si="163"/>
        <v>2026.2195360000001</v>
      </c>
      <c r="S360" s="155">
        <f t="shared" si="163"/>
        <v>10437.259536000001</v>
      </c>
      <c r="T360" s="143"/>
      <c r="U360" s="64"/>
    </row>
    <row r="361" spans="2:21" s="98" customFormat="1" ht="13.5" x14ac:dyDescent="0.2">
      <c r="B361" s="156" t="s">
        <v>265</v>
      </c>
      <c r="C361" s="162"/>
      <c r="D361" s="158"/>
      <c r="E361" s="158"/>
      <c r="F361" s="158"/>
      <c r="G361" s="159"/>
      <c r="H361" s="160"/>
      <c r="I361" s="160"/>
      <c r="J361" s="161"/>
      <c r="K361" s="15"/>
      <c r="M361" s="122"/>
      <c r="N361" s="123"/>
      <c r="O361" s="15"/>
      <c r="P361" s="134"/>
      <c r="Q361" s="135"/>
      <c r="R361" s="135"/>
      <c r="S361" s="136"/>
      <c r="T361" s="143"/>
      <c r="U361" s="64"/>
    </row>
    <row r="362" spans="2:21" s="64" customFormat="1" x14ac:dyDescent="0.2">
      <c r="B362" s="137" t="s">
        <v>261</v>
      </c>
      <c r="C362" s="41"/>
      <c r="D362" s="22"/>
      <c r="E362" s="22"/>
      <c r="F362" s="22">
        <v>4</v>
      </c>
      <c r="G362" s="163"/>
      <c r="H362" s="14">
        <v>1210</v>
      </c>
      <c r="I362" s="14">
        <v>276</v>
      </c>
      <c r="J362" s="121">
        <v>2.375</v>
      </c>
      <c r="K362" s="5">
        <f t="shared" si="155"/>
        <v>1536.7</v>
      </c>
      <c r="L362" s="392"/>
      <c r="M362" s="122">
        <f t="shared" ref="M362:M367" si="164">I362*0.27</f>
        <v>74.52000000000001</v>
      </c>
      <c r="N362" s="123">
        <f t="shared" ref="N362:N367" si="165">I362+M362</f>
        <v>350.52</v>
      </c>
      <c r="O362" s="5">
        <f>K362-H362+M362</f>
        <v>401.22</v>
      </c>
      <c r="P362" s="123">
        <f>O362*J362</f>
        <v>952.89750000000004</v>
      </c>
      <c r="Q362" s="124">
        <f t="shared" ref="Q362:Q367" si="166">P362*12</f>
        <v>11434.77</v>
      </c>
      <c r="R362" s="124">
        <f t="shared" si="151"/>
        <v>2754.6360930000001</v>
      </c>
      <c r="S362" s="125">
        <f t="shared" ref="S362:S367" si="167">Q362+R362</f>
        <v>14189.406093000001</v>
      </c>
      <c r="T362" s="143"/>
    </row>
    <row r="363" spans="2:21" s="64" customFormat="1" x14ac:dyDescent="0.2">
      <c r="B363" s="24" t="s">
        <v>261</v>
      </c>
      <c r="C363" s="41"/>
      <c r="D363" s="22"/>
      <c r="E363" s="22"/>
      <c r="F363" s="22">
        <v>5</v>
      </c>
      <c r="G363" s="163"/>
      <c r="H363" s="14">
        <v>1064</v>
      </c>
      <c r="I363" s="14">
        <v>242</v>
      </c>
      <c r="J363" s="121">
        <v>9.65</v>
      </c>
      <c r="K363" s="5">
        <f t="shared" si="155"/>
        <v>1351.28</v>
      </c>
      <c r="L363" s="392"/>
      <c r="M363" s="122">
        <f t="shared" si="164"/>
        <v>65.34</v>
      </c>
      <c r="N363" s="123">
        <f t="shared" si="165"/>
        <v>307.34000000000003</v>
      </c>
      <c r="O363" s="5">
        <f t="shared" ref="O363:O367" si="168">K363-H363+M363</f>
        <v>352.62</v>
      </c>
      <c r="P363" s="123">
        <f t="shared" ref="P363:P367" si="169">O363*J363</f>
        <v>3402.7830000000004</v>
      </c>
      <c r="Q363" s="124">
        <f t="shared" si="166"/>
        <v>40833.396000000008</v>
      </c>
      <c r="R363" s="124">
        <f t="shared" si="151"/>
        <v>9836.7650964000022</v>
      </c>
      <c r="S363" s="125">
        <f t="shared" si="167"/>
        <v>50670.161096400014</v>
      </c>
      <c r="T363" s="143"/>
    </row>
    <row r="364" spans="2:21" s="64" customFormat="1" x14ac:dyDescent="0.2">
      <c r="B364" s="24" t="s">
        <v>77</v>
      </c>
      <c r="C364" s="41"/>
      <c r="D364" s="22"/>
      <c r="E364" s="22"/>
      <c r="F364" s="22">
        <v>6</v>
      </c>
      <c r="G364" s="163"/>
      <c r="H364" s="14">
        <v>750</v>
      </c>
      <c r="I364" s="14">
        <v>172</v>
      </c>
      <c r="J364" s="121">
        <v>1.25</v>
      </c>
      <c r="K364" s="5">
        <f t="shared" si="155"/>
        <v>952.5</v>
      </c>
      <c r="L364" s="392"/>
      <c r="M364" s="122">
        <f t="shared" si="164"/>
        <v>46.440000000000005</v>
      </c>
      <c r="N364" s="123">
        <f t="shared" si="165"/>
        <v>218.44</v>
      </c>
      <c r="O364" s="5">
        <f t="shared" si="168"/>
        <v>248.94</v>
      </c>
      <c r="P364" s="123">
        <f t="shared" si="169"/>
        <v>311.17500000000001</v>
      </c>
      <c r="Q364" s="124">
        <f t="shared" si="166"/>
        <v>3734.1000000000004</v>
      </c>
      <c r="R364" s="124">
        <f t="shared" si="151"/>
        <v>899.54469000000006</v>
      </c>
      <c r="S364" s="125">
        <f t="shared" si="167"/>
        <v>4633.6446900000001</v>
      </c>
      <c r="T364" s="143"/>
    </row>
    <row r="365" spans="2:21" s="64" customFormat="1" x14ac:dyDescent="0.2">
      <c r="B365" s="24" t="s">
        <v>86</v>
      </c>
      <c r="C365" s="41"/>
      <c r="D365" s="22"/>
      <c r="E365" s="22"/>
      <c r="F365" s="22">
        <v>7</v>
      </c>
      <c r="G365" s="163"/>
      <c r="H365" s="14">
        <v>685</v>
      </c>
      <c r="I365" s="14">
        <v>165</v>
      </c>
      <c r="J365" s="121">
        <v>5.2</v>
      </c>
      <c r="K365" s="5">
        <f t="shared" si="155"/>
        <v>869.95</v>
      </c>
      <c r="L365" s="392"/>
      <c r="M365" s="122">
        <f t="shared" si="164"/>
        <v>44.550000000000004</v>
      </c>
      <c r="N365" s="123">
        <f t="shared" si="165"/>
        <v>209.55</v>
      </c>
      <c r="O365" s="5">
        <f t="shared" si="168"/>
        <v>229.50000000000006</v>
      </c>
      <c r="P365" s="123">
        <f t="shared" si="169"/>
        <v>1193.4000000000003</v>
      </c>
      <c r="Q365" s="124">
        <f t="shared" si="166"/>
        <v>14320.800000000003</v>
      </c>
      <c r="R365" s="124">
        <f t="shared" si="151"/>
        <v>3449.8807200000006</v>
      </c>
      <c r="S365" s="125">
        <f t="shared" si="167"/>
        <v>17770.680720000004</v>
      </c>
      <c r="T365" s="143"/>
    </row>
    <row r="366" spans="2:21" s="64" customFormat="1" x14ac:dyDescent="0.2">
      <c r="B366" s="24" t="s">
        <v>266</v>
      </c>
      <c r="C366" s="41"/>
      <c r="D366" s="22"/>
      <c r="E366" s="22"/>
      <c r="F366" s="22">
        <v>7</v>
      </c>
      <c r="G366" s="163"/>
      <c r="H366" s="14">
        <v>685</v>
      </c>
      <c r="I366" s="14">
        <v>165</v>
      </c>
      <c r="J366" s="121">
        <v>1.5</v>
      </c>
      <c r="K366" s="5">
        <f t="shared" si="155"/>
        <v>869.95</v>
      </c>
      <c r="L366" s="392"/>
      <c r="M366" s="122">
        <f t="shared" si="164"/>
        <v>44.550000000000004</v>
      </c>
      <c r="N366" s="123">
        <f t="shared" si="165"/>
        <v>209.55</v>
      </c>
      <c r="O366" s="5">
        <f t="shared" si="168"/>
        <v>229.50000000000006</v>
      </c>
      <c r="P366" s="123">
        <f t="shared" si="169"/>
        <v>344.25000000000011</v>
      </c>
      <c r="Q366" s="124">
        <f t="shared" si="166"/>
        <v>4131.0000000000018</v>
      </c>
      <c r="R366" s="124">
        <f t="shared" si="151"/>
        <v>995.1579000000005</v>
      </c>
      <c r="S366" s="125">
        <f t="shared" si="167"/>
        <v>5126.157900000002</v>
      </c>
      <c r="T366" s="143"/>
    </row>
    <row r="367" spans="2:21" s="64" customFormat="1" x14ac:dyDescent="0.2">
      <c r="B367" s="24" t="s">
        <v>231</v>
      </c>
      <c r="C367" s="41"/>
      <c r="D367" s="22"/>
      <c r="E367" s="22"/>
      <c r="F367" s="22">
        <v>7</v>
      </c>
      <c r="G367" s="163"/>
      <c r="H367" s="14">
        <v>685</v>
      </c>
      <c r="I367" s="14">
        <v>165</v>
      </c>
      <c r="J367" s="121">
        <v>2.7</v>
      </c>
      <c r="K367" s="5">
        <f t="shared" si="155"/>
        <v>869.95</v>
      </c>
      <c r="L367" s="392"/>
      <c r="M367" s="122">
        <f t="shared" si="164"/>
        <v>44.550000000000004</v>
      </c>
      <c r="N367" s="123">
        <f t="shared" si="165"/>
        <v>209.55</v>
      </c>
      <c r="O367" s="5">
        <f t="shared" si="168"/>
        <v>229.50000000000006</v>
      </c>
      <c r="P367" s="123">
        <f t="shared" si="169"/>
        <v>619.6500000000002</v>
      </c>
      <c r="Q367" s="124">
        <f t="shared" si="166"/>
        <v>7435.8000000000029</v>
      </c>
      <c r="R367" s="124">
        <f t="shared" si="151"/>
        <v>1791.2842200000007</v>
      </c>
      <c r="S367" s="125">
        <f t="shared" si="167"/>
        <v>9227.0842200000043</v>
      </c>
      <c r="T367" s="143"/>
    </row>
    <row r="368" spans="2:21" s="144" customFormat="1" x14ac:dyDescent="0.2">
      <c r="B368" s="145" t="s">
        <v>267</v>
      </c>
      <c r="C368" s="146"/>
      <c r="D368" s="147"/>
      <c r="E368" s="147"/>
      <c r="F368" s="148"/>
      <c r="G368" s="149"/>
      <c r="H368" s="150"/>
      <c r="I368" s="150"/>
      <c r="J368" s="151">
        <f>SUM(J362:J367)</f>
        <v>22.675000000000001</v>
      </c>
      <c r="K368" s="16"/>
      <c r="L368" s="391"/>
      <c r="M368" s="152"/>
      <c r="N368" s="153"/>
      <c r="O368" s="17"/>
      <c r="P368" s="153"/>
      <c r="Q368" s="154">
        <f t="shared" ref="Q368:S368" si="170">SUM(Q362:Q367)</f>
        <v>81889.866000000024</v>
      </c>
      <c r="R368" s="154">
        <f t="shared" si="170"/>
        <v>19727.268719400006</v>
      </c>
      <c r="S368" s="155">
        <f t="shared" si="170"/>
        <v>101617.13471940003</v>
      </c>
      <c r="T368" s="164"/>
    </row>
    <row r="369" spans="2:21" s="52" customFormat="1" x14ac:dyDescent="0.25">
      <c r="B369" s="165" t="s">
        <v>19</v>
      </c>
      <c r="C369" s="54"/>
      <c r="D369" s="54"/>
      <c r="E369" s="54"/>
      <c r="F369" s="55"/>
      <c r="G369" s="56"/>
      <c r="H369" s="6"/>
      <c r="I369" s="7"/>
      <c r="J369" s="67">
        <f>SUM(J350:J351)+SUM(J362:J363)</f>
        <v>14.025</v>
      </c>
      <c r="K369" s="58"/>
      <c r="L369" s="7"/>
      <c r="M369" s="59"/>
      <c r="N369" s="57"/>
      <c r="O369" s="7"/>
      <c r="P369" s="57"/>
      <c r="Q369" s="60">
        <f>SUM(Q350:Q351)+SUM(Q362:Q363)</f>
        <v>58978.206000000013</v>
      </c>
      <c r="R369" s="60">
        <f>SUM(R350:R351)+SUM(R362:R363)</f>
        <v>14207.849825400002</v>
      </c>
      <c r="S369" s="61">
        <f>ROUND(S362+S363+S350+S351,0)-1</f>
        <v>73185</v>
      </c>
      <c r="T369" s="127"/>
    </row>
    <row r="370" spans="2:21" s="52" customFormat="1" x14ac:dyDescent="0.25">
      <c r="B370" s="165" t="s">
        <v>40</v>
      </c>
      <c r="C370" s="54"/>
      <c r="D370" s="54"/>
      <c r="E370" s="54"/>
      <c r="F370" s="55"/>
      <c r="G370" s="56"/>
      <c r="H370" s="6"/>
      <c r="I370" s="7"/>
      <c r="J370" s="67">
        <f>SUM(J352:J355)+SUM(J358:J359)+SUM(J364:J367)</f>
        <v>18.649999999999999</v>
      </c>
      <c r="K370" s="58"/>
      <c r="L370" s="7"/>
      <c r="M370" s="59"/>
      <c r="N370" s="57"/>
      <c r="O370" s="7"/>
      <c r="P370" s="57"/>
      <c r="Q370" s="60">
        <f>SUM(Q352:Q355)+SUM(Q358:Q359)+SUM(Q364:Q367)</f>
        <v>52534.98</v>
      </c>
      <c r="R370" s="60">
        <f>SUM(R352:R355)+SUM(R358:R359)+SUM(R364:R367)</f>
        <v>12655.676682000001</v>
      </c>
      <c r="S370" s="61">
        <f>ROUND(S352+S353+S354+S355+S358+S359+S364+S365+S366+S367,0)</f>
        <v>65191</v>
      </c>
      <c r="T370" s="127"/>
    </row>
    <row r="371" spans="2:21" s="64" customFormat="1" ht="13.5" customHeight="1" thickBot="1" x14ac:dyDescent="0.25">
      <c r="B371" s="129" t="s">
        <v>268</v>
      </c>
      <c r="C371" s="130"/>
      <c r="D371" s="130"/>
      <c r="E371" s="130"/>
      <c r="F371" s="130"/>
      <c r="G371" s="75"/>
      <c r="H371" s="76"/>
      <c r="I371" s="76"/>
      <c r="J371" s="131">
        <f>J369+J370</f>
        <v>32.674999999999997</v>
      </c>
      <c r="K371" s="129"/>
      <c r="L371" s="130"/>
      <c r="M371" s="130"/>
      <c r="N371" s="130"/>
      <c r="O371" s="130"/>
      <c r="P371" s="130"/>
      <c r="Q371" s="77">
        <f t="shared" ref="Q371:S371" si="171">Q369+Q370</f>
        <v>111513.18600000002</v>
      </c>
      <c r="R371" s="77">
        <f t="shared" si="171"/>
        <v>26863.526507400005</v>
      </c>
      <c r="S371" s="78">
        <f t="shared" si="171"/>
        <v>138376</v>
      </c>
      <c r="T371" s="164"/>
    </row>
    <row r="372" spans="2:21" ht="27" customHeight="1" thickBot="1" x14ac:dyDescent="0.3">
      <c r="B372" s="166" t="s">
        <v>269</v>
      </c>
      <c r="C372" s="167"/>
      <c r="D372" s="167"/>
      <c r="E372" s="167"/>
      <c r="F372" s="167"/>
      <c r="G372" s="168"/>
      <c r="H372" s="169"/>
      <c r="I372" s="169"/>
      <c r="J372" s="170"/>
      <c r="K372" s="62"/>
      <c r="L372" s="62"/>
      <c r="M372" s="62"/>
      <c r="N372" s="62"/>
      <c r="O372" s="62"/>
      <c r="P372" s="62"/>
      <c r="Q372" s="62"/>
      <c r="R372" s="62"/>
      <c r="S372" s="62"/>
      <c r="T372" s="127"/>
      <c r="U372" s="50"/>
    </row>
    <row r="373" spans="2:21" s="51" customFormat="1" ht="16.5" customHeight="1" thickBot="1" x14ac:dyDescent="0.3">
      <c r="B373" s="1002" t="s">
        <v>270</v>
      </c>
      <c r="C373" s="1003"/>
      <c r="D373" s="1003"/>
      <c r="E373" s="1003"/>
      <c r="F373" s="1003"/>
      <c r="G373" s="1003"/>
      <c r="H373" s="1003"/>
      <c r="I373" s="1003"/>
      <c r="J373" s="1003"/>
      <c r="K373" s="96"/>
      <c r="L373" s="96"/>
      <c r="M373" s="96"/>
      <c r="N373" s="96"/>
      <c r="O373" s="96"/>
      <c r="P373" s="96"/>
      <c r="Q373" s="96"/>
      <c r="R373" s="96"/>
      <c r="S373" s="97"/>
      <c r="T373" s="86"/>
    </row>
    <row r="374" spans="2:21" s="98" customFormat="1" ht="13.5" x14ac:dyDescent="0.25">
      <c r="B374" s="171" t="s">
        <v>271</v>
      </c>
      <c r="C374" s="172"/>
      <c r="D374" s="173"/>
      <c r="E374" s="173"/>
      <c r="F374" s="173"/>
      <c r="G374" s="174"/>
      <c r="H374" s="175"/>
      <c r="I374" s="175"/>
      <c r="J374" s="176"/>
      <c r="K374" s="12"/>
      <c r="L374" s="177"/>
      <c r="M374" s="177"/>
      <c r="N374" s="105"/>
      <c r="O374" s="18"/>
      <c r="P374" s="178"/>
      <c r="Q374" s="179"/>
      <c r="R374" s="179"/>
      <c r="S374" s="180"/>
      <c r="T374" s="108"/>
    </row>
    <row r="375" spans="2:21" s="109" customFormat="1" x14ac:dyDescent="0.2">
      <c r="B375" s="110" t="s">
        <v>19</v>
      </c>
      <c r="C375" s="111"/>
      <c r="D375" s="111"/>
      <c r="E375" s="111"/>
      <c r="F375" s="111"/>
      <c r="G375" s="13"/>
      <c r="H375" s="112"/>
      <c r="I375" s="113"/>
      <c r="J375" s="114"/>
      <c r="K375" s="115"/>
      <c r="L375" s="116"/>
      <c r="M375" s="117"/>
      <c r="N375" s="118"/>
      <c r="O375" s="117"/>
      <c r="P375" s="117"/>
      <c r="Q375" s="117"/>
      <c r="R375" s="119"/>
      <c r="S375" s="120"/>
      <c r="T375" s="95"/>
    </row>
    <row r="376" spans="2:21" s="64" customFormat="1" x14ac:dyDescent="0.2">
      <c r="B376" s="19" t="s">
        <v>272</v>
      </c>
      <c r="C376" s="20" t="s">
        <v>61</v>
      </c>
      <c r="D376" s="20" t="s">
        <v>93</v>
      </c>
      <c r="E376" s="20">
        <v>9</v>
      </c>
      <c r="F376" s="63" t="s">
        <v>58</v>
      </c>
      <c r="G376" s="42">
        <v>1190</v>
      </c>
      <c r="H376" s="21">
        <v>950</v>
      </c>
      <c r="I376" s="14">
        <v>8</v>
      </c>
      <c r="J376" s="142">
        <v>1</v>
      </c>
      <c r="K376" s="5">
        <f t="shared" ref="K376:K403" si="172">H376*1.27</f>
        <v>1206.5</v>
      </c>
      <c r="L376" s="5">
        <f t="shared" ref="L376:L403" si="173">IF(K376&lt;=G376,K376,G376)</f>
        <v>1190</v>
      </c>
      <c r="M376" s="122">
        <f>N376-I376</f>
        <v>2.0210526315789465</v>
      </c>
      <c r="N376" s="123">
        <f>I376/H376*L376</f>
        <v>10.021052631578947</v>
      </c>
      <c r="O376" s="5">
        <f>L376-H376+M376</f>
        <v>242.02105263157895</v>
      </c>
      <c r="P376" s="123">
        <f t="shared" ref="P376:P403" si="174">O376*J376</f>
        <v>242.02105263157895</v>
      </c>
      <c r="Q376" s="124">
        <f t="shared" ref="Q376:Q403" si="175">P376*12</f>
        <v>2904.2526315789473</v>
      </c>
      <c r="R376" s="124">
        <f>Q376*0.2409</f>
        <v>699.63445894736844</v>
      </c>
      <c r="S376" s="125">
        <f t="shared" ref="S376:S403" si="176">Q376+R376</f>
        <v>3603.8870905263157</v>
      </c>
      <c r="T376" s="181"/>
    </row>
    <row r="377" spans="2:21" s="64" customFormat="1" x14ac:dyDescent="0.2">
      <c r="B377" s="19" t="s">
        <v>261</v>
      </c>
      <c r="C377" s="20" t="s">
        <v>61</v>
      </c>
      <c r="D377" s="20" t="s">
        <v>24</v>
      </c>
      <c r="E377" s="20">
        <v>10</v>
      </c>
      <c r="F377" s="63" t="s">
        <v>58</v>
      </c>
      <c r="G377" s="42">
        <v>1287</v>
      </c>
      <c r="H377" s="21">
        <v>970</v>
      </c>
      <c r="I377" s="14">
        <v>8</v>
      </c>
      <c r="J377" s="142">
        <v>1.5</v>
      </c>
      <c r="K377" s="5">
        <f t="shared" si="172"/>
        <v>1231.9000000000001</v>
      </c>
      <c r="L377" s="5">
        <f t="shared" si="173"/>
        <v>1231.9000000000001</v>
      </c>
      <c r="M377" s="122">
        <f t="shared" ref="M377:M403" si="177">N377-I377</f>
        <v>2.16</v>
      </c>
      <c r="N377" s="123">
        <f t="shared" ref="N377:N403" si="178">I377/H377*L377</f>
        <v>10.16</v>
      </c>
      <c r="O377" s="5">
        <f t="shared" ref="O377:O403" si="179">L377-H377+M377</f>
        <v>264.06000000000012</v>
      </c>
      <c r="P377" s="123">
        <f t="shared" si="174"/>
        <v>396.09000000000015</v>
      </c>
      <c r="Q377" s="124">
        <f t="shared" si="175"/>
        <v>4753.0800000000017</v>
      </c>
      <c r="R377" s="124">
        <f t="shared" ref="R377:R403" si="180">Q377*0.2409</f>
        <v>1145.0169720000004</v>
      </c>
      <c r="S377" s="125">
        <f t="shared" si="176"/>
        <v>5898.0969720000021</v>
      </c>
      <c r="T377" s="181"/>
    </row>
    <row r="378" spans="2:21" s="64" customFormat="1" x14ac:dyDescent="0.2">
      <c r="B378" s="19" t="s">
        <v>273</v>
      </c>
      <c r="C378" s="20" t="s">
        <v>61</v>
      </c>
      <c r="D378" s="22" t="s">
        <v>93</v>
      </c>
      <c r="E378" s="22">
        <v>9</v>
      </c>
      <c r="F378" s="63" t="s">
        <v>58</v>
      </c>
      <c r="G378" s="42">
        <v>1190</v>
      </c>
      <c r="H378" s="21">
        <v>900</v>
      </c>
      <c r="I378" s="14">
        <v>7</v>
      </c>
      <c r="J378" s="142">
        <v>1.8</v>
      </c>
      <c r="K378" s="5">
        <f t="shared" si="172"/>
        <v>1143</v>
      </c>
      <c r="L378" s="5">
        <f t="shared" si="173"/>
        <v>1143</v>
      </c>
      <c r="M378" s="122">
        <f t="shared" si="177"/>
        <v>1.8900000000000006</v>
      </c>
      <c r="N378" s="123">
        <f t="shared" si="178"/>
        <v>8.89</v>
      </c>
      <c r="O378" s="5">
        <f t="shared" si="179"/>
        <v>244.89</v>
      </c>
      <c r="P378" s="123">
        <f t="shared" si="174"/>
        <v>440.80199999999996</v>
      </c>
      <c r="Q378" s="124">
        <f t="shared" si="175"/>
        <v>5289.6239999999998</v>
      </c>
      <c r="R378" s="124">
        <f t="shared" si="180"/>
        <v>1274.2704216</v>
      </c>
      <c r="S378" s="125">
        <f t="shared" si="176"/>
        <v>6563.8944216</v>
      </c>
      <c r="T378" s="181"/>
    </row>
    <row r="379" spans="2:21" s="64" customFormat="1" x14ac:dyDescent="0.2">
      <c r="B379" s="23" t="s">
        <v>261</v>
      </c>
      <c r="C379" s="20" t="s">
        <v>61</v>
      </c>
      <c r="D379" s="22" t="s">
        <v>93</v>
      </c>
      <c r="E379" s="22">
        <v>9</v>
      </c>
      <c r="F379" s="63" t="s">
        <v>91</v>
      </c>
      <c r="G379" s="42">
        <v>1015</v>
      </c>
      <c r="H379" s="14">
        <v>835</v>
      </c>
      <c r="I379" s="14">
        <v>0</v>
      </c>
      <c r="J379" s="142">
        <v>0.5</v>
      </c>
      <c r="K379" s="5">
        <f t="shared" si="172"/>
        <v>1060.45</v>
      </c>
      <c r="L379" s="5">
        <f t="shared" si="173"/>
        <v>1015</v>
      </c>
      <c r="M379" s="122">
        <f t="shared" si="177"/>
        <v>0</v>
      </c>
      <c r="N379" s="123">
        <f t="shared" si="178"/>
        <v>0</v>
      </c>
      <c r="O379" s="5">
        <f t="shared" si="179"/>
        <v>180</v>
      </c>
      <c r="P379" s="123">
        <f t="shared" si="174"/>
        <v>90</v>
      </c>
      <c r="Q379" s="124">
        <f t="shared" si="175"/>
        <v>1080</v>
      </c>
      <c r="R379" s="124">
        <f t="shared" si="180"/>
        <v>260.17200000000003</v>
      </c>
      <c r="S379" s="125">
        <f t="shared" si="176"/>
        <v>1340.172</v>
      </c>
      <c r="T379" s="181"/>
    </row>
    <row r="380" spans="2:21" s="64" customFormat="1" x14ac:dyDescent="0.2">
      <c r="B380" s="24" t="s">
        <v>274</v>
      </c>
      <c r="C380" s="20" t="s">
        <v>61</v>
      </c>
      <c r="D380" s="22" t="s">
        <v>24</v>
      </c>
      <c r="E380" s="22">
        <v>10</v>
      </c>
      <c r="F380" s="63" t="s">
        <v>58</v>
      </c>
      <c r="G380" s="42">
        <v>1287</v>
      </c>
      <c r="H380" s="14">
        <v>870</v>
      </c>
      <c r="I380" s="14">
        <v>0</v>
      </c>
      <c r="J380" s="142">
        <v>0.25</v>
      </c>
      <c r="K380" s="5">
        <f t="shared" si="172"/>
        <v>1104.9000000000001</v>
      </c>
      <c r="L380" s="5">
        <f t="shared" si="173"/>
        <v>1104.9000000000001</v>
      </c>
      <c r="M380" s="122">
        <f t="shared" si="177"/>
        <v>0</v>
      </c>
      <c r="N380" s="123">
        <f t="shared" si="178"/>
        <v>0</v>
      </c>
      <c r="O380" s="5">
        <f t="shared" si="179"/>
        <v>234.90000000000009</v>
      </c>
      <c r="P380" s="123">
        <f t="shared" si="174"/>
        <v>58.725000000000023</v>
      </c>
      <c r="Q380" s="124">
        <f t="shared" si="175"/>
        <v>704.70000000000027</v>
      </c>
      <c r="R380" s="124">
        <f t="shared" si="180"/>
        <v>169.76223000000007</v>
      </c>
      <c r="S380" s="125">
        <f t="shared" si="176"/>
        <v>874.46223000000032</v>
      </c>
      <c r="T380" s="181"/>
    </row>
    <row r="381" spans="2:21" s="64" customFormat="1" x14ac:dyDescent="0.2">
      <c r="B381" s="19" t="s">
        <v>275</v>
      </c>
      <c r="C381" s="20" t="s">
        <v>61</v>
      </c>
      <c r="D381" s="20" t="s">
        <v>24</v>
      </c>
      <c r="E381" s="20">
        <v>10</v>
      </c>
      <c r="F381" s="182" t="s">
        <v>58</v>
      </c>
      <c r="G381" s="42">
        <v>1287</v>
      </c>
      <c r="H381" s="21">
        <v>620</v>
      </c>
      <c r="I381" s="21">
        <v>176</v>
      </c>
      <c r="J381" s="142">
        <v>2.4</v>
      </c>
      <c r="K381" s="5">
        <f t="shared" si="172"/>
        <v>787.4</v>
      </c>
      <c r="L381" s="5">
        <f t="shared" si="173"/>
        <v>787.4</v>
      </c>
      <c r="M381" s="122">
        <f t="shared" si="177"/>
        <v>47.52000000000001</v>
      </c>
      <c r="N381" s="123">
        <f t="shared" si="178"/>
        <v>223.52</v>
      </c>
      <c r="O381" s="5">
        <f t="shared" si="179"/>
        <v>214.92</v>
      </c>
      <c r="P381" s="123">
        <f t="shared" si="174"/>
        <v>515.80799999999999</v>
      </c>
      <c r="Q381" s="124">
        <f t="shared" si="175"/>
        <v>6189.6959999999999</v>
      </c>
      <c r="R381" s="124">
        <f t="shared" si="180"/>
        <v>1491.0977664</v>
      </c>
      <c r="S381" s="125">
        <f t="shared" si="176"/>
        <v>7680.7937664000001</v>
      </c>
      <c r="T381" s="181"/>
    </row>
    <row r="382" spans="2:21" s="64" customFormat="1" x14ac:dyDescent="0.2">
      <c r="B382" s="19" t="s">
        <v>275</v>
      </c>
      <c r="C382" s="20" t="s">
        <v>61</v>
      </c>
      <c r="D382" s="22" t="s">
        <v>93</v>
      </c>
      <c r="E382" s="22">
        <v>9</v>
      </c>
      <c r="F382" s="63" t="s">
        <v>58</v>
      </c>
      <c r="G382" s="42">
        <v>1190</v>
      </c>
      <c r="H382" s="21">
        <v>600</v>
      </c>
      <c r="I382" s="14">
        <v>170</v>
      </c>
      <c r="J382" s="142">
        <v>0.6</v>
      </c>
      <c r="K382" s="5">
        <f t="shared" si="172"/>
        <v>762</v>
      </c>
      <c r="L382" s="5">
        <f t="shared" si="173"/>
        <v>762</v>
      </c>
      <c r="M382" s="122">
        <f t="shared" si="177"/>
        <v>45.900000000000006</v>
      </c>
      <c r="N382" s="123">
        <f t="shared" si="178"/>
        <v>215.9</v>
      </c>
      <c r="O382" s="5">
        <f t="shared" si="179"/>
        <v>207.9</v>
      </c>
      <c r="P382" s="123">
        <f t="shared" si="174"/>
        <v>124.74</v>
      </c>
      <c r="Q382" s="124">
        <f t="shared" si="175"/>
        <v>1496.8799999999999</v>
      </c>
      <c r="R382" s="124">
        <f t="shared" si="180"/>
        <v>360.59839199999999</v>
      </c>
      <c r="S382" s="125">
        <f t="shared" si="176"/>
        <v>1857.478392</v>
      </c>
      <c r="T382" s="181"/>
    </row>
    <row r="383" spans="2:21" s="64" customFormat="1" x14ac:dyDescent="0.2">
      <c r="B383" s="23" t="s">
        <v>276</v>
      </c>
      <c r="C383" s="22" t="s">
        <v>61</v>
      </c>
      <c r="D383" s="22" t="s">
        <v>38</v>
      </c>
      <c r="E383" s="22">
        <v>9</v>
      </c>
      <c r="F383" s="63" t="s">
        <v>58</v>
      </c>
      <c r="G383" s="42">
        <v>1190</v>
      </c>
      <c r="H383" s="14">
        <v>860</v>
      </c>
      <c r="I383" s="14">
        <v>0</v>
      </c>
      <c r="J383" s="142">
        <v>1</v>
      </c>
      <c r="K383" s="5">
        <f t="shared" si="172"/>
        <v>1092.2</v>
      </c>
      <c r="L383" s="5">
        <f t="shared" si="173"/>
        <v>1092.2</v>
      </c>
      <c r="M383" s="122">
        <f t="shared" si="177"/>
        <v>0</v>
      </c>
      <c r="N383" s="123">
        <f t="shared" si="178"/>
        <v>0</v>
      </c>
      <c r="O383" s="5">
        <f t="shared" si="179"/>
        <v>232.20000000000005</v>
      </c>
      <c r="P383" s="123">
        <f t="shared" si="174"/>
        <v>232.20000000000005</v>
      </c>
      <c r="Q383" s="124">
        <f t="shared" si="175"/>
        <v>2786.4000000000005</v>
      </c>
      <c r="R383" s="124">
        <f t="shared" si="180"/>
        <v>671.24376000000018</v>
      </c>
      <c r="S383" s="125">
        <f t="shared" si="176"/>
        <v>3457.6437600000008</v>
      </c>
      <c r="T383" s="181"/>
    </row>
    <row r="384" spans="2:21" s="64" customFormat="1" x14ac:dyDescent="0.2">
      <c r="B384" s="23" t="s">
        <v>277</v>
      </c>
      <c r="C384" s="20" t="s">
        <v>61</v>
      </c>
      <c r="D384" s="20" t="s">
        <v>38</v>
      </c>
      <c r="E384" s="20">
        <v>9</v>
      </c>
      <c r="F384" s="63" t="s">
        <v>58</v>
      </c>
      <c r="G384" s="42">
        <v>1190</v>
      </c>
      <c r="H384" s="14">
        <v>800</v>
      </c>
      <c r="I384" s="14">
        <v>3</v>
      </c>
      <c r="J384" s="142">
        <v>4</v>
      </c>
      <c r="K384" s="5">
        <f t="shared" si="172"/>
        <v>1016</v>
      </c>
      <c r="L384" s="5">
        <f t="shared" si="173"/>
        <v>1016</v>
      </c>
      <c r="M384" s="122">
        <f t="shared" si="177"/>
        <v>0.81</v>
      </c>
      <c r="N384" s="123">
        <f t="shared" si="178"/>
        <v>3.81</v>
      </c>
      <c r="O384" s="5">
        <f t="shared" si="179"/>
        <v>216.81</v>
      </c>
      <c r="P384" s="123">
        <f t="shared" si="174"/>
        <v>867.24</v>
      </c>
      <c r="Q384" s="124">
        <f t="shared" si="175"/>
        <v>10406.880000000001</v>
      </c>
      <c r="R384" s="124">
        <f t="shared" si="180"/>
        <v>2507.0173920000002</v>
      </c>
      <c r="S384" s="125">
        <f t="shared" si="176"/>
        <v>12913.897392000001</v>
      </c>
      <c r="T384" s="181"/>
    </row>
    <row r="385" spans="2:20" s="64" customFormat="1" x14ac:dyDescent="0.2">
      <c r="B385" s="19" t="s">
        <v>278</v>
      </c>
      <c r="C385" s="20" t="s">
        <v>61</v>
      </c>
      <c r="D385" s="20" t="s">
        <v>38</v>
      </c>
      <c r="E385" s="20">
        <v>9</v>
      </c>
      <c r="F385" s="63" t="s">
        <v>58</v>
      </c>
      <c r="G385" s="42">
        <v>1190</v>
      </c>
      <c r="H385" s="14">
        <v>760</v>
      </c>
      <c r="I385" s="14">
        <v>3</v>
      </c>
      <c r="J385" s="142">
        <v>1</v>
      </c>
      <c r="K385" s="5">
        <f t="shared" si="172"/>
        <v>965.2</v>
      </c>
      <c r="L385" s="5">
        <f t="shared" si="173"/>
        <v>965.2</v>
      </c>
      <c r="M385" s="122">
        <f t="shared" si="177"/>
        <v>0.8100000000000005</v>
      </c>
      <c r="N385" s="123">
        <f t="shared" si="178"/>
        <v>3.8100000000000005</v>
      </c>
      <c r="O385" s="5">
        <f t="shared" si="179"/>
        <v>206.01000000000005</v>
      </c>
      <c r="P385" s="123">
        <f t="shared" si="174"/>
        <v>206.01000000000005</v>
      </c>
      <c r="Q385" s="124">
        <f t="shared" si="175"/>
        <v>2472.1200000000008</v>
      </c>
      <c r="R385" s="124">
        <f t="shared" si="180"/>
        <v>595.53370800000016</v>
      </c>
      <c r="S385" s="125">
        <f t="shared" si="176"/>
        <v>3067.6537080000007</v>
      </c>
      <c r="T385" s="181"/>
    </row>
    <row r="386" spans="2:20" s="64" customFormat="1" x14ac:dyDescent="0.2">
      <c r="B386" s="19" t="s">
        <v>278</v>
      </c>
      <c r="C386" s="20" t="s">
        <v>61</v>
      </c>
      <c r="D386" s="20" t="s">
        <v>38</v>
      </c>
      <c r="E386" s="20">
        <v>9</v>
      </c>
      <c r="F386" s="63" t="s">
        <v>58</v>
      </c>
      <c r="G386" s="42">
        <v>1190</v>
      </c>
      <c r="H386" s="14">
        <v>750</v>
      </c>
      <c r="I386" s="14">
        <v>3</v>
      </c>
      <c r="J386" s="142">
        <v>4</v>
      </c>
      <c r="K386" s="5">
        <f t="shared" si="172"/>
        <v>952.5</v>
      </c>
      <c r="L386" s="5">
        <f t="shared" si="173"/>
        <v>952.5</v>
      </c>
      <c r="M386" s="122">
        <f t="shared" si="177"/>
        <v>0.81</v>
      </c>
      <c r="N386" s="123">
        <f t="shared" si="178"/>
        <v>3.81</v>
      </c>
      <c r="O386" s="5">
        <f t="shared" si="179"/>
        <v>203.31</v>
      </c>
      <c r="P386" s="123">
        <f t="shared" si="174"/>
        <v>813.24</v>
      </c>
      <c r="Q386" s="124">
        <f t="shared" si="175"/>
        <v>9758.880000000001</v>
      </c>
      <c r="R386" s="124">
        <f t="shared" si="180"/>
        <v>2350.9141920000002</v>
      </c>
      <c r="S386" s="125">
        <f t="shared" si="176"/>
        <v>12109.794192000001</v>
      </c>
      <c r="T386" s="181"/>
    </row>
    <row r="387" spans="2:20" s="64" customFormat="1" x14ac:dyDescent="0.2">
      <c r="B387" s="19" t="s">
        <v>279</v>
      </c>
      <c r="C387" s="20" t="s">
        <v>61</v>
      </c>
      <c r="D387" s="22" t="s">
        <v>38</v>
      </c>
      <c r="E387" s="22">
        <v>9</v>
      </c>
      <c r="F387" s="63" t="s">
        <v>58</v>
      </c>
      <c r="G387" s="42">
        <v>1190</v>
      </c>
      <c r="H387" s="21">
        <v>860</v>
      </c>
      <c r="I387" s="14">
        <v>0</v>
      </c>
      <c r="J387" s="142">
        <v>1</v>
      </c>
      <c r="K387" s="5">
        <f t="shared" si="172"/>
        <v>1092.2</v>
      </c>
      <c r="L387" s="5">
        <f t="shared" si="173"/>
        <v>1092.2</v>
      </c>
      <c r="M387" s="122">
        <f t="shared" si="177"/>
        <v>0</v>
      </c>
      <c r="N387" s="123">
        <f t="shared" si="178"/>
        <v>0</v>
      </c>
      <c r="O387" s="5">
        <f t="shared" si="179"/>
        <v>232.20000000000005</v>
      </c>
      <c r="P387" s="123">
        <f t="shared" si="174"/>
        <v>232.20000000000005</v>
      </c>
      <c r="Q387" s="124">
        <f t="shared" si="175"/>
        <v>2786.4000000000005</v>
      </c>
      <c r="R387" s="124">
        <f t="shared" si="180"/>
        <v>671.24376000000018</v>
      </c>
      <c r="S387" s="125">
        <f t="shared" si="176"/>
        <v>3457.6437600000008</v>
      </c>
      <c r="T387" s="181"/>
    </row>
    <row r="388" spans="2:20" s="64" customFormat="1" x14ac:dyDescent="0.2">
      <c r="B388" s="19" t="s">
        <v>280</v>
      </c>
      <c r="C388" s="20" t="s">
        <v>61</v>
      </c>
      <c r="D388" s="22" t="s">
        <v>38</v>
      </c>
      <c r="E388" s="22">
        <v>9</v>
      </c>
      <c r="F388" s="63" t="s">
        <v>58</v>
      </c>
      <c r="G388" s="42">
        <v>1190</v>
      </c>
      <c r="H388" s="21">
        <v>850</v>
      </c>
      <c r="I388" s="14">
        <v>0</v>
      </c>
      <c r="J388" s="142">
        <v>2</v>
      </c>
      <c r="K388" s="5">
        <f t="shared" si="172"/>
        <v>1079.5</v>
      </c>
      <c r="L388" s="5">
        <f t="shared" si="173"/>
        <v>1079.5</v>
      </c>
      <c r="M388" s="122">
        <f t="shared" si="177"/>
        <v>0</v>
      </c>
      <c r="N388" s="123">
        <f t="shared" si="178"/>
        <v>0</v>
      </c>
      <c r="O388" s="5">
        <f t="shared" si="179"/>
        <v>229.5</v>
      </c>
      <c r="P388" s="123">
        <f t="shared" si="174"/>
        <v>459</v>
      </c>
      <c r="Q388" s="124">
        <f t="shared" si="175"/>
        <v>5508</v>
      </c>
      <c r="R388" s="124">
        <f t="shared" si="180"/>
        <v>1326.8772000000001</v>
      </c>
      <c r="S388" s="125">
        <f t="shared" si="176"/>
        <v>6834.8771999999999</v>
      </c>
      <c r="T388" s="181"/>
    </row>
    <row r="389" spans="2:20" s="64" customFormat="1" x14ac:dyDescent="0.2">
      <c r="B389" s="24" t="s">
        <v>281</v>
      </c>
      <c r="C389" s="22" t="s">
        <v>61</v>
      </c>
      <c r="D389" s="22" t="s">
        <v>38</v>
      </c>
      <c r="E389" s="22">
        <v>9</v>
      </c>
      <c r="F389" s="63" t="s">
        <v>58</v>
      </c>
      <c r="G389" s="42">
        <v>1190</v>
      </c>
      <c r="H389" s="21">
        <v>710</v>
      </c>
      <c r="I389" s="14">
        <v>0</v>
      </c>
      <c r="J389" s="142">
        <v>1</v>
      </c>
      <c r="K389" s="5">
        <f t="shared" si="172"/>
        <v>901.7</v>
      </c>
      <c r="L389" s="5">
        <f t="shared" si="173"/>
        <v>901.7</v>
      </c>
      <c r="M389" s="122">
        <f t="shared" si="177"/>
        <v>0</v>
      </c>
      <c r="N389" s="123">
        <f t="shared" si="178"/>
        <v>0</v>
      </c>
      <c r="O389" s="5">
        <f t="shared" si="179"/>
        <v>191.70000000000005</v>
      </c>
      <c r="P389" s="123">
        <f t="shared" si="174"/>
        <v>191.70000000000005</v>
      </c>
      <c r="Q389" s="124">
        <f t="shared" si="175"/>
        <v>2300.4000000000005</v>
      </c>
      <c r="R389" s="124">
        <f t="shared" si="180"/>
        <v>554.16636000000017</v>
      </c>
      <c r="S389" s="125">
        <f t="shared" si="176"/>
        <v>2854.5663600000007</v>
      </c>
      <c r="T389" s="181"/>
    </row>
    <row r="390" spans="2:20" s="64" customFormat="1" x14ac:dyDescent="0.2">
      <c r="B390" s="24" t="s">
        <v>235</v>
      </c>
      <c r="C390" s="22">
        <v>23</v>
      </c>
      <c r="D390" s="22" t="s">
        <v>45</v>
      </c>
      <c r="E390" s="22">
        <v>10</v>
      </c>
      <c r="F390" s="63" t="s">
        <v>58</v>
      </c>
      <c r="G390" s="42">
        <v>1287</v>
      </c>
      <c r="H390" s="21">
        <v>1287</v>
      </c>
      <c r="I390" s="14">
        <v>0</v>
      </c>
      <c r="J390" s="142">
        <v>1</v>
      </c>
      <c r="K390" s="5">
        <f t="shared" si="172"/>
        <v>1634.49</v>
      </c>
      <c r="L390" s="5">
        <f t="shared" si="173"/>
        <v>1287</v>
      </c>
      <c r="M390" s="122">
        <f t="shared" si="177"/>
        <v>0</v>
      </c>
      <c r="N390" s="123">
        <f t="shared" si="178"/>
        <v>0</v>
      </c>
      <c r="O390" s="5">
        <f t="shared" si="179"/>
        <v>0</v>
      </c>
      <c r="P390" s="123">
        <f t="shared" si="174"/>
        <v>0</v>
      </c>
      <c r="Q390" s="124">
        <f t="shared" si="175"/>
        <v>0</v>
      </c>
      <c r="R390" s="124">
        <f t="shared" si="180"/>
        <v>0</v>
      </c>
      <c r="S390" s="125">
        <f t="shared" si="176"/>
        <v>0</v>
      </c>
      <c r="T390" s="181"/>
    </row>
    <row r="391" spans="2:20" s="64" customFormat="1" x14ac:dyDescent="0.2">
      <c r="B391" s="19" t="s">
        <v>282</v>
      </c>
      <c r="C391" s="22">
        <v>23</v>
      </c>
      <c r="D391" s="22" t="s">
        <v>127</v>
      </c>
      <c r="E391" s="22">
        <v>9</v>
      </c>
      <c r="F391" s="63" t="s">
        <v>58</v>
      </c>
      <c r="G391" s="42">
        <v>1190</v>
      </c>
      <c r="H391" s="21">
        <v>1020</v>
      </c>
      <c r="I391" s="14">
        <v>0</v>
      </c>
      <c r="J391" s="142">
        <v>1</v>
      </c>
      <c r="K391" s="5">
        <f t="shared" si="172"/>
        <v>1295.4000000000001</v>
      </c>
      <c r="L391" s="5">
        <f t="shared" si="173"/>
        <v>1190</v>
      </c>
      <c r="M391" s="122">
        <f t="shared" si="177"/>
        <v>0</v>
      </c>
      <c r="N391" s="123">
        <f t="shared" si="178"/>
        <v>0</v>
      </c>
      <c r="O391" s="5">
        <f t="shared" si="179"/>
        <v>170</v>
      </c>
      <c r="P391" s="123">
        <f t="shared" si="174"/>
        <v>170</v>
      </c>
      <c r="Q391" s="124">
        <f t="shared" si="175"/>
        <v>2040</v>
      </c>
      <c r="R391" s="124">
        <f t="shared" si="180"/>
        <v>491.43599999999998</v>
      </c>
      <c r="S391" s="125">
        <f t="shared" si="176"/>
        <v>2531.4360000000001</v>
      </c>
      <c r="T391" s="181"/>
    </row>
    <row r="392" spans="2:20" s="64" customFormat="1" x14ac:dyDescent="0.2">
      <c r="B392" s="24" t="s">
        <v>283</v>
      </c>
      <c r="C392" s="22">
        <v>23</v>
      </c>
      <c r="D392" s="22" t="s">
        <v>127</v>
      </c>
      <c r="E392" s="22">
        <v>9</v>
      </c>
      <c r="F392" s="63" t="s">
        <v>58</v>
      </c>
      <c r="G392" s="42">
        <v>1190</v>
      </c>
      <c r="H392" s="21">
        <v>950</v>
      </c>
      <c r="I392" s="14"/>
      <c r="J392" s="142">
        <v>0.5</v>
      </c>
      <c r="K392" s="5">
        <f t="shared" si="172"/>
        <v>1206.5</v>
      </c>
      <c r="L392" s="5">
        <f t="shared" si="173"/>
        <v>1190</v>
      </c>
      <c r="M392" s="122">
        <f t="shared" si="177"/>
        <v>0</v>
      </c>
      <c r="N392" s="123">
        <f t="shared" si="178"/>
        <v>0</v>
      </c>
      <c r="O392" s="5">
        <f t="shared" si="179"/>
        <v>240</v>
      </c>
      <c r="P392" s="123">
        <f t="shared" si="174"/>
        <v>120</v>
      </c>
      <c r="Q392" s="124">
        <f t="shared" si="175"/>
        <v>1440</v>
      </c>
      <c r="R392" s="124">
        <f t="shared" si="180"/>
        <v>346.89600000000002</v>
      </c>
      <c r="S392" s="125">
        <f t="shared" si="176"/>
        <v>1786.896</v>
      </c>
      <c r="T392" s="181"/>
    </row>
    <row r="393" spans="2:20" s="52" customFormat="1" x14ac:dyDescent="0.25">
      <c r="B393" s="126" t="s">
        <v>39</v>
      </c>
      <c r="C393" s="54"/>
      <c r="D393" s="54"/>
      <c r="E393" s="54"/>
      <c r="F393" s="55"/>
      <c r="G393" s="56"/>
      <c r="H393" s="6"/>
      <c r="I393" s="7"/>
      <c r="J393" s="67">
        <f>SUM(J376:J392)</f>
        <v>24.549999999999997</v>
      </c>
      <c r="K393" s="58"/>
      <c r="L393" s="7"/>
      <c r="M393" s="59"/>
      <c r="N393" s="57"/>
      <c r="O393" s="7"/>
      <c r="P393" s="57"/>
      <c r="Q393" s="60">
        <f t="shared" ref="Q393:S393" si="181">SUM(Q376:Q392)</f>
        <v>61917.312631578956</v>
      </c>
      <c r="R393" s="60">
        <f t="shared" si="181"/>
        <v>14915.880612947372</v>
      </c>
      <c r="S393" s="61">
        <f t="shared" si="181"/>
        <v>76833.193244526308</v>
      </c>
      <c r="T393" s="127"/>
    </row>
    <row r="394" spans="2:20" s="109" customFormat="1" x14ac:dyDescent="0.2">
      <c r="B394" s="110" t="s">
        <v>40</v>
      </c>
      <c r="C394" s="111"/>
      <c r="D394" s="111"/>
      <c r="E394" s="111"/>
      <c r="F394" s="111"/>
      <c r="G394" s="13"/>
      <c r="H394" s="112"/>
      <c r="I394" s="113"/>
      <c r="J394" s="114"/>
      <c r="K394" s="115"/>
      <c r="L394" s="116"/>
      <c r="M394" s="117"/>
      <c r="N394" s="118"/>
      <c r="O394" s="117"/>
      <c r="P394" s="117"/>
      <c r="Q394" s="117"/>
      <c r="R394" s="119"/>
      <c r="S394" s="120"/>
      <c r="T394" s="95"/>
    </row>
    <row r="395" spans="2:20" s="64" customFormat="1" x14ac:dyDescent="0.2">
      <c r="B395" s="25" t="s">
        <v>284</v>
      </c>
      <c r="C395" s="22" t="s">
        <v>61</v>
      </c>
      <c r="D395" s="22" t="s">
        <v>80</v>
      </c>
      <c r="E395" s="22">
        <v>8</v>
      </c>
      <c r="F395" s="63" t="s">
        <v>58</v>
      </c>
      <c r="G395" s="42">
        <v>1093</v>
      </c>
      <c r="H395" s="21">
        <v>765</v>
      </c>
      <c r="I395" s="14">
        <v>0</v>
      </c>
      <c r="J395" s="142">
        <v>1</v>
      </c>
      <c r="K395" s="5">
        <f>H395*1.27</f>
        <v>971.55000000000007</v>
      </c>
      <c r="L395" s="5">
        <f>IF(K395&lt;=G395,K395,G395)</f>
        <v>971.55000000000007</v>
      </c>
      <c r="M395" s="122">
        <f>N395-I395</f>
        <v>0</v>
      </c>
      <c r="N395" s="123">
        <f>I395/H395*L395</f>
        <v>0</v>
      </c>
      <c r="O395" s="5">
        <f>L395-H395+M395</f>
        <v>206.55000000000007</v>
      </c>
      <c r="P395" s="123">
        <f>O395*J395</f>
        <v>206.55000000000007</v>
      </c>
      <c r="Q395" s="124">
        <f>P395*12</f>
        <v>2478.6000000000008</v>
      </c>
      <c r="R395" s="124">
        <f>Q395*0.2409</f>
        <v>597.09474000000023</v>
      </c>
      <c r="S395" s="125">
        <f>Q395+R395</f>
        <v>3075.6947400000008</v>
      </c>
      <c r="T395" s="181"/>
    </row>
    <row r="396" spans="2:20" s="64" customFormat="1" x14ac:dyDescent="0.2">
      <c r="B396" s="25" t="s">
        <v>284</v>
      </c>
      <c r="C396" s="22" t="s">
        <v>61</v>
      </c>
      <c r="D396" s="22" t="s">
        <v>80</v>
      </c>
      <c r="E396" s="22">
        <v>8</v>
      </c>
      <c r="F396" s="63" t="s">
        <v>58</v>
      </c>
      <c r="G396" s="42">
        <v>1093</v>
      </c>
      <c r="H396" s="21">
        <v>670</v>
      </c>
      <c r="I396" s="14">
        <v>0</v>
      </c>
      <c r="J396" s="142">
        <v>1</v>
      </c>
      <c r="K396" s="5">
        <f t="shared" si="172"/>
        <v>850.9</v>
      </c>
      <c r="L396" s="5">
        <f t="shared" si="173"/>
        <v>850.9</v>
      </c>
      <c r="M396" s="122">
        <f t="shared" si="177"/>
        <v>0</v>
      </c>
      <c r="N396" s="123">
        <f t="shared" si="178"/>
        <v>0</v>
      </c>
      <c r="O396" s="5">
        <f t="shared" si="179"/>
        <v>180.89999999999998</v>
      </c>
      <c r="P396" s="123">
        <f t="shared" si="174"/>
        <v>180.89999999999998</v>
      </c>
      <c r="Q396" s="124">
        <f t="shared" si="175"/>
        <v>2170.7999999999997</v>
      </c>
      <c r="R396" s="124">
        <f t="shared" si="180"/>
        <v>522.94571999999994</v>
      </c>
      <c r="S396" s="125">
        <f t="shared" si="176"/>
        <v>2693.7457199999999</v>
      </c>
      <c r="T396" s="181"/>
    </row>
    <row r="397" spans="2:20" s="64" customFormat="1" x14ac:dyDescent="0.2">
      <c r="B397" s="26" t="s">
        <v>285</v>
      </c>
      <c r="C397" s="22" t="s">
        <v>69</v>
      </c>
      <c r="D397" s="22" t="s">
        <v>45</v>
      </c>
      <c r="E397" s="22">
        <v>8</v>
      </c>
      <c r="F397" s="63" t="s">
        <v>58</v>
      </c>
      <c r="G397" s="42">
        <v>1093</v>
      </c>
      <c r="H397" s="21">
        <v>900</v>
      </c>
      <c r="I397" s="14">
        <v>0</v>
      </c>
      <c r="J397" s="142">
        <v>1</v>
      </c>
      <c r="K397" s="5">
        <f t="shared" si="172"/>
        <v>1143</v>
      </c>
      <c r="L397" s="5">
        <f t="shared" si="173"/>
        <v>1093</v>
      </c>
      <c r="M397" s="122">
        <f t="shared" si="177"/>
        <v>0</v>
      </c>
      <c r="N397" s="123">
        <f t="shared" si="178"/>
        <v>0</v>
      </c>
      <c r="O397" s="5">
        <f t="shared" si="179"/>
        <v>193</v>
      </c>
      <c r="P397" s="123">
        <f t="shared" si="174"/>
        <v>193</v>
      </c>
      <c r="Q397" s="124">
        <f t="shared" si="175"/>
        <v>2316</v>
      </c>
      <c r="R397" s="124">
        <f t="shared" si="180"/>
        <v>557.92439999999999</v>
      </c>
      <c r="S397" s="125">
        <f t="shared" si="176"/>
        <v>2873.9243999999999</v>
      </c>
      <c r="T397" s="181"/>
    </row>
    <row r="398" spans="2:20" s="64" customFormat="1" x14ac:dyDescent="0.2">
      <c r="B398" s="26" t="s">
        <v>286</v>
      </c>
      <c r="C398" s="22" t="s">
        <v>69</v>
      </c>
      <c r="D398" s="22" t="s">
        <v>24</v>
      </c>
      <c r="E398" s="22">
        <v>7</v>
      </c>
      <c r="F398" s="63" t="s">
        <v>58</v>
      </c>
      <c r="G398" s="42">
        <v>996</v>
      </c>
      <c r="H398" s="21">
        <v>600</v>
      </c>
      <c r="I398" s="14">
        <v>102</v>
      </c>
      <c r="J398" s="142">
        <v>5</v>
      </c>
      <c r="K398" s="5">
        <f t="shared" si="172"/>
        <v>762</v>
      </c>
      <c r="L398" s="5">
        <f t="shared" si="173"/>
        <v>762</v>
      </c>
      <c r="M398" s="122">
        <f t="shared" si="177"/>
        <v>27.54000000000002</v>
      </c>
      <c r="N398" s="123">
        <f t="shared" si="178"/>
        <v>129.54000000000002</v>
      </c>
      <c r="O398" s="5">
        <f t="shared" si="179"/>
        <v>189.54000000000002</v>
      </c>
      <c r="P398" s="123">
        <f t="shared" si="174"/>
        <v>947.7</v>
      </c>
      <c r="Q398" s="124">
        <f t="shared" si="175"/>
        <v>11372.400000000001</v>
      </c>
      <c r="R398" s="124">
        <f t="shared" si="180"/>
        <v>2739.6111600000004</v>
      </c>
      <c r="S398" s="125">
        <f t="shared" si="176"/>
        <v>14112.011160000002</v>
      </c>
      <c r="T398" s="181"/>
    </row>
    <row r="399" spans="2:20" s="64" customFormat="1" x14ac:dyDescent="0.2">
      <c r="B399" s="27" t="s">
        <v>86</v>
      </c>
      <c r="C399" s="22" t="s">
        <v>69</v>
      </c>
      <c r="D399" s="22" t="s">
        <v>24</v>
      </c>
      <c r="E399" s="22">
        <v>7</v>
      </c>
      <c r="F399" s="63" t="s">
        <v>58</v>
      </c>
      <c r="G399" s="42">
        <v>996</v>
      </c>
      <c r="H399" s="21">
        <v>700</v>
      </c>
      <c r="I399" s="14">
        <v>6</v>
      </c>
      <c r="J399" s="142">
        <v>9</v>
      </c>
      <c r="K399" s="5">
        <f t="shared" si="172"/>
        <v>889</v>
      </c>
      <c r="L399" s="5">
        <f t="shared" si="173"/>
        <v>889</v>
      </c>
      <c r="M399" s="122">
        <f t="shared" si="177"/>
        <v>1.62</v>
      </c>
      <c r="N399" s="123">
        <f t="shared" si="178"/>
        <v>7.62</v>
      </c>
      <c r="O399" s="5">
        <f t="shared" si="179"/>
        <v>190.62</v>
      </c>
      <c r="P399" s="123">
        <f t="shared" si="174"/>
        <v>1715.58</v>
      </c>
      <c r="Q399" s="124">
        <f t="shared" si="175"/>
        <v>20586.96</v>
      </c>
      <c r="R399" s="124">
        <f t="shared" si="180"/>
        <v>4959.3986640000003</v>
      </c>
      <c r="S399" s="125">
        <f t="shared" si="176"/>
        <v>25546.358663999999</v>
      </c>
      <c r="T399" s="181"/>
    </row>
    <row r="400" spans="2:20" s="64" customFormat="1" x14ac:dyDescent="0.2">
      <c r="B400" s="24" t="s">
        <v>166</v>
      </c>
      <c r="C400" s="22" t="s">
        <v>69</v>
      </c>
      <c r="D400" s="22" t="s">
        <v>25</v>
      </c>
      <c r="E400" s="22">
        <v>6</v>
      </c>
      <c r="F400" s="63" t="s">
        <v>58</v>
      </c>
      <c r="G400" s="42">
        <v>899</v>
      </c>
      <c r="H400" s="21">
        <v>640</v>
      </c>
      <c r="I400" s="14">
        <v>5</v>
      </c>
      <c r="J400" s="142">
        <v>5</v>
      </c>
      <c r="K400" s="5">
        <f t="shared" si="172"/>
        <v>812.8</v>
      </c>
      <c r="L400" s="5">
        <f t="shared" si="173"/>
        <v>812.8</v>
      </c>
      <c r="M400" s="122">
        <f t="shared" si="177"/>
        <v>1.3499999999999996</v>
      </c>
      <c r="N400" s="123">
        <f t="shared" si="178"/>
        <v>6.35</v>
      </c>
      <c r="O400" s="5">
        <f t="shared" si="179"/>
        <v>174.14999999999995</v>
      </c>
      <c r="P400" s="123">
        <f t="shared" si="174"/>
        <v>870.74999999999977</v>
      </c>
      <c r="Q400" s="124">
        <f t="shared" si="175"/>
        <v>10448.999999999996</v>
      </c>
      <c r="R400" s="124">
        <f t="shared" si="180"/>
        <v>2517.1640999999991</v>
      </c>
      <c r="S400" s="125">
        <f t="shared" si="176"/>
        <v>12966.164099999995</v>
      </c>
      <c r="T400" s="181"/>
    </row>
    <row r="401" spans="2:20" s="64" customFormat="1" x14ac:dyDescent="0.2">
      <c r="B401" s="19" t="s">
        <v>287</v>
      </c>
      <c r="C401" s="20" t="s">
        <v>61</v>
      </c>
      <c r="D401" s="20" t="s">
        <v>38</v>
      </c>
      <c r="E401" s="20">
        <v>9</v>
      </c>
      <c r="F401" s="63" t="s">
        <v>58</v>
      </c>
      <c r="G401" s="42">
        <v>1190</v>
      </c>
      <c r="H401" s="14">
        <v>740</v>
      </c>
      <c r="I401" s="14">
        <v>18</v>
      </c>
      <c r="J401" s="142">
        <v>2</v>
      </c>
      <c r="K401" s="5">
        <f>H401*1.27</f>
        <v>939.80000000000007</v>
      </c>
      <c r="L401" s="5">
        <f>IF(K401&lt;=G401,K401,G401)</f>
        <v>939.80000000000007</v>
      </c>
      <c r="M401" s="122">
        <f>N401-I401</f>
        <v>4.860000000000003</v>
      </c>
      <c r="N401" s="123">
        <f>I401/H401*L401</f>
        <v>22.860000000000003</v>
      </c>
      <c r="O401" s="5">
        <f>L401-H401+M401</f>
        <v>204.66000000000008</v>
      </c>
      <c r="P401" s="123">
        <f>O401*J401</f>
        <v>409.32000000000016</v>
      </c>
      <c r="Q401" s="124">
        <f>P401*12</f>
        <v>4911.840000000002</v>
      </c>
      <c r="R401" s="124">
        <f>Q401*0.2409</f>
        <v>1183.2622560000004</v>
      </c>
      <c r="S401" s="125">
        <f>Q401+R401</f>
        <v>6095.1022560000019</v>
      </c>
      <c r="T401" s="181"/>
    </row>
    <row r="402" spans="2:20" s="64" customFormat="1" x14ac:dyDescent="0.2">
      <c r="B402" s="24" t="s">
        <v>288</v>
      </c>
      <c r="C402" s="22" t="s">
        <v>69</v>
      </c>
      <c r="D402" s="22" t="s">
        <v>24</v>
      </c>
      <c r="E402" s="22">
        <v>7</v>
      </c>
      <c r="F402" s="63" t="s">
        <v>58</v>
      </c>
      <c r="G402" s="42">
        <v>996</v>
      </c>
      <c r="H402" s="21">
        <v>700</v>
      </c>
      <c r="I402" s="14">
        <v>3</v>
      </c>
      <c r="J402" s="142">
        <v>7</v>
      </c>
      <c r="K402" s="5">
        <f t="shared" si="172"/>
        <v>889</v>
      </c>
      <c r="L402" s="5">
        <f t="shared" si="173"/>
        <v>889</v>
      </c>
      <c r="M402" s="122">
        <f t="shared" si="177"/>
        <v>0.81</v>
      </c>
      <c r="N402" s="123">
        <f t="shared" si="178"/>
        <v>3.81</v>
      </c>
      <c r="O402" s="5">
        <f t="shared" si="179"/>
        <v>189.81</v>
      </c>
      <c r="P402" s="123">
        <f t="shared" si="174"/>
        <v>1328.67</v>
      </c>
      <c r="Q402" s="124">
        <f t="shared" si="175"/>
        <v>15944.04</v>
      </c>
      <c r="R402" s="124">
        <f t="shared" si="180"/>
        <v>3840.9192360000002</v>
      </c>
      <c r="S402" s="125">
        <f t="shared" si="176"/>
        <v>19784.959236000002</v>
      </c>
      <c r="T402" s="181"/>
    </row>
    <row r="403" spans="2:20" s="64" customFormat="1" x14ac:dyDescent="0.2">
      <c r="B403" s="27" t="s">
        <v>289</v>
      </c>
      <c r="C403" s="22" t="s">
        <v>69</v>
      </c>
      <c r="D403" s="22" t="s">
        <v>25</v>
      </c>
      <c r="E403" s="22">
        <v>6</v>
      </c>
      <c r="F403" s="63" t="s">
        <v>58</v>
      </c>
      <c r="G403" s="42">
        <v>899</v>
      </c>
      <c r="H403" s="21">
        <v>600</v>
      </c>
      <c r="I403" s="14">
        <v>2</v>
      </c>
      <c r="J403" s="142">
        <v>1</v>
      </c>
      <c r="K403" s="5">
        <f t="shared" si="172"/>
        <v>762</v>
      </c>
      <c r="L403" s="5">
        <f t="shared" si="173"/>
        <v>762</v>
      </c>
      <c r="M403" s="122">
        <f t="shared" si="177"/>
        <v>0.54</v>
      </c>
      <c r="N403" s="123">
        <f t="shared" si="178"/>
        <v>2.54</v>
      </c>
      <c r="O403" s="5">
        <f t="shared" si="179"/>
        <v>162.54</v>
      </c>
      <c r="P403" s="123">
        <f t="shared" si="174"/>
        <v>162.54</v>
      </c>
      <c r="Q403" s="124">
        <f t="shared" si="175"/>
        <v>1950.48</v>
      </c>
      <c r="R403" s="124">
        <f t="shared" si="180"/>
        <v>469.870632</v>
      </c>
      <c r="S403" s="125">
        <f t="shared" si="176"/>
        <v>2420.3506320000001</v>
      </c>
      <c r="T403" s="181"/>
    </row>
    <row r="404" spans="2:20" s="52" customFormat="1" x14ac:dyDescent="0.25">
      <c r="B404" s="126" t="s">
        <v>39</v>
      </c>
      <c r="C404" s="54"/>
      <c r="D404" s="54"/>
      <c r="E404" s="54"/>
      <c r="F404" s="55"/>
      <c r="G404" s="56"/>
      <c r="H404" s="6"/>
      <c r="I404" s="7"/>
      <c r="J404" s="67">
        <f>SUM(J395:J403)</f>
        <v>32</v>
      </c>
      <c r="K404" s="58"/>
      <c r="L404" s="7"/>
      <c r="M404" s="59"/>
      <c r="N404" s="57"/>
      <c r="O404" s="7"/>
      <c r="P404" s="57"/>
      <c r="Q404" s="60">
        <f t="shared" ref="Q404:S404" si="182">SUM(Q395:Q403)</f>
        <v>72180.12</v>
      </c>
      <c r="R404" s="60">
        <f t="shared" si="182"/>
        <v>17388.190907999997</v>
      </c>
      <c r="S404" s="61">
        <f t="shared" si="182"/>
        <v>89568.310907999999</v>
      </c>
      <c r="T404" s="127"/>
    </row>
    <row r="405" spans="2:20" s="109" customFormat="1" x14ac:dyDescent="0.2">
      <c r="B405" s="110" t="s">
        <v>94</v>
      </c>
      <c r="C405" s="111"/>
      <c r="D405" s="111"/>
      <c r="E405" s="111"/>
      <c r="F405" s="111"/>
      <c r="G405" s="13"/>
      <c r="H405" s="112"/>
      <c r="I405" s="113"/>
      <c r="J405" s="114"/>
      <c r="K405" s="115"/>
      <c r="L405" s="116"/>
      <c r="M405" s="117"/>
      <c r="N405" s="118"/>
      <c r="O405" s="117"/>
      <c r="P405" s="117"/>
      <c r="Q405" s="117"/>
      <c r="R405" s="119"/>
      <c r="S405" s="120"/>
      <c r="T405" s="95"/>
    </row>
    <row r="406" spans="2:20" s="64" customFormat="1" x14ac:dyDescent="0.2">
      <c r="B406" s="19" t="s">
        <v>290</v>
      </c>
      <c r="C406" s="22">
        <v>39</v>
      </c>
      <c r="D406" s="20" t="s">
        <v>93</v>
      </c>
      <c r="E406" s="20">
        <v>4</v>
      </c>
      <c r="F406" s="182" t="s">
        <v>58</v>
      </c>
      <c r="G406" s="42">
        <v>705</v>
      </c>
      <c r="H406" s="21">
        <v>500</v>
      </c>
      <c r="I406" s="21">
        <v>73</v>
      </c>
      <c r="J406" s="142">
        <v>11.5</v>
      </c>
      <c r="K406" s="5">
        <f t="shared" ref="K406" si="183">H406*1.27</f>
        <v>635</v>
      </c>
      <c r="L406" s="5">
        <f t="shared" ref="L406" si="184">IF(K406&lt;=G406,K406,G406)</f>
        <v>635</v>
      </c>
      <c r="M406" s="122">
        <f t="shared" ref="M406" si="185">I406*0.25</f>
        <v>18.25</v>
      </c>
      <c r="N406" s="123">
        <f t="shared" ref="N406" si="186">I406+M406</f>
        <v>91.25</v>
      </c>
      <c r="O406" s="5">
        <f t="shared" ref="O406" si="187">L406-H406+M406</f>
        <v>153.25</v>
      </c>
      <c r="P406" s="123">
        <f t="shared" ref="P406" si="188">O406*J406</f>
        <v>1762.375</v>
      </c>
      <c r="Q406" s="124">
        <f t="shared" ref="Q406" si="189">P406*12</f>
        <v>21148.5</v>
      </c>
      <c r="R406" s="124">
        <f t="shared" ref="R406" si="190">Q406*0.2409</f>
        <v>5094.6736499999997</v>
      </c>
      <c r="S406" s="125">
        <f t="shared" ref="S406" si="191">Q406+R406</f>
        <v>26243.173650000001</v>
      </c>
      <c r="T406" s="181"/>
    </row>
    <row r="407" spans="2:20" s="52" customFormat="1" x14ac:dyDescent="0.25">
      <c r="B407" s="126" t="s">
        <v>39</v>
      </c>
      <c r="C407" s="54"/>
      <c r="D407" s="54"/>
      <c r="E407" s="54"/>
      <c r="F407" s="55"/>
      <c r="G407" s="56"/>
      <c r="H407" s="6"/>
      <c r="I407" s="7"/>
      <c r="J407" s="67">
        <f>J406</f>
        <v>11.5</v>
      </c>
      <c r="K407" s="58"/>
      <c r="L407" s="7"/>
      <c r="M407" s="59"/>
      <c r="N407" s="57"/>
      <c r="O407" s="7"/>
      <c r="P407" s="57"/>
      <c r="Q407" s="60">
        <f>Q406</f>
        <v>21148.5</v>
      </c>
      <c r="R407" s="60">
        <f t="shared" ref="R407:S407" si="192">R406</f>
        <v>5094.6736499999997</v>
      </c>
      <c r="S407" s="61">
        <f t="shared" si="192"/>
        <v>26243.173650000001</v>
      </c>
      <c r="T407" s="127"/>
    </row>
    <row r="408" spans="2:20" s="64" customFormat="1" ht="13.5" thickBot="1" x14ac:dyDescent="0.25">
      <c r="B408" s="28" t="s">
        <v>291</v>
      </c>
      <c r="C408" s="29"/>
      <c r="D408" s="30"/>
      <c r="E408" s="30"/>
      <c r="F408" s="30"/>
      <c r="G408" s="31"/>
      <c r="H408" s="32"/>
      <c r="I408" s="32"/>
      <c r="J408" s="183">
        <f>J393+J404+J407</f>
        <v>68.05</v>
      </c>
      <c r="K408" s="184"/>
      <c r="L408" s="185"/>
      <c r="M408" s="185"/>
      <c r="N408" s="185"/>
      <c r="O408" s="185"/>
      <c r="P408" s="185"/>
      <c r="Q408" s="186">
        <f>Q393+Q404+Q407</f>
        <v>155245.93263157894</v>
      </c>
      <c r="R408" s="186">
        <f t="shared" ref="R408:S408" si="193">R393+R404+R407</f>
        <v>37398.745170947368</v>
      </c>
      <c r="S408" s="187">
        <f t="shared" si="193"/>
        <v>192644.67780252633</v>
      </c>
      <c r="T408" s="82"/>
    </row>
    <row r="409" spans="2:20" s="98" customFormat="1" ht="13.5" x14ac:dyDescent="0.25">
      <c r="B409" s="171" t="s">
        <v>292</v>
      </c>
      <c r="C409" s="188"/>
      <c r="D409" s="189"/>
      <c r="E409" s="189"/>
      <c r="F409" s="189"/>
      <c r="G409" s="190"/>
      <c r="H409" s="191"/>
      <c r="I409" s="191"/>
      <c r="J409" s="192"/>
      <c r="K409" s="18"/>
      <c r="L409" s="393"/>
      <c r="M409" s="193"/>
      <c r="N409" s="194"/>
      <c r="O409" s="33"/>
      <c r="P409" s="194"/>
      <c r="Q409" s="195"/>
      <c r="R409" s="195"/>
      <c r="S409" s="196"/>
      <c r="T409" s="108"/>
    </row>
    <row r="410" spans="2:20" s="109" customFormat="1" x14ac:dyDescent="0.2">
      <c r="B410" s="110" t="s">
        <v>19</v>
      </c>
      <c r="C410" s="111"/>
      <c r="D410" s="111"/>
      <c r="E410" s="111"/>
      <c r="F410" s="111"/>
      <c r="G410" s="34"/>
      <c r="H410" s="112"/>
      <c r="I410" s="113"/>
      <c r="J410" s="114"/>
      <c r="K410" s="115"/>
      <c r="L410" s="116"/>
      <c r="M410" s="117"/>
      <c r="N410" s="118"/>
      <c r="O410" s="117"/>
      <c r="P410" s="117"/>
      <c r="Q410" s="117"/>
      <c r="R410" s="119"/>
      <c r="S410" s="120"/>
      <c r="T410" s="95"/>
    </row>
    <row r="411" spans="2:20" s="64" customFormat="1" ht="25.5" x14ac:dyDescent="0.2">
      <c r="B411" s="197" t="s">
        <v>293</v>
      </c>
      <c r="C411" s="20" t="s">
        <v>65</v>
      </c>
      <c r="D411" s="139" t="s">
        <v>45</v>
      </c>
      <c r="E411" s="139">
        <v>12</v>
      </c>
      <c r="F411" s="139">
        <v>3</v>
      </c>
      <c r="G411" s="140">
        <v>1647</v>
      </c>
      <c r="H411" s="141">
        <v>1400</v>
      </c>
      <c r="I411" s="141">
        <v>0</v>
      </c>
      <c r="J411" s="142">
        <v>1</v>
      </c>
      <c r="K411" s="5">
        <f t="shared" ref="K411:K430" si="194">H411*1.27</f>
        <v>1778</v>
      </c>
      <c r="L411" s="5">
        <f t="shared" ref="L411:L430" si="195">IF(K411&lt;=G411,K411,G411)</f>
        <v>1647</v>
      </c>
      <c r="M411" s="122">
        <f t="shared" ref="M411:M430" si="196">N411-I411</f>
        <v>0</v>
      </c>
      <c r="N411" s="123">
        <f t="shared" ref="N411:N430" si="197">I411/H411*L411</f>
        <v>0</v>
      </c>
      <c r="O411" s="5">
        <f t="shared" ref="O411:O430" si="198">L411-H411+M411</f>
        <v>247</v>
      </c>
      <c r="P411" s="123">
        <f t="shared" ref="P411:P430" si="199">O411*J411</f>
        <v>247</v>
      </c>
      <c r="Q411" s="124">
        <f t="shared" ref="Q411:Q430" si="200">P411*12</f>
        <v>2964</v>
      </c>
      <c r="R411" s="124">
        <f t="shared" ref="R411:R430" si="201">Q411*0.2409</f>
        <v>714.02760000000001</v>
      </c>
      <c r="S411" s="125">
        <f t="shared" ref="S411:S430" si="202">Q411+R411</f>
        <v>3678.0275999999999</v>
      </c>
      <c r="T411" s="82"/>
    </row>
    <row r="412" spans="2:20" s="64" customFormat="1" ht="25.5" x14ac:dyDescent="0.2">
      <c r="B412" s="197" t="s">
        <v>293</v>
      </c>
      <c r="C412" s="20" t="s">
        <v>65</v>
      </c>
      <c r="D412" s="139" t="s">
        <v>45</v>
      </c>
      <c r="E412" s="139">
        <v>12</v>
      </c>
      <c r="F412" s="139">
        <v>3</v>
      </c>
      <c r="G412" s="140">
        <v>1647</v>
      </c>
      <c r="H412" s="141">
        <v>1348</v>
      </c>
      <c r="I412" s="141">
        <v>0</v>
      </c>
      <c r="J412" s="142">
        <v>1</v>
      </c>
      <c r="K412" s="5">
        <f t="shared" si="194"/>
        <v>1711.96</v>
      </c>
      <c r="L412" s="5">
        <f t="shared" si="195"/>
        <v>1647</v>
      </c>
      <c r="M412" s="122">
        <f t="shared" si="196"/>
        <v>0</v>
      </c>
      <c r="N412" s="123">
        <f t="shared" si="197"/>
        <v>0</v>
      </c>
      <c r="O412" s="5">
        <f t="shared" si="198"/>
        <v>299</v>
      </c>
      <c r="P412" s="123">
        <f t="shared" si="199"/>
        <v>299</v>
      </c>
      <c r="Q412" s="124">
        <f t="shared" si="200"/>
        <v>3588</v>
      </c>
      <c r="R412" s="124">
        <f t="shared" si="201"/>
        <v>864.3492</v>
      </c>
      <c r="S412" s="125">
        <f t="shared" si="202"/>
        <v>4452.3491999999997</v>
      </c>
      <c r="T412" s="82"/>
    </row>
    <row r="413" spans="2:20" s="64" customFormat="1" ht="25.5" x14ac:dyDescent="0.2">
      <c r="B413" s="197" t="s">
        <v>293</v>
      </c>
      <c r="C413" s="20" t="s">
        <v>65</v>
      </c>
      <c r="D413" s="139" t="s">
        <v>45</v>
      </c>
      <c r="E413" s="139">
        <v>12</v>
      </c>
      <c r="F413" s="139">
        <v>3</v>
      </c>
      <c r="G413" s="140">
        <v>1647</v>
      </c>
      <c r="H413" s="141">
        <v>1174</v>
      </c>
      <c r="I413" s="141">
        <v>0</v>
      </c>
      <c r="J413" s="142">
        <v>1</v>
      </c>
      <c r="K413" s="5">
        <f t="shared" si="194"/>
        <v>1490.98</v>
      </c>
      <c r="L413" s="5">
        <f t="shared" si="195"/>
        <v>1490.98</v>
      </c>
      <c r="M413" s="122">
        <f t="shared" si="196"/>
        <v>0</v>
      </c>
      <c r="N413" s="123">
        <f t="shared" si="197"/>
        <v>0</v>
      </c>
      <c r="O413" s="5">
        <f t="shared" si="198"/>
        <v>316.98</v>
      </c>
      <c r="P413" s="123">
        <f t="shared" si="199"/>
        <v>316.98</v>
      </c>
      <c r="Q413" s="124">
        <f t="shared" si="200"/>
        <v>3803.76</v>
      </c>
      <c r="R413" s="124">
        <f t="shared" si="201"/>
        <v>916.32578400000011</v>
      </c>
      <c r="S413" s="125">
        <f t="shared" si="202"/>
        <v>4720.0857840000008</v>
      </c>
      <c r="T413" s="82"/>
    </row>
    <row r="414" spans="2:20" s="64" customFormat="1" ht="25.5" x14ac:dyDescent="0.2">
      <c r="B414" s="197" t="s">
        <v>293</v>
      </c>
      <c r="C414" s="20" t="s">
        <v>65</v>
      </c>
      <c r="D414" s="139" t="s">
        <v>45</v>
      </c>
      <c r="E414" s="139">
        <v>12</v>
      </c>
      <c r="F414" s="139">
        <v>3</v>
      </c>
      <c r="G414" s="140">
        <v>1647</v>
      </c>
      <c r="H414" s="141">
        <v>1163</v>
      </c>
      <c r="I414" s="141">
        <v>0</v>
      </c>
      <c r="J414" s="142">
        <v>1</v>
      </c>
      <c r="K414" s="5">
        <f t="shared" si="194"/>
        <v>1477.01</v>
      </c>
      <c r="L414" s="5">
        <f t="shared" si="195"/>
        <v>1477.01</v>
      </c>
      <c r="M414" s="122">
        <f t="shared" si="196"/>
        <v>0</v>
      </c>
      <c r="N414" s="123">
        <f t="shared" si="197"/>
        <v>0</v>
      </c>
      <c r="O414" s="5">
        <f t="shared" si="198"/>
        <v>314.01</v>
      </c>
      <c r="P414" s="123">
        <f t="shared" si="199"/>
        <v>314.01</v>
      </c>
      <c r="Q414" s="124">
        <f t="shared" si="200"/>
        <v>3768.12</v>
      </c>
      <c r="R414" s="124">
        <f t="shared" si="201"/>
        <v>907.74010799999996</v>
      </c>
      <c r="S414" s="125">
        <f t="shared" si="202"/>
        <v>4675.8601079999999</v>
      </c>
      <c r="T414" s="82"/>
    </row>
    <row r="415" spans="2:20" s="64" customFormat="1" ht="25.5" x14ac:dyDescent="0.2">
      <c r="B415" s="197" t="s">
        <v>293</v>
      </c>
      <c r="C415" s="20" t="s">
        <v>65</v>
      </c>
      <c r="D415" s="139" t="s">
        <v>45</v>
      </c>
      <c r="E415" s="139">
        <v>12</v>
      </c>
      <c r="F415" s="139">
        <v>3</v>
      </c>
      <c r="G415" s="140">
        <v>1647</v>
      </c>
      <c r="H415" s="141">
        <v>1139</v>
      </c>
      <c r="I415" s="141">
        <v>0</v>
      </c>
      <c r="J415" s="142">
        <v>1</v>
      </c>
      <c r="K415" s="5">
        <f t="shared" si="194"/>
        <v>1446.53</v>
      </c>
      <c r="L415" s="5">
        <f t="shared" si="195"/>
        <v>1446.53</v>
      </c>
      <c r="M415" s="122">
        <f t="shared" si="196"/>
        <v>0</v>
      </c>
      <c r="N415" s="123">
        <f t="shared" si="197"/>
        <v>0</v>
      </c>
      <c r="O415" s="5">
        <f t="shared" si="198"/>
        <v>307.52999999999997</v>
      </c>
      <c r="P415" s="123">
        <f t="shared" si="199"/>
        <v>307.52999999999997</v>
      </c>
      <c r="Q415" s="124">
        <f t="shared" si="200"/>
        <v>3690.3599999999997</v>
      </c>
      <c r="R415" s="124">
        <f t="shared" si="201"/>
        <v>889.00772399999994</v>
      </c>
      <c r="S415" s="125">
        <f t="shared" si="202"/>
        <v>4579.3677239999997</v>
      </c>
      <c r="T415" s="82"/>
    </row>
    <row r="416" spans="2:20" s="64" customFormat="1" ht="25.5" x14ac:dyDescent="0.2">
      <c r="B416" s="197" t="s">
        <v>293</v>
      </c>
      <c r="C416" s="20" t="s">
        <v>65</v>
      </c>
      <c r="D416" s="139" t="s">
        <v>45</v>
      </c>
      <c r="E416" s="139">
        <v>12</v>
      </c>
      <c r="F416" s="139">
        <v>3</v>
      </c>
      <c r="G416" s="140">
        <v>1647</v>
      </c>
      <c r="H416" s="141">
        <v>1104</v>
      </c>
      <c r="I416" s="141">
        <v>0</v>
      </c>
      <c r="J416" s="142">
        <v>5</v>
      </c>
      <c r="K416" s="5">
        <f t="shared" si="194"/>
        <v>1402.08</v>
      </c>
      <c r="L416" s="5">
        <f t="shared" si="195"/>
        <v>1402.08</v>
      </c>
      <c r="M416" s="122">
        <f t="shared" si="196"/>
        <v>0</v>
      </c>
      <c r="N416" s="123">
        <f t="shared" si="197"/>
        <v>0</v>
      </c>
      <c r="O416" s="5">
        <f t="shared" si="198"/>
        <v>298.07999999999993</v>
      </c>
      <c r="P416" s="123">
        <f t="shared" si="199"/>
        <v>1490.3999999999996</v>
      </c>
      <c r="Q416" s="124">
        <f t="shared" si="200"/>
        <v>17884.799999999996</v>
      </c>
      <c r="R416" s="124">
        <f t="shared" si="201"/>
        <v>4308.4483199999986</v>
      </c>
      <c r="S416" s="125">
        <f t="shared" si="202"/>
        <v>22193.248319999995</v>
      </c>
      <c r="T416" s="82"/>
    </row>
    <row r="417" spans="2:20" s="64" customFormat="1" ht="25.5" x14ac:dyDescent="0.2">
      <c r="B417" s="197" t="s">
        <v>293</v>
      </c>
      <c r="C417" s="20" t="s">
        <v>65</v>
      </c>
      <c r="D417" s="139" t="s">
        <v>45</v>
      </c>
      <c r="E417" s="139">
        <v>12</v>
      </c>
      <c r="F417" s="139">
        <v>3</v>
      </c>
      <c r="G417" s="140">
        <v>1647</v>
      </c>
      <c r="H417" s="141">
        <v>998</v>
      </c>
      <c r="I417" s="141">
        <v>0</v>
      </c>
      <c r="J417" s="142">
        <v>1</v>
      </c>
      <c r="K417" s="5">
        <f t="shared" si="194"/>
        <v>1267.46</v>
      </c>
      <c r="L417" s="5">
        <f t="shared" si="195"/>
        <v>1267.46</v>
      </c>
      <c r="M417" s="122">
        <f t="shared" si="196"/>
        <v>0</v>
      </c>
      <c r="N417" s="123">
        <f t="shared" si="197"/>
        <v>0</v>
      </c>
      <c r="O417" s="5">
        <f t="shared" si="198"/>
        <v>269.46000000000004</v>
      </c>
      <c r="P417" s="123">
        <f t="shared" si="199"/>
        <v>269.46000000000004</v>
      </c>
      <c r="Q417" s="124">
        <f t="shared" si="200"/>
        <v>3233.5200000000004</v>
      </c>
      <c r="R417" s="124">
        <f t="shared" si="201"/>
        <v>778.95496800000012</v>
      </c>
      <c r="S417" s="125">
        <f t="shared" si="202"/>
        <v>4012.4749680000004</v>
      </c>
      <c r="T417" s="82"/>
    </row>
    <row r="418" spans="2:20" s="64" customFormat="1" x14ac:dyDescent="0.2">
      <c r="B418" s="197" t="s">
        <v>294</v>
      </c>
      <c r="C418" s="20" t="s">
        <v>65</v>
      </c>
      <c r="D418" s="139" t="s">
        <v>45</v>
      </c>
      <c r="E418" s="139">
        <v>12</v>
      </c>
      <c r="F418" s="139">
        <v>3</v>
      </c>
      <c r="G418" s="140">
        <v>1647</v>
      </c>
      <c r="H418" s="141">
        <v>994</v>
      </c>
      <c r="I418" s="141">
        <v>0</v>
      </c>
      <c r="J418" s="142">
        <v>11</v>
      </c>
      <c r="K418" s="5">
        <f t="shared" si="194"/>
        <v>1262.3800000000001</v>
      </c>
      <c r="L418" s="5">
        <f t="shared" si="195"/>
        <v>1262.3800000000001</v>
      </c>
      <c r="M418" s="122">
        <f t="shared" si="196"/>
        <v>0</v>
      </c>
      <c r="N418" s="123">
        <f t="shared" si="197"/>
        <v>0</v>
      </c>
      <c r="O418" s="5">
        <f t="shared" si="198"/>
        <v>268.38000000000011</v>
      </c>
      <c r="P418" s="123">
        <f t="shared" si="199"/>
        <v>2952.1800000000012</v>
      </c>
      <c r="Q418" s="124">
        <f t="shared" si="200"/>
        <v>35426.160000000018</v>
      </c>
      <c r="R418" s="124">
        <f t="shared" si="201"/>
        <v>8534.161944000005</v>
      </c>
      <c r="S418" s="125">
        <f t="shared" si="202"/>
        <v>43960.321944000025</v>
      </c>
      <c r="T418" s="82"/>
    </row>
    <row r="419" spans="2:20" s="64" customFormat="1" x14ac:dyDescent="0.2">
      <c r="B419" s="197" t="s">
        <v>294</v>
      </c>
      <c r="C419" s="20" t="s">
        <v>65</v>
      </c>
      <c r="D419" s="139" t="s">
        <v>45</v>
      </c>
      <c r="E419" s="139">
        <v>12</v>
      </c>
      <c r="F419" s="139">
        <v>2</v>
      </c>
      <c r="G419" s="140">
        <v>1442</v>
      </c>
      <c r="H419" s="141">
        <v>870</v>
      </c>
      <c r="I419" s="141">
        <v>0</v>
      </c>
      <c r="J419" s="142">
        <v>0.5</v>
      </c>
      <c r="K419" s="5">
        <f t="shared" si="194"/>
        <v>1104.9000000000001</v>
      </c>
      <c r="L419" s="5">
        <f t="shared" si="195"/>
        <v>1104.9000000000001</v>
      </c>
      <c r="M419" s="122">
        <f t="shared" si="196"/>
        <v>0</v>
      </c>
      <c r="N419" s="123">
        <f t="shared" si="197"/>
        <v>0</v>
      </c>
      <c r="O419" s="5">
        <f t="shared" si="198"/>
        <v>234.90000000000009</v>
      </c>
      <c r="P419" s="123">
        <f t="shared" si="199"/>
        <v>117.45000000000005</v>
      </c>
      <c r="Q419" s="124">
        <f t="shared" si="200"/>
        <v>1409.4000000000005</v>
      </c>
      <c r="R419" s="124">
        <f t="shared" si="201"/>
        <v>339.52446000000015</v>
      </c>
      <c r="S419" s="125">
        <f t="shared" si="202"/>
        <v>1748.9244600000006</v>
      </c>
      <c r="T419" s="82"/>
    </row>
    <row r="420" spans="2:20" s="64" customFormat="1" x14ac:dyDescent="0.2">
      <c r="B420" s="197" t="s">
        <v>294</v>
      </c>
      <c r="C420" s="20" t="s">
        <v>65</v>
      </c>
      <c r="D420" s="139" t="s">
        <v>45</v>
      </c>
      <c r="E420" s="139">
        <v>12</v>
      </c>
      <c r="F420" s="139">
        <v>1</v>
      </c>
      <c r="G420" s="140">
        <v>1253</v>
      </c>
      <c r="H420" s="141">
        <v>756</v>
      </c>
      <c r="I420" s="141">
        <v>0</v>
      </c>
      <c r="J420" s="142">
        <v>1</v>
      </c>
      <c r="K420" s="5">
        <f t="shared" si="194"/>
        <v>960.12</v>
      </c>
      <c r="L420" s="5">
        <f t="shared" si="195"/>
        <v>960.12</v>
      </c>
      <c r="M420" s="122">
        <f t="shared" si="196"/>
        <v>0</v>
      </c>
      <c r="N420" s="123">
        <f t="shared" si="197"/>
        <v>0</v>
      </c>
      <c r="O420" s="5">
        <f t="shared" si="198"/>
        <v>204.12</v>
      </c>
      <c r="P420" s="123">
        <f t="shared" si="199"/>
        <v>204.12</v>
      </c>
      <c r="Q420" s="124">
        <f t="shared" si="200"/>
        <v>2449.44</v>
      </c>
      <c r="R420" s="124">
        <f t="shared" si="201"/>
        <v>590.07009600000004</v>
      </c>
      <c r="S420" s="125">
        <f t="shared" si="202"/>
        <v>3039.510096</v>
      </c>
      <c r="T420" s="82"/>
    </row>
    <row r="421" spans="2:20" s="64" customFormat="1" x14ac:dyDescent="0.2">
      <c r="B421" s="137" t="s">
        <v>238</v>
      </c>
      <c r="C421" s="20" t="s">
        <v>65</v>
      </c>
      <c r="D421" s="139" t="s">
        <v>24</v>
      </c>
      <c r="E421" s="139">
        <v>10</v>
      </c>
      <c r="F421" s="139">
        <v>3</v>
      </c>
      <c r="G421" s="140">
        <v>1287</v>
      </c>
      <c r="H421" s="141">
        <v>798</v>
      </c>
      <c r="I421" s="141">
        <v>0</v>
      </c>
      <c r="J421" s="142">
        <v>0.8</v>
      </c>
      <c r="K421" s="5">
        <f t="shared" si="194"/>
        <v>1013.46</v>
      </c>
      <c r="L421" s="5">
        <f t="shared" si="195"/>
        <v>1013.46</v>
      </c>
      <c r="M421" s="122">
        <f t="shared" si="196"/>
        <v>0</v>
      </c>
      <c r="N421" s="123">
        <f t="shared" si="197"/>
        <v>0</v>
      </c>
      <c r="O421" s="5">
        <f t="shared" si="198"/>
        <v>215.46000000000004</v>
      </c>
      <c r="P421" s="123">
        <f t="shared" si="199"/>
        <v>172.36800000000005</v>
      </c>
      <c r="Q421" s="124">
        <f t="shared" si="200"/>
        <v>2068.4160000000006</v>
      </c>
      <c r="R421" s="124">
        <f t="shared" si="201"/>
        <v>498.28141440000013</v>
      </c>
      <c r="S421" s="125">
        <f t="shared" si="202"/>
        <v>2566.6974144000005</v>
      </c>
      <c r="T421" s="82"/>
    </row>
    <row r="422" spans="2:20" s="64" customFormat="1" x14ac:dyDescent="0.2">
      <c r="B422" s="137" t="s">
        <v>238</v>
      </c>
      <c r="C422" s="20" t="s">
        <v>65</v>
      </c>
      <c r="D422" s="139" t="s">
        <v>24</v>
      </c>
      <c r="E422" s="139">
        <v>10</v>
      </c>
      <c r="F422" s="139">
        <v>3</v>
      </c>
      <c r="G422" s="140">
        <v>1287</v>
      </c>
      <c r="H422" s="141">
        <v>797</v>
      </c>
      <c r="I422" s="141">
        <v>0</v>
      </c>
      <c r="J422" s="142">
        <v>1.5</v>
      </c>
      <c r="K422" s="5">
        <f t="shared" si="194"/>
        <v>1012.19</v>
      </c>
      <c r="L422" s="5">
        <f t="shared" si="195"/>
        <v>1012.19</v>
      </c>
      <c r="M422" s="122">
        <f t="shared" si="196"/>
        <v>0</v>
      </c>
      <c r="N422" s="123">
        <f t="shared" si="197"/>
        <v>0</v>
      </c>
      <c r="O422" s="5">
        <f t="shared" si="198"/>
        <v>215.19000000000005</v>
      </c>
      <c r="P422" s="123">
        <f t="shared" si="199"/>
        <v>322.78500000000008</v>
      </c>
      <c r="Q422" s="124">
        <f t="shared" si="200"/>
        <v>3873.420000000001</v>
      </c>
      <c r="R422" s="124">
        <f t="shared" si="201"/>
        <v>933.10687800000028</v>
      </c>
      <c r="S422" s="125">
        <f t="shared" si="202"/>
        <v>4806.5268780000015</v>
      </c>
      <c r="T422" s="82"/>
    </row>
    <row r="423" spans="2:20" s="64" customFormat="1" x14ac:dyDescent="0.2">
      <c r="B423" s="137" t="s">
        <v>238</v>
      </c>
      <c r="C423" s="20" t="s">
        <v>65</v>
      </c>
      <c r="D423" s="139" t="s">
        <v>24</v>
      </c>
      <c r="E423" s="139">
        <v>10</v>
      </c>
      <c r="F423" s="139">
        <v>3</v>
      </c>
      <c r="G423" s="140">
        <v>1287</v>
      </c>
      <c r="H423" s="141">
        <v>796</v>
      </c>
      <c r="I423" s="141">
        <v>0</v>
      </c>
      <c r="J423" s="142">
        <v>23.5</v>
      </c>
      <c r="K423" s="5">
        <f t="shared" si="194"/>
        <v>1010.92</v>
      </c>
      <c r="L423" s="5">
        <f t="shared" si="195"/>
        <v>1010.92</v>
      </c>
      <c r="M423" s="122">
        <f t="shared" si="196"/>
        <v>0</v>
      </c>
      <c r="N423" s="123">
        <f t="shared" si="197"/>
        <v>0</v>
      </c>
      <c r="O423" s="5">
        <f t="shared" si="198"/>
        <v>214.91999999999996</v>
      </c>
      <c r="P423" s="123">
        <f t="shared" si="199"/>
        <v>5050.619999999999</v>
      </c>
      <c r="Q423" s="124">
        <f t="shared" si="200"/>
        <v>60607.439999999988</v>
      </c>
      <c r="R423" s="124">
        <f t="shared" si="201"/>
        <v>14600.332295999997</v>
      </c>
      <c r="S423" s="125">
        <f t="shared" si="202"/>
        <v>75207.772295999981</v>
      </c>
      <c r="T423" s="82"/>
    </row>
    <row r="424" spans="2:20" s="64" customFormat="1" x14ac:dyDescent="0.2">
      <c r="B424" s="137" t="s">
        <v>238</v>
      </c>
      <c r="C424" s="20" t="s">
        <v>65</v>
      </c>
      <c r="D424" s="139" t="s">
        <v>24</v>
      </c>
      <c r="E424" s="139">
        <v>10</v>
      </c>
      <c r="F424" s="139">
        <v>3</v>
      </c>
      <c r="G424" s="140">
        <v>1287</v>
      </c>
      <c r="H424" s="141">
        <v>795</v>
      </c>
      <c r="I424" s="141">
        <v>0</v>
      </c>
      <c r="J424" s="142">
        <v>2.2000000000000002</v>
      </c>
      <c r="K424" s="5">
        <f t="shared" si="194"/>
        <v>1009.65</v>
      </c>
      <c r="L424" s="5">
        <f t="shared" si="195"/>
        <v>1009.65</v>
      </c>
      <c r="M424" s="122">
        <f t="shared" si="196"/>
        <v>0</v>
      </c>
      <c r="N424" s="123">
        <f t="shared" si="197"/>
        <v>0</v>
      </c>
      <c r="O424" s="5">
        <f t="shared" si="198"/>
        <v>214.64999999999998</v>
      </c>
      <c r="P424" s="123">
        <f t="shared" si="199"/>
        <v>472.22999999999996</v>
      </c>
      <c r="Q424" s="124">
        <f t="shared" si="200"/>
        <v>5666.7599999999993</v>
      </c>
      <c r="R424" s="124">
        <f t="shared" si="201"/>
        <v>1365.1224839999998</v>
      </c>
      <c r="S424" s="125">
        <f t="shared" si="202"/>
        <v>7031.8824839999988</v>
      </c>
      <c r="T424" s="82"/>
    </row>
    <row r="425" spans="2:20" s="64" customFormat="1" x14ac:dyDescent="0.2">
      <c r="B425" s="137" t="s">
        <v>238</v>
      </c>
      <c r="C425" s="20" t="s">
        <v>65</v>
      </c>
      <c r="D425" s="139" t="s">
        <v>24</v>
      </c>
      <c r="E425" s="139">
        <v>10</v>
      </c>
      <c r="F425" s="139">
        <v>2</v>
      </c>
      <c r="G425" s="140">
        <v>1115</v>
      </c>
      <c r="H425" s="141">
        <v>697</v>
      </c>
      <c r="I425" s="141">
        <v>0</v>
      </c>
      <c r="J425" s="142">
        <v>0.6</v>
      </c>
      <c r="K425" s="5">
        <f t="shared" si="194"/>
        <v>885.19</v>
      </c>
      <c r="L425" s="5">
        <f t="shared" si="195"/>
        <v>885.19</v>
      </c>
      <c r="M425" s="122">
        <f t="shared" si="196"/>
        <v>0</v>
      </c>
      <c r="N425" s="123">
        <f t="shared" si="197"/>
        <v>0</v>
      </c>
      <c r="O425" s="5">
        <f t="shared" si="198"/>
        <v>188.19000000000005</v>
      </c>
      <c r="P425" s="123">
        <f t="shared" si="199"/>
        <v>112.91400000000003</v>
      </c>
      <c r="Q425" s="124">
        <f t="shared" si="200"/>
        <v>1354.9680000000003</v>
      </c>
      <c r="R425" s="124">
        <f t="shared" si="201"/>
        <v>326.4117912000001</v>
      </c>
      <c r="S425" s="125">
        <f t="shared" si="202"/>
        <v>1681.3797912000005</v>
      </c>
      <c r="T425" s="82"/>
    </row>
    <row r="426" spans="2:20" s="64" customFormat="1" x14ac:dyDescent="0.2">
      <c r="B426" s="137" t="s">
        <v>238</v>
      </c>
      <c r="C426" s="20" t="s">
        <v>65</v>
      </c>
      <c r="D426" s="139" t="s">
        <v>24</v>
      </c>
      <c r="E426" s="139">
        <v>10</v>
      </c>
      <c r="F426" s="139">
        <v>1</v>
      </c>
      <c r="G426" s="140">
        <v>940</v>
      </c>
      <c r="H426" s="141">
        <v>610</v>
      </c>
      <c r="I426" s="141">
        <v>0</v>
      </c>
      <c r="J426" s="142">
        <v>0.1</v>
      </c>
      <c r="K426" s="5">
        <f t="shared" si="194"/>
        <v>774.7</v>
      </c>
      <c r="L426" s="5">
        <f t="shared" si="195"/>
        <v>774.7</v>
      </c>
      <c r="M426" s="122">
        <f t="shared" si="196"/>
        <v>0</v>
      </c>
      <c r="N426" s="123">
        <f t="shared" si="197"/>
        <v>0</v>
      </c>
      <c r="O426" s="5">
        <f t="shared" si="198"/>
        <v>164.70000000000005</v>
      </c>
      <c r="P426" s="123">
        <f t="shared" si="199"/>
        <v>16.470000000000006</v>
      </c>
      <c r="Q426" s="124">
        <f t="shared" si="200"/>
        <v>197.64000000000007</v>
      </c>
      <c r="R426" s="124">
        <f t="shared" si="201"/>
        <v>47.611476000000017</v>
      </c>
      <c r="S426" s="125">
        <f t="shared" si="202"/>
        <v>245.25147600000008</v>
      </c>
      <c r="T426" s="82"/>
    </row>
    <row r="427" spans="2:20" s="64" customFormat="1" x14ac:dyDescent="0.2">
      <c r="B427" s="137" t="s">
        <v>238</v>
      </c>
      <c r="C427" s="20" t="s">
        <v>65</v>
      </c>
      <c r="D427" s="139" t="s">
        <v>24</v>
      </c>
      <c r="E427" s="139">
        <v>10</v>
      </c>
      <c r="F427" s="139">
        <v>1</v>
      </c>
      <c r="G427" s="140">
        <v>940</v>
      </c>
      <c r="H427" s="141">
        <v>607</v>
      </c>
      <c r="I427" s="141">
        <v>0</v>
      </c>
      <c r="J427" s="142">
        <v>0.3</v>
      </c>
      <c r="K427" s="5">
        <f t="shared" si="194"/>
        <v>770.89</v>
      </c>
      <c r="L427" s="5">
        <f t="shared" si="195"/>
        <v>770.89</v>
      </c>
      <c r="M427" s="122">
        <f t="shared" si="196"/>
        <v>0</v>
      </c>
      <c r="N427" s="123">
        <f t="shared" si="197"/>
        <v>0</v>
      </c>
      <c r="O427" s="5">
        <f t="shared" si="198"/>
        <v>163.89</v>
      </c>
      <c r="P427" s="123">
        <f t="shared" si="199"/>
        <v>49.166999999999994</v>
      </c>
      <c r="Q427" s="124">
        <f t="shared" si="200"/>
        <v>590.00399999999991</v>
      </c>
      <c r="R427" s="124">
        <f t="shared" si="201"/>
        <v>142.13196359999998</v>
      </c>
      <c r="S427" s="125">
        <f t="shared" si="202"/>
        <v>732.13596359999985</v>
      </c>
      <c r="T427" s="82"/>
    </row>
    <row r="428" spans="2:20" s="64" customFormat="1" x14ac:dyDescent="0.2">
      <c r="B428" s="137" t="s">
        <v>238</v>
      </c>
      <c r="C428" s="20" t="s">
        <v>65</v>
      </c>
      <c r="D428" s="139" t="s">
        <v>24</v>
      </c>
      <c r="E428" s="139">
        <v>10</v>
      </c>
      <c r="F428" s="139">
        <v>1</v>
      </c>
      <c r="G428" s="140">
        <v>940</v>
      </c>
      <c r="H428" s="141">
        <v>606</v>
      </c>
      <c r="I428" s="141">
        <v>0</v>
      </c>
      <c r="J428" s="142">
        <v>0.5</v>
      </c>
      <c r="K428" s="5">
        <f t="shared" si="194"/>
        <v>769.62</v>
      </c>
      <c r="L428" s="5">
        <f t="shared" si="195"/>
        <v>769.62</v>
      </c>
      <c r="M428" s="122">
        <f t="shared" si="196"/>
        <v>0</v>
      </c>
      <c r="N428" s="123">
        <f t="shared" si="197"/>
        <v>0</v>
      </c>
      <c r="O428" s="5">
        <f t="shared" si="198"/>
        <v>163.62</v>
      </c>
      <c r="P428" s="123">
        <f t="shared" si="199"/>
        <v>81.81</v>
      </c>
      <c r="Q428" s="124">
        <f t="shared" si="200"/>
        <v>981.72</v>
      </c>
      <c r="R428" s="124">
        <f t="shared" si="201"/>
        <v>236.49634800000001</v>
      </c>
      <c r="S428" s="125">
        <f t="shared" si="202"/>
        <v>1218.2163479999999</v>
      </c>
      <c r="T428" s="82"/>
    </row>
    <row r="429" spans="2:20" s="64" customFormat="1" x14ac:dyDescent="0.2">
      <c r="B429" s="137" t="s">
        <v>238</v>
      </c>
      <c r="C429" s="20" t="s">
        <v>65</v>
      </c>
      <c r="D429" s="139" t="s">
        <v>24</v>
      </c>
      <c r="E429" s="139">
        <v>10</v>
      </c>
      <c r="F429" s="139">
        <v>1</v>
      </c>
      <c r="G429" s="140">
        <v>940</v>
      </c>
      <c r="H429" s="141">
        <v>605</v>
      </c>
      <c r="I429" s="141">
        <v>0</v>
      </c>
      <c r="J429" s="142">
        <v>8.9</v>
      </c>
      <c r="K429" s="5">
        <f t="shared" si="194"/>
        <v>768.35</v>
      </c>
      <c r="L429" s="5">
        <f t="shared" si="195"/>
        <v>768.35</v>
      </c>
      <c r="M429" s="122">
        <f t="shared" si="196"/>
        <v>0</v>
      </c>
      <c r="N429" s="123">
        <f t="shared" si="197"/>
        <v>0</v>
      </c>
      <c r="O429" s="5">
        <f t="shared" si="198"/>
        <v>163.35000000000002</v>
      </c>
      <c r="P429" s="123">
        <f t="shared" si="199"/>
        <v>1453.8150000000003</v>
      </c>
      <c r="Q429" s="124">
        <f t="shared" si="200"/>
        <v>17445.780000000002</v>
      </c>
      <c r="R429" s="124">
        <f t="shared" si="201"/>
        <v>4202.6884020000007</v>
      </c>
      <c r="S429" s="125">
        <f t="shared" si="202"/>
        <v>21648.468402000002</v>
      </c>
      <c r="T429" s="82"/>
    </row>
    <row r="430" spans="2:20" s="64" customFormat="1" x14ac:dyDescent="0.2">
      <c r="B430" s="137" t="s">
        <v>238</v>
      </c>
      <c r="C430" s="20" t="s">
        <v>65</v>
      </c>
      <c r="D430" s="139" t="s">
        <v>24</v>
      </c>
      <c r="E430" s="139">
        <v>10</v>
      </c>
      <c r="F430" s="139">
        <v>1</v>
      </c>
      <c r="G430" s="140">
        <v>940</v>
      </c>
      <c r="H430" s="141">
        <v>600</v>
      </c>
      <c r="I430" s="141">
        <v>0</v>
      </c>
      <c r="J430" s="142">
        <v>0.05</v>
      </c>
      <c r="K430" s="5">
        <f t="shared" si="194"/>
        <v>762</v>
      </c>
      <c r="L430" s="5">
        <f t="shared" si="195"/>
        <v>762</v>
      </c>
      <c r="M430" s="122">
        <f t="shared" si="196"/>
        <v>0</v>
      </c>
      <c r="N430" s="123">
        <f t="shared" si="197"/>
        <v>0</v>
      </c>
      <c r="O430" s="5">
        <f t="shared" si="198"/>
        <v>162</v>
      </c>
      <c r="P430" s="123">
        <f t="shared" si="199"/>
        <v>8.1</v>
      </c>
      <c r="Q430" s="124">
        <f t="shared" si="200"/>
        <v>97.199999999999989</v>
      </c>
      <c r="R430" s="124">
        <f t="shared" si="201"/>
        <v>23.415479999999999</v>
      </c>
      <c r="S430" s="125">
        <f t="shared" si="202"/>
        <v>120.61547999999999</v>
      </c>
      <c r="T430" s="82"/>
    </row>
    <row r="431" spans="2:20" s="52" customFormat="1" x14ac:dyDescent="0.25">
      <c r="B431" s="126" t="s">
        <v>39</v>
      </c>
      <c r="C431" s="54"/>
      <c r="D431" s="54"/>
      <c r="E431" s="54"/>
      <c r="F431" s="55"/>
      <c r="G431" s="56"/>
      <c r="H431" s="6"/>
      <c r="I431" s="7"/>
      <c r="J431" s="67">
        <f>SUM(J411:J430)</f>
        <v>61.949999999999996</v>
      </c>
      <c r="K431" s="58"/>
      <c r="L431" s="7"/>
      <c r="M431" s="59"/>
      <c r="N431" s="57"/>
      <c r="O431" s="7"/>
      <c r="P431" s="57"/>
      <c r="Q431" s="60">
        <f t="shared" ref="Q431:S431" si="203">SUM(Q411:Q430)</f>
        <v>171100.90800000002</v>
      </c>
      <c r="R431" s="60">
        <f t="shared" si="203"/>
        <v>41218.208737199995</v>
      </c>
      <c r="S431" s="61">
        <f t="shared" si="203"/>
        <v>212319.11673720001</v>
      </c>
      <c r="T431" s="127"/>
    </row>
    <row r="432" spans="2:20" s="64" customFormat="1" ht="13.5" thickBot="1" x14ac:dyDescent="0.25">
      <c r="B432" s="28" t="s">
        <v>295</v>
      </c>
      <c r="C432" s="29"/>
      <c r="D432" s="30"/>
      <c r="E432" s="30"/>
      <c r="F432" s="30"/>
      <c r="G432" s="31"/>
      <c r="H432" s="32"/>
      <c r="I432" s="32"/>
      <c r="J432" s="183">
        <f>J431</f>
        <v>61.949999999999996</v>
      </c>
      <c r="K432" s="184"/>
      <c r="L432" s="185"/>
      <c r="M432" s="185"/>
      <c r="N432" s="185"/>
      <c r="O432" s="185"/>
      <c r="P432" s="185"/>
      <c r="Q432" s="186">
        <f>Q431</f>
        <v>171100.90800000002</v>
      </c>
      <c r="R432" s="186">
        <f>R431</f>
        <v>41218.208737199995</v>
      </c>
      <c r="S432" s="187">
        <f>S431</f>
        <v>212319.11673720001</v>
      </c>
      <c r="T432" s="82"/>
    </row>
    <row r="433" spans="2:20" s="98" customFormat="1" ht="13.5" x14ac:dyDescent="0.25">
      <c r="B433" s="171" t="s">
        <v>296</v>
      </c>
      <c r="C433" s="188"/>
      <c r="D433" s="189"/>
      <c r="E433" s="189"/>
      <c r="F433" s="189"/>
      <c r="G433" s="190"/>
      <c r="H433" s="191"/>
      <c r="I433" s="191"/>
      <c r="J433" s="192"/>
      <c r="K433" s="35"/>
      <c r="L433" s="193"/>
      <c r="M433" s="193"/>
      <c r="N433" s="194"/>
      <c r="O433" s="33"/>
      <c r="P433" s="194"/>
      <c r="Q433" s="195"/>
      <c r="R433" s="195"/>
      <c r="S433" s="196"/>
      <c r="T433" s="108"/>
    </row>
    <row r="434" spans="2:20" s="109" customFormat="1" x14ac:dyDescent="0.2">
      <c r="B434" s="110" t="s">
        <v>19</v>
      </c>
      <c r="C434" s="111"/>
      <c r="D434" s="111"/>
      <c r="E434" s="111"/>
      <c r="F434" s="111"/>
      <c r="G434" s="34"/>
      <c r="H434" s="112"/>
      <c r="I434" s="113"/>
      <c r="J434" s="114"/>
      <c r="K434" s="115"/>
      <c r="L434" s="116"/>
      <c r="M434" s="117"/>
      <c r="N434" s="118"/>
      <c r="O434" s="117"/>
      <c r="P434" s="117"/>
      <c r="Q434" s="117"/>
      <c r="R434" s="119"/>
      <c r="S434" s="120"/>
      <c r="T434" s="95"/>
    </row>
    <row r="435" spans="2:20" s="64" customFormat="1" ht="25.5" x14ac:dyDescent="0.2">
      <c r="B435" s="36" t="s">
        <v>297</v>
      </c>
      <c r="C435" s="37" t="s">
        <v>42</v>
      </c>
      <c r="D435" s="37" t="s">
        <v>43</v>
      </c>
      <c r="E435" s="37" t="s">
        <v>63</v>
      </c>
      <c r="F435" s="38">
        <v>3</v>
      </c>
      <c r="G435" s="42">
        <v>1647</v>
      </c>
      <c r="H435" s="14">
        <v>950</v>
      </c>
      <c r="I435" s="141">
        <v>0</v>
      </c>
      <c r="J435" s="142">
        <v>8</v>
      </c>
      <c r="K435" s="5">
        <f t="shared" ref="K435:K453" si="204">H435*1.27</f>
        <v>1206.5</v>
      </c>
      <c r="L435" s="5">
        <f t="shared" ref="L435:L453" si="205">IF(K435&lt;=G435,K435,G435)</f>
        <v>1206.5</v>
      </c>
      <c r="M435" s="122">
        <f t="shared" ref="M435:M453" si="206">N435-I435</f>
        <v>0</v>
      </c>
      <c r="N435" s="123">
        <f t="shared" ref="N435:N453" si="207">I435/H435*L435</f>
        <v>0</v>
      </c>
      <c r="O435" s="5">
        <f t="shared" ref="O435:O453" si="208">L435-H435+M435</f>
        <v>256.5</v>
      </c>
      <c r="P435" s="123">
        <f t="shared" ref="P435:P453" si="209">O435*J435</f>
        <v>2052</v>
      </c>
      <c r="Q435" s="124">
        <f t="shared" ref="Q435:Q453" si="210">P435*12</f>
        <v>24624</v>
      </c>
      <c r="R435" s="124">
        <f t="shared" ref="R435:R453" si="211">Q435*0.2409</f>
        <v>5931.9215999999997</v>
      </c>
      <c r="S435" s="125">
        <f t="shared" ref="S435:S453" si="212">Q435+R435</f>
        <v>30555.921600000001</v>
      </c>
      <c r="T435" s="82"/>
    </row>
    <row r="436" spans="2:20" s="64" customFormat="1" x14ac:dyDescent="0.2">
      <c r="B436" s="36" t="s">
        <v>261</v>
      </c>
      <c r="C436" s="37" t="s">
        <v>298</v>
      </c>
      <c r="D436" s="37" t="s">
        <v>24</v>
      </c>
      <c r="E436" s="37" t="s">
        <v>65</v>
      </c>
      <c r="F436" s="37" t="s">
        <v>58</v>
      </c>
      <c r="G436" s="42">
        <v>1287</v>
      </c>
      <c r="H436" s="14">
        <v>840</v>
      </c>
      <c r="I436" s="141">
        <v>84</v>
      </c>
      <c r="J436" s="142">
        <v>1</v>
      </c>
      <c r="K436" s="5">
        <f t="shared" si="204"/>
        <v>1066.8</v>
      </c>
      <c r="L436" s="5">
        <f t="shared" si="205"/>
        <v>1066.8</v>
      </c>
      <c r="M436" s="122">
        <f t="shared" si="206"/>
        <v>22.680000000000007</v>
      </c>
      <c r="N436" s="123">
        <f t="shared" si="207"/>
        <v>106.68</v>
      </c>
      <c r="O436" s="5">
        <f t="shared" si="208"/>
        <v>249.47999999999996</v>
      </c>
      <c r="P436" s="123">
        <f t="shared" si="209"/>
        <v>249.47999999999996</v>
      </c>
      <c r="Q436" s="124">
        <f t="shared" si="210"/>
        <v>2993.7599999999993</v>
      </c>
      <c r="R436" s="124">
        <f t="shared" si="211"/>
        <v>721.19678399999987</v>
      </c>
      <c r="S436" s="125">
        <f t="shared" si="212"/>
        <v>3714.9567839999991</v>
      </c>
      <c r="T436" s="82"/>
    </row>
    <row r="437" spans="2:20" s="64" customFormat="1" x14ac:dyDescent="0.2">
      <c r="B437" s="23" t="s">
        <v>299</v>
      </c>
      <c r="C437" s="63" t="s">
        <v>298</v>
      </c>
      <c r="D437" s="63" t="s">
        <v>24</v>
      </c>
      <c r="E437" s="63" t="s">
        <v>65</v>
      </c>
      <c r="F437" s="63">
        <v>3</v>
      </c>
      <c r="G437" s="42">
        <v>1287</v>
      </c>
      <c r="H437" s="14">
        <v>840</v>
      </c>
      <c r="I437" s="141">
        <v>84</v>
      </c>
      <c r="J437" s="142">
        <v>0.75</v>
      </c>
      <c r="K437" s="5">
        <f t="shared" si="204"/>
        <v>1066.8</v>
      </c>
      <c r="L437" s="5">
        <f t="shared" si="205"/>
        <v>1066.8</v>
      </c>
      <c r="M437" s="122">
        <f t="shared" si="206"/>
        <v>22.680000000000007</v>
      </c>
      <c r="N437" s="123">
        <f t="shared" si="207"/>
        <v>106.68</v>
      </c>
      <c r="O437" s="5">
        <f t="shared" si="208"/>
        <v>249.47999999999996</v>
      </c>
      <c r="P437" s="123">
        <f t="shared" si="209"/>
        <v>187.10999999999996</v>
      </c>
      <c r="Q437" s="124">
        <f t="shared" si="210"/>
        <v>2245.3199999999997</v>
      </c>
      <c r="R437" s="124">
        <f t="shared" si="211"/>
        <v>540.89758799999993</v>
      </c>
      <c r="S437" s="125">
        <f t="shared" si="212"/>
        <v>2786.2175879999995</v>
      </c>
      <c r="T437" s="82"/>
    </row>
    <row r="438" spans="2:20" s="64" customFormat="1" x14ac:dyDescent="0.2">
      <c r="B438" s="36" t="s">
        <v>300</v>
      </c>
      <c r="C438" s="37" t="s">
        <v>298</v>
      </c>
      <c r="D438" s="37" t="s">
        <v>24</v>
      </c>
      <c r="E438" s="37" t="s">
        <v>65</v>
      </c>
      <c r="F438" s="38">
        <v>3</v>
      </c>
      <c r="G438" s="42">
        <v>1287</v>
      </c>
      <c r="H438" s="14">
        <v>840</v>
      </c>
      <c r="I438" s="141">
        <v>84</v>
      </c>
      <c r="J438" s="142">
        <v>2.5</v>
      </c>
      <c r="K438" s="5">
        <f t="shared" si="204"/>
        <v>1066.8</v>
      </c>
      <c r="L438" s="5">
        <f t="shared" si="205"/>
        <v>1066.8</v>
      </c>
      <c r="M438" s="122">
        <f t="shared" si="206"/>
        <v>22.680000000000007</v>
      </c>
      <c r="N438" s="123">
        <f t="shared" si="207"/>
        <v>106.68</v>
      </c>
      <c r="O438" s="5">
        <f t="shared" si="208"/>
        <v>249.47999999999996</v>
      </c>
      <c r="P438" s="123">
        <f t="shared" si="209"/>
        <v>623.69999999999993</v>
      </c>
      <c r="Q438" s="124">
        <f t="shared" si="210"/>
        <v>7484.4</v>
      </c>
      <c r="R438" s="124">
        <f t="shared" si="211"/>
        <v>1802.9919599999998</v>
      </c>
      <c r="S438" s="125">
        <f t="shared" si="212"/>
        <v>9287.391959999999</v>
      </c>
      <c r="T438" s="82"/>
    </row>
    <row r="439" spans="2:20" s="64" customFormat="1" x14ac:dyDescent="0.2">
      <c r="B439" s="36" t="s">
        <v>301</v>
      </c>
      <c r="C439" s="37" t="s">
        <v>298</v>
      </c>
      <c r="D439" s="37" t="s">
        <v>24</v>
      </c>
      <c r="E439" s="37" t="s">
        <v>65</v>
      </c>
      <c r="F439" s="38">
        <v>3</v>
      </c>
      <c r="G439" s="42">
        <v>1287</v>
      </c>
      <c r="H439" s="14">
        <v>840</v>
      </c>
      <c r="I439" s="141">
        <v>84</v>
      </c>
      <c r="J439" s="142">
        <v>4.5</v>
      </c>
      <c r="K439" s="5">
        <f t="shared" si="204"/>
        <v>1066.8</v>
      </c>
      <c r="L439" s="5">
        <f t="shared" si="205"/>
        <v>1066.8</v>
      </c>
      <c r="M439" s="122">
        <f t="shared" si="206"/>
        <v>22.680000000000007</v>
      </c>
      <c r="N439" s="123">
        <f t="shared" si="207"/>
        <v>106.68</v>
      </c>
      <c r="O439" s="5">
        <f t="shared" si="208"/>
        <v>249.47999999999996</v>
      </c>
      <c r="P439" s="123">
        <f t="shared" si="209"/>
        <v>1122.6599999999999</v>
      </c>
      <c r="Q439" s="124">
        <f t="shared" si="210"/>
        <v>13471.919999999998</v>
      </c>
      <c r="R439" s="124">
        <f t="shared" si="211"/>
        <v>3245.3855279999998</v>
      </c>
      <c r="S439" s="125">
        <f t="shared" si="212"/>
        <v>16717.305527999997</v>
      </c>
      <c r="T439" s="82"/>
    </row>
    <row r="440" spans="2:20" s="64" customFormat="1" x14ac:dyDescent="0.2">
      <c r="B440" s="36" t="s">
        <v>302</v>
      </c>
      <c r="C440" s="37" t="s">
        <v>298</v>
      </c>
      <c r="D440" s="37" t="s">
        <v>24</v>
      </c>
      <c r="E440" s="37" t="s">
        <v>65</v>
      </c>
      <c r="F440" s="38">
        <v>3</v>
      </c>
      <c r="G440" s="42">
        <v>1287</v>
      </c>
      <c r="H440" s="14">
        <v>840</v>
      </c>
      <c r="I440" s="141">
        <v>84</v>
      </c>
      <c r="J440" s="142">
        <v>0.25</v>
      </c>
      <c r="K440" s="5">
        <f t="shared" si="204"/>
        <v>1066.8</v>
      </c>
      <c r="L440" s="5">
        <f t="shared" si="205"/>
        <v>1066.8</v>
      </c>
      <c r="M440" s="122">
        <f t="shared" si="206"/>
        <v>22.680000000000007</v>
      </c>
      <c r="N440" s="123">
        <f t="shared" si="207"/>
        <v>106.68</v>
      </c>
      <c r="O440" s="5">
        <f t="shared" si="208"/>
        <v>249.47999999999996</v>
      </c>
      <c r="P440" s="123">
        <f t="shared" si="209"/>
        <v>62.36999999999999</v>
      </c>
      <c r="Q440" s="124">
        <f t="shared" si="210"/>
        <v>748.43999999999983</v>
      </c>
      <c r="R440" s="124">
        <f t="shared" si="211"/>
        <v>180.29919599999997</v>
      </c>
      <c r="S440" s="125">
        <f t="shared" si="212"/>
        <v>928.73919599999977</v>
      </c>
      <c r="T440" s="82"/>
    </row>
    <row r="441" spans="2:20" s="64" customFormat="1" x14ac:dyDescent="0.2">
      <c r="B441" s="36" t="s">
        <v>303</v>
      </c>
      <c r="C441" s="37" t="s">
        <v>298</v>
      </c>
      <c r="D441" s="37" t="s">
        <v>24</v>
      </c>
      <c r="E441" s="37" t="s">
        <v>65</v>
      </c>
      <c r="F441" s="38">
        <v>3</v>
      </c>
      <c r="G441" s="42">
        <v>1287</v>
      </c>
      <c r="H441" s="14">
        <v>840</v>
      </c>
      <c r="I441" s="141">
        <v>84</v>
      </c>
      <c r="J441" s="142">
        <v>3</v>
      </c>
      <c r="K441" s="5">
        <f t="shared" si="204"/>
        <v>1066.8</v>
      </c>
      <c r="L441" s="5">
        <f t="shared" si="205"/>
        <v>1066.8</v>
      </c>
      <c r="M441" s="122">
        <f t="shared" si="206"/>
        <v>22.680000000000007</v>
      </c>
      <c r="N441" s="123">
        <f t="shared" si="207"/>
        <v>106.68</v>
      </c>
      <c r="O441" s="5">
        <f t="shared" si="208"/>
        <v>249.47999999999996</v>
      </c>
      <c r="P441" s="123">
        <f t="shared" si="209"/>
        <v>748.43999999999983</v>
      </c>
      <c r="Q441" s="124">
        <f t="shared" si="210"/>
        <v>8981.2799999999988</v>
      </c>
      <c r="R441" s="124">
        <f t="shared" si="211"/>
        <v>2163.5903519999997</v>
      </c>
      <c r="S441" s="125">
        <f t="shared" si="212"/>
        <v>11144.870351999998</v>
      </c>
      <c r="T441" s="82"/>
    </row>
    <row r="442" spans="2:20" s="64" customFormat="1" x14ac:dyDescent="0.2">
      <c r="B442" s="36" t="s">
        <v>304</v>
      </c>
      <c r="C442" s="37" t="s">
        <v>298</v>
      </c>
      <c r="D442" s="37" t="s">
        <v>24</v>
      </c>
      <c r="E442" s="37" t="s">
        <v>65</v>
      </c>
      <c r="F442" s="38">
        <v>3</v>
      </c>
      <c r="G442" s="42">
        <v>1287</v>
      </c>
      <c r="H442" s="14">
        <v>840</v>
      </c>
      <c r="I442" s="141">
        <v>84</v>
      </c>
      <c r="J442" s="142">
        <v>1</v>
      </c>
      <c r="K442" s="5">
        <f t="shared" si="204"/>
        <v>1066.8</v>
      </c>
      <c r="L442" s="5">
        <f t="shared" si="205"/>
        <v>1066.8</v>
      </c>
      <c r="M442" s="122">
        <f t="shared" si="206"/>
        <v>22.680000000000007</v>
      </c>
      <c r="N442" s="123">
        <f t="shared" si="207"/>
        <v>106.68</v>
      </c>
      <c r="O442" s="5">
        <f t="shared" si="208"/>
        <v>249.47999999999996</v>
      </c>
      <c r="P442" s="123">
        <f t="shared" si="209"/>
        <v>249.47999999999996</v>
      </c>
      <c r="Q442" s="124">
        <f t="shared" si="210"/>
        <v>2993.7599999999993</v>
      </c>
      <c r="R442" s="124">
        <f t="shared" si="211"/>
        <v>721.19678399999987</v>
      </c>
      <c r="S442" s="125">
        <f t="shared" si="212"/>
        <v>3714.9567839999991</v>
      </c>
      <c r="T442" s="82"/>
    </row>
    <row r="443" spans="2:20" s="64" customFormat="1" x14ac:dyDescent="0.2">
      <c r="B443" s="36" t="s">
        <v>305</v>
      </c>
      <c r="C443" s="37" t="s">
        <v>23</v>
      </c>
      <c r="D443" s="37" t="s">
        <v>24</v>
      </c>
      <c r="E443" s="37" t="s">
        <v>65</v>
      </c>
      <c r="F443" s="38">
        <v>3</v>
      </c>
      <c r="G443" s="42">
        <v>1287</v>
      </c>
      <c r="H443" s="14">
        <v>840</v>
      </c>
      <c r="I443" s="141">
        <v>84</v>
      </c>
      <c r="J443" s="142">
        <v>1</v>
      </c>
      <c r="K443" s="5">
        <f t="shared" si="204"/>
        <v>1066.8</v>
      </c>
      <c r="L443" s="5">
        <f t="shared" si="205"/>
        <v>1066.8</v>
      </c>
      <c r="M443" s="122">
        <f t="shared" si="206"/>
        <v>22.680000000000007</v>
      </c>
      <c r="N443" s="123">
        <f t="shared" si="207"/>
        <v>106.68</v>
      </c>
      <c r="O443" s="5">
        <f t="shared" si="208"/>
        <v>249.47999999999996</v>
      </c>
      <c r="P443" s="123">
        <f t="shared" si="209"/>
        <v>249.47999999999996</v>
      </c>
      <c r="Q443" s="124">
        <f t="shared" si="210"/>
        <v>2993.7599999999993</v>
      </c>
      <c r="R443" s="124">
        <f t="shared" si="211"/>
        <v>721.19678399999987</v>
      </c>
      <c r="S443" s="125">
        <f t="shared" si="212"/>
        <v>3714.9567839999991</v>
      </c>
      <c r="T443" s="82"/>
    </row>
    <row r="444" spans="2:20" s="64" customFormat="1" x14ac:dyDescent="0.2">
      <c r="B444" s="39" t="s">
        <v>280</v>
      </c>
      <c r="C444" s="37" t="s">
        <v>298</v>
      </c>
      <c r="D444" s="37" t="s">
        <v>38</v>
      </c>
      <c r="E444" s="37" t="s">
        <v>74</v>
      </c>
      <c r="F444" s="40">
        <v>1</v>
      </c>
      <c r="G444" s="42">
        <v>835</v>
      </c>
      <c r="H444" s="14">
        <v>540</v>
      </c>
      <c r="I444" s="141">
        <v>54</v>
      </c>
      <c r="J444" s="142">
        <v>0.5</v>
      </c>
      <c r="K444" s="5">
        <f t="shared" si="204"/>
        <v>685.8</v>
      </c>
      <c r="L444" s="5">
        <f t="shared" si="205"/>
        <v>685.8</v>
      </c>
      <c r="M444" s="122">
        <f t="shared" si="206"/>
        <v>14.579999999999998</v>
      </c>
      <c r="N444" s="123">
        <f t="shared" si="207"/>
        <v>68.58</v>
      </c>
      <c r="O444" s="5">
        <f t="shared" si="208"/>
        <v>160.37999999999994</v>
      </c>
      <c r="P444" s="123">
        <f t="shared" si="209"/>
        <v>80.189999999999969</v>
      </c>
      <c r="Q444" s="124">
        <f t="shared" si="210"/>
        <v>962.27999999999963</v>
      </c>
      <c r="R444" s="124">
        <f t="shared" si="211"/>
        <v>231.81325199999992</v>
      </c>
      <c r="S444" s="125">
        <f t="shared" si="212"/>
        <v>1194.0932519999997</v>
      </c>
      <c r="T444" s="82"/>
    </row>
    <row r="445" spans="2:20" s="64" customFormat="1" x14ac:dyDescent="0.2">
      <c r="B445" s="39" t="s">
        <v>280</v>
      </c>
      <c r="C445" s="37" t="s">
        <v>298</v>
      </c>
      <c r="D445" s="37" t="s">
        <v>38</v>
      </c>
      <c r="E445" s="37" t="s">
        <v>74</v>
      </c>
      <c r="F445" s="63" t="s">
        <v>91</v>
      </c>
      <c r="G445" s="42">
        <v>1015</v>
      </c>
      <c r="H445" s="14">
        <v>615</v>
      </c>
      <c r="I445" s="141">
        <v>61.5</v>
      </c>
      <c r="J445" s="142">
        <v>1.5</v>
      </c>
      <c r="K445" s="5">
        <f t="shared" si="204"/>
        <v>781.05</v>
      </c>
      <c r="L445" s="5">
        <f t="shared" si="205"/>
        <v>781.05</v>
      </c>
      <c r="M445" s="122">
        <f t="shared" si="206"/>
        <v>16.605000000000004</v>
      </c>
      <c r="N445" s="123">
        <f t="shared" si="207"/>
        <v>78.105000000000004</v>
      </c>
      <c r="O445" s="5">
        <f t="shared" si="208"/>
        <v>182.65499999999997</v>
      </c>
      <c r="P445" s="123">
        <f t="shared" si="209"/>
        <v>273.98249999999996</v>
      </c>
      <c r="Q445" s="124">
        <f t="shared" si="210"/>
        <v>3287.7899999999995</v>
      </c>
      <c r="R445" s="124">
        <f t="shared" si="211"/>
        <v>792.02861099999984</v>
      </c>
      <c r="S445" s="125">
        <f t="shared" si="212"/>
        <v>4079.8186109999992</v>
      </c>
      <c r="T445" s="82"/>
    </row>
    <row r="446" spans="2:20" s="64" customFormat="1" x14ac:dyDescent="0.2">
      <c r="B446" s="39" t="s">
        <v>280</v>
      </c>
      <c r="C446" s="37" t="s">
        <v>298</v>
      </c>
      <c r="D446" s="37" t="s">
        <v>38</v>
      </c>
      <c r="E446" s="37" t="s">
        <v>74</v>
      </c>
      <c r="F446" s="63" t="s">
        <v>58</v>
      </c>
      <c r="G446" s="42">
        <v>1190</v>
      </c>
      <c r="H446" s="14">
        <v>700</v>
      </c>
      <c r="I446" s="141">
        <v>70</v>
      </c>
      <c r="J446" s="142">
        <v>4</v>
      </c>
      <c r="K446" s="5">
        <f t="shared" si="204"/>
        <v>889</v>
      </c>
      <c r="L446" s="5">
        <f t="shared" si="205"/>
        <v>889</v>
      </c>
      <c r="M446" s="122">
        <f t="shared" si="206"/>
        <v>18.900000000000006</v>
      </c>
      <c r="N446" s="123">
        <f t="shared" si="207"/>
        <v>88.9</v>
      </c>
      <c r="O446" s="5">
        <f t="shared" si="208"/>
        <v>207.9</v>
      </c>
      <c r="P446" s="123">
        <f t="shared" si="209"/>
        <v>831.6</v>
      </c>
      <c r="Q446" s="124">
        <f t="shared" si="210"/>
        <v>9979.2000000000007</v>
      </c>
      <c r="R446" s="124">
        <f t="shared" si="211"/>
        <v>2403.9892800000002</v>
      </c>
      <c r="S446" s="125">
        <f t="shared" si="212"/>
        <v>12383.189280000001</v>
      </c>
      <c r="T446" s="82"/>
    </row>
    <row r="447" spans="2:20" s="64" customFormat="1" x14ac:dyDescent="0.2">
      <c r="B447" s="36" t="s">
        <v>277</v>
      </c>
      <c r="C447" s="37" t="s">
        <v>298</v>
      </c>
      <c r="D447" s="37" t="s">
        <v>38</v>
      </c>
      <c r="E447" s="37" t="s">
        <v>74</v>
      </c>
      <c r="F447" s="63">
        <v>1</v>
      </c>
      <c r="G447" s="42">
        <v>835</v>
      </c>
      <c r="H447" s="14">
        <v>540</v>
      </c>
      <c r="I447" s="141">
        <v>54</v>
      </c>
      <c r="J447" s="142">
        <v>2</v>
      </c>
      <c r="K447" s="5">
        <f t="shared" si="204"/>
        <v>685.8</v>
      </c>
      <c r="L447" s="5">
        <f t="shared" si="205"/>
        <v>685.8</v>
      </c>
      <c r="M447" s="122">
        <f t="shared" si="206"/>
        <v>14.579999999999998</v>
      </c>
      <c r="N447" s="123">
        <f t="shared" si="207"/>
        <v>68.58</v>
      </c>
      <c r="O447" s="5">
        <f t="shared" si="208"/>
        <v>160.37999999999994</v>
      </c>
      <c r="P447" s="123">
        <f t="shared" si="209"/>
        <v>320.75999999999988</v>
      </c>
      <c r="Q447" s="124">
        <f t="shared" si="210"/>
        <v>3849.1199999999985</v>
      </c>
      <c r="R447" s="124">
        <f t="shared" si="211"/>
        <v>927.25300799999968</v>
      </c>
      <c r="S447" s="125">
        <f t="shared" si="212"/>
        <v>4776.3730079999987</v>
      </c>
      <c r="T447" s="82"/>
    </row>
    <row r="448" spans="2:20" s="64" customFormat="1" x14ac:dyDescent="0.2">
      <c r="B448" s="36" t="s">
        <v>277</v>
      </c>
      <c r="C448" s="37" t="s">
        <v>298</v>
      </c>
      <c r="D448" s="37" t="s">
        <v>38</v>
      </c>
      <c r="E448" s="37" t="s">
        <v>74</v>
      </c>
      <c r="F448" s="63" t="s">
        <v>91</v>
      </c>
      <c r="G448" s="42">
        <v>1015</v>
      </c>
      <c r="H448" s="14">
        <v>615</v>
      </c>
      <c r="I448" s="141">
        <v>61.5</v>
      </c>
      <c r="J448" s="142">
        <v>0.5</v>
      </c>
      <c r="K448" s="5">
        <f t="shared" si="204"/>
        <v>781.05</v>
      </c>
      <c r="L448" s="5">
        <f t="shared" si="205"/>
        <v>781.05</v>
      </c>
      <c r="M448" s="122">
        <f t="shared" si="206"/>
        <v>16.605000000000004</v>
      </c>
      <c r="N448" s="123">
        <f t="shared" si="207"/>
        <v>78.105000000000004</v>
      </c>
      <c r="O448" s="5">
        <f t="shared" si="208"/>
        <v>182.65499999999997</v>
      </c>
      <c r="P448" s="123">
        <f t="shared" si="209"/>
        <v>91.327499999999986</v>
      </c>
      <c r="Q448" s="124">
        <f t="shared" si="210"/>
        <v>1095.9299999999998</v>
      </c>
      <c r="R448" s="124">
        <f t="shared" si="211"/>
        <v>264.00953699999997</v>
      </c>
      <c r="S448" s="125">
        <f t="shared" si="212"/>
        <v>1359.9395369999997</v>
      </c>
      <c r="T448" s="82"/>
    </row>
    <row r="449" spans="2:20" s="64" customFormat="1" x14ac:dyDescent="0.2">
      <c r="B449" s="36" t="s">
        <v>277</v>
      </c>
      <c r="C449" s="37" t="s">
        <v>298</v>
      </c>
      <c r="D449" s="37" t="s">
        <v>38</v>
      </c>
      <c r="E449" s="37" t="s">
        <v>74</v>
      </c>
      <c r="F449" s="38" t="s">
        <v>58</v>
      </c>
      <c r="G449" s="42">
        <v>1190</v>
      </c>
      <c r="H449" s="14">
        <v>700</v>
      </c>
      <c r="I449" s="141">
        <v>70</v>
      </c>
      <c r="J449" s="142">
        <v>7.75</v>
      </c>
      <c r="K449" s="5">
        <f t="shared" si="204"/>
        <v>889</v>
      </c>
      <c r="L449" s="5">
        <f t="shared" si="205"/>
        <v>889</v>
      </c>
      <c r="M449" s="122">
        <f t="shared" si="206"/>
        <v>18.900000000000006</v>
      </c>
      <c r="N449" s="123">
        <f t="shared" si="207"/>
        <v>88.9</v>
      </c>
      <c r="O449" s="5">
        <f t="shared" si="208"/>
        <v>207.9</v>
      </c>
      <c r="P449" s="123">
        <f t="shared" si="209"/>
        <v>1611.2250000000001</v>
      </c>
      <c r="Q449" s="124">
        <f t="shared" si="210"/>
        <v>19334.7</v>
      </c>
      <c r="R449" s="124">
        <f t="shared" si="211"/>
        <v>4657.7292299999999</v>
      </c>
      <c r="S449" s="125">
        <f t="shared" si="212"/>
        <v>23992.429230000002</v>
      </c>
      <c r="T449" s="82"/>
    </row>
    <row r="450" spans="2:20" s="64" customFormat="1" x14ac:dyDescent="0.2">
      <c r="B450" s="36" t="s">
        <v>306</v>
      </c>
      <c r="C450" s="37" t="s">
        <v>298</v>
      </c>
      <c r="D450" s="37" t="s">
        <v>38</v>
      </c>
      <c r="E450" s="37" t="s">
        <v>74</v>
      </c>
      <c r="F450" s="38">
        <v>3</v>
      </c>
      <c r="G450" s="42">
        <v>1190</v>
      </c>
      <c r="H450" s="14">
        <v>745</v>
      </c>
      <c r="I450" s="141">
        <v>74.5</v>
      </c>
      <c r="J450" s="142">
        <v>1</v>
      </c>
      <c r="K450" s="5">
        <f t="shared" si="204"/>
        <v>946.15</v>
      </c>
      <c r="L450" s="5">
        <f t="shared" si="205"/>
        <v>946.15</v>
      </c>
      <c r="M450" s="122">
        <f t="shared" si="206"/>
        <v>20.115000000000009</v>
      </c>
      <c r="N450" s="123">
        <f t="shared" si="207"/>
        <v>94.615000000000009</v>
      </c>
      <c r="O450" s="5">
        <f t="shared" si="208"/>
        <v>221.26499999999999</v>
      </c>
      <c r="P450" s="123">
        <f t="shared" si="209"/>
        <v>221.26499999999999</v>
      </c>
      <c r="Q450" s="124">
        <f t="shared" si="210"/>
        <v>2655.18</v>
      </c>
      <c r="R450" s="124">
        <f t="shared" si="211"/>
        <v>639.63286199999993</v>
      </c>
      <c r="S450" s="125">
        <f t="shared" si="212"/>
        <v>3294.8128619999998</v>
      </c>
      <c r="T450" s="82"/>
    </row>
    <row r="451" spans="2:20" s="64" customFormat="1" ht="25.5" x14ac:dyDescent="0.2">
      <c r="B451" s="23" t="s">
        <v>307</v>
      </c>
      <c r="C451" s="63" t="s">
        <v>23</v>
      </c>
      <c r="D451" s="63" t="s">
        <v>38</v>
      </c>
      <c r="E451" s="63" t="s">
        <v>74</v>
      </c>
      <c r="F451" s="63" t="s">
        <v>58</v>
      </c>
      <c r="G451" s="42">
        <v>1190</v>
      </c>
      <c r="H451" s="14">
        <v>700</v>
      </c>
      <c r="I451" s="141">
        <v>70</v>
      </c>
      <c r="J451" s="142">
        <v>1.5</v>
      </c>
      <c r="K451" s="5">
        <f t="shared" si="204"/>
        <v>889</v>
      </c>
      <c r="L451" s="5">
        <f t="shared" si="205"/>
        <v>889</v>
      </c>
      <c r="M451" s="122">
        <f t="shared" si="206"/>
        <v>18.900000000000006</v>
      </c>
      <c r="N451" s="123">
        <f t="shared" si="207"/>
        <v>88.9</v>
      </c>
      <c r="O451" s="5">
        <f t="shared" si="208"/>
        <v>207.9</v>
      </c>
      <c r="P451" s="123">
        <f t="shared" si="209"/>
        <v>311.85000000000002</v>
      </c>
      <c r="Q451" s="124">
        <f t="shared" si="210"/>
        <v>3742.2000000000003</v>
      </c>
      <c r="R451" s="124">
        <f t="shared" si="211"/>
        <v>901.49598000000003</v>
      </c>
      <c r="S451" s="125">
        <f t="shared" si="212"/>
        <v>4643.6959800000004</v>
      </c>
      <c r="T451" s="82"/>
    </row>
    <row r="452" spans="2:20" s="64" customFormat="1" x14ac:dyDescent="0.2">
      <c r="B452" s="23" t="s">
        <v>308</v>
      </c>
      <c r="C452" s="63" t="s">
        <v>23</v>
      </c>
      <c r="D452" s="63" t="s">
        <v>38</v>
      </c>
      <c r="E452" s="63" t="s">
        <v>74</v>
      </c>
      <c r="F452" s="63" t="s">
        <v>210</v>
      </c>
      <c r="G452" s="42">
        <v>835</v>
      </c>
      <c r="H452" s="14">
        <v>540</v>
      </c>
      <c r="I452" s="141">
        <v>54</v>
      </c>
      <c r="J452" s="142">
        <v>0.5</v>
      </c>
      <c r="K452" s="5">
        <f t="shared" si="204"/>
        <v>685.8</v>
      </c>
      <c r="L452" s="5">
        <f t="shared" si="205"/>
        <v>685.8</v>
      </c>
      <c r="M452" s="122">
        <f t="shared" si="206"/>
        <v>14.579999999999998</v>
      </c>
      <c r="N452" s="123">
        <f t="shared" si="207"/>
        <v>68.58</v>
      </c>
      <c r="O452" s="5">
        <f t="shared" si="208"/>
        <v>160.37999999999994</v>
      </c>
      <c r="P452" s="123">
        <f t="shared" si="209"/>
        <v>80.189999999999969</v>
      </c>
      <c r="Q452" s="124">
        <f t="shared" si="210"/>
        <v>962.27999999999963</v>
      </c>
      <c r="R452" s="124">
        <f t="shared" si="211"/>
        <v>231.81325199999992</v>
      </c>
      <c r="S452" s="125">
        <f t="shared" si="212"/>
        <v>1194.0932519999997</v>
      </c>
      <c r="T452" s="82"/>
    </row>
    <row r="453" spans="2:20" s="64" customFormat="1" x14ac:dyDescent="0.2">
      <c r="B453" s="36" t="s">
        <v>309</v>
      </c>
      <c r="C453" s="37" t="s">
        <v>298</v>
      </c>
      <c r="D453" s="37" t="s">
        <v>80</v>
      </c>
      <c r="E453" s="37" t="s">
        <v>78</v>
      </c>
      <c r="F453" s="38">
        <v>3</v>
      </c>
      <c r="G453" s="42">
        <v>1093</v>
      </c>
      <c r="H453" s="14">
        <v>612</v>
      </c>
      <c r="I453" s="141">
        <v>61.2</v>
      </c>
      <c r="J453" s="142">
        <v>1.5</v>
      </c>
      <c r="K453" s="5">
        <f t="shared" si="204"/>
        <v>777.24</v>
      </c>
      <c r="L453" s="5">
        <f t="shared" si="205"/>
        <v>777.24</v>
      </c>
      <c r="M453" s="122">
        <f t="shared" si="206"/>
        <v>16.524000000000001</v>
      </c>
      <c r="N453" s="123">
        <f t="shared" si="207"/>
        <v>77.724000000000004</v>
      </c>
      <c r="O453" s="5">
        <f t="shared" si="208"/>
        <v>181.76400000000001</v>
      </c>
      <c r="P453" s="123">
        <f t="shared" si="209"/>
        <v>272.64600000000002</v>
      </c>
      <c r="Q453" s="124">
        <f t="shared" si="210"/>
        <v>3271.7520000000004</v>
      </c>
      <c r="R453" s="124">
        <f t="shared" si="211"/>
        <v>788.16505680000012</v>
      </c>
      <c r="S453" s="125">
        <f t="shared" si="212"/>
        <v>4059.9170568000004</v>
      </c>
      <c r="T453" s="82"/>
    </row>
    <row r="454" spans="2:20" s="52" customFormat="1" x14ac:dyDescent="0.25">
      <c r="B454" s="53" t="s">
        <v>39</v>
      </c>
      <c r="C454" s="54"/>
      <c r="D454" s="54"/>
      <c r="E454" s="54"/>
      <c r="F454" s="55"/>
      <c r="G454" s="56"/>
      <c r="H454" s="6"/>
      <c r="I454" s="7"/>
      <c r="J454" s="67">
        <f>SUM(J435:J453)</f>
        <v>42.75</v>
      </c>
      <c r="K454" s="58"/>
      <c r="L454" s="7"/>
      <c r="M454" s="59"/>
      <c r="N454" s="57"/>
      <c r="O454" s="7"/>
      <c r="P454" s="57"/>
      <c r="Q454" s="60">
        <f t="shared" ref="Q454:S454" si="213">SUM(Q435:Q453)</f>
        <v>115677.07199999996</v>
      </c>
      <c r="R454" s="60">
        <f t="shared" si="213"/>
        <v>27866.606644800002</v>
      </c>
      <c r="S454" s="61">
        <f t="shared" si="213"/>
        <v>143543.67864479998</v>
      </c>
      <c r="T454" s="127"/>
    </row>
    <row r="455" spans="2:20" s="109" customFormat="1" x14ac:dyDescent="0.2">
      <c r="B455" s="110" t="s">
        <v>40</v>
      </c>
      <c r="C455" s="111"/>
      <c r="D455" s="111"/>
      <c r="E455" s="111"/>
      <c r="F455" s="111"/>
      <c r="G455" s="13"/>
      <c r="H455" s="112"/>
      <c r="I455" s="113"/>
      <c r="J455" s="114"/>
      <c r="K455" s="115"/>
      <c r="L455" s="116"/>
      <c r="M455" s="117"/>
      <c r="N455" s="118"/>
      <c r="O455" s="117"/>
      <c r="P455" s="117"/>
      <c r="Q455" s="117"/>
      <c r="R455" s="119"/>
      <c r="S455" s="120"/>
      <c r="T455" s="95"/>
    </row>
    <row r="456" spans="2:20" s="64" customFormat="1" x14ac:dyDescent="0.2">
      <c r="B456" s="36" t="s">
        <v>285</v>
      </c>
      <c r="C456" s="37" t="s">
        <v>42</v>
      </c>
      <c r="D456" s="37" t="s">
        <v>45</v>
      </c>
      <c r="E456" s="37" t="s">
        <v>78</v>
      </c>
      <c r="F456" s="38">
        <v>3</v>
      </c>
      <c r="G456" s="42">
        <v>1093</v>
      </c>
      <c r="H456" s="14">
        <v>612</v>
      </c>
      <c r="I456" s="141">
        <v>61.2</v>
      </c>
      <c r="J456" s="142">
        <v>3</v>
      </c>
      <c r="K456" s="5">
        <f t="shared" ref="K456:K464" si="214">H456*1.27</f>
        <v>777.24</v>
      </c>
      <c r="L456" s="5">
        <f t="shared" ref="L456:L464" si="215">IF(K456&lt;=G456,K456,G456)</f>
        <v>777.24</v>
      </c>
      <c r="M456" s="122">
        <f t="shared" ref="M456:M464" si="216">N456-I456</f>
        <v>16.524000000000001</v>
      </c>
      <c r="N456" s="123">
        <f t="shared" ref="N456:N464" si="217">I456/H456*L456</f>
        <v>77.724000000000004</v>
      </c>
      <c r="O456" s="5">
        <f t="shared" ref="O456:O464" si="218">L456-H456+M456</f>
        <v>181.76400000000001</v>
      </c>
      <c r="P456" s="123">
        <f t="shared" ref="P456:P464" si="219">O456*J456</f>
        <v>545.29200000000003</v>
      </c>
      <c r="Q456" s="124">
        <f t="shared" ref="Q456:Q464" si="220">P456*12</f>
        <v>6543.5040000000008</v>
      </c>
      <c r="R456" s="124">
        <f t="shared" ref="R456:R464" si="221">Q456*0.2409</f>
        <v>1576.3301136000002</v>
      </c>
      <c r="S456" s="125">
        <f t="shared" ref="S456:S464" si="222">Q456+R456</f>
        <v>8119.8341136000008</v>
      </c>
      <c r="T456" s="82"/>
    </row>
    <row r="457" spans="2:20" s="64" customFormat="1" x14ac:dyDescent="0.2">
      <c r="B457" s="36" t="s">
        <v>310</v>
      </c>
      <c r="C457" s="37" t="s">
        <v>23</v>
      </c>
      <c r="D457" s="37" t="s">
        <v>193</v>
      </c>
      <c r="E457" s="37" t="s">
        <v>78</v>
      </c>
      <c r="F457" s="38" t="s">
        <v>58</v>
      </c>
      <c r="G457" s="42">
        <v>996</v>
      </c>
      <c r="H457" s="14">
        <v>612</v>
      </c>
      <c r="I457" s="141">
        <v>61.2</v>
      </c>
      <c r="J457" s="142">
        <v>2</v>
      </c>
      <c r="K457" s="5">
        <f t="shared" si="214"/>
        <v>777.24</v>
      </c>
      <c r="L457" s="5">
        <f t="shared" si="215"/>
        <v>777.24</v>
      </c>
      <c r="M457" s="122">
        <f t="shared" si="216"/>
        <v>16.524000000000001</v>
      </c>
      <c r="N457" s="123">
        <f t="shared" si="217"/>
        <v>77.724000000000004</v>
      </c>
      <c r="O457" s="5">
        <f t="shared" si="218"/>
        <v>181.76400000000001</v>
      </c>
      <c r="P457" s="123">
        <f t="shared" si="219"/>
        <v>363.52800000000002</v>
      </c>
      <c r="Q457" s="124">
        <f t="shared" si="220"/>
        <v>4362.3360000000002</v>
      </c>
      <c r="R457" s="124">
        <f t="shared" si="221"/>
        <v>1050.8867424</v>
      </c>
      <c r="S457" s="125">
        <f t="shared" si="222"/>
        <v>5413.2227424000002</v>
      </c>
      <c r="T457" s="82"/>
    </row>
    <row r="458" spans="2:20" s="64" customFormat="1" x14ac:dyDescent="0.2">
      <c r="B458" s="36" t="s">
        <v>288</v>
      </c>
      <c r="C458" s="37" t="s">
        <v>23</v>
      </c>
      <c r="D458" s="37" t="s">
        <v>80</v>
      </c>
      <c r="E458" s="37" t="s">
        <v>78</v>
      </c>
      <c r="F458" s="38">
        <v>3</v>
      </c>
      <c r="G458" s="42">
        <v>1093</v>
      </c>
      <c r="H458" s="14">
        <v>612</v>
      </c>
      <c r="I458" s="141">
        <v>61.2</v>
      </c>
      <c r="J458" s="142">
        <v>6.5</v>
      </c>
      <c r="K458" s="5">
        <f t="shared" si="214"/>
        <v>777.24</v>
      </c>
      <c r="L458" s="5">
        <f t="shared" si="215"/>
        <v>777.24</v>
      </c>
      <c r="M458" s="122">
        <f t="shared" si="216"/>
        <v>16.524000000000001</v>
      </c>
      <c r="N458" s="123">
        <f t="shared" si="217"/>
        <v>77.724000000000004</v>
      </c>
      <c r="O458" s="5">
        <f t="shared" si="218"/>
        <v>181.76400000000001</v>
      </c>
      <c r="P458" s="123">
        <f t="shared" si="219"/>
        <v>1181.4660000000001</v>
      </c>
      <c r="Q458" s="124">
        <f t="shared" si="220"/>
        <v>14177.592000000001</v>
      </c>
      <c r="R458" s="124">
        <f t="shared" si="221"/>
        <v>3415.3819128</v>
      </c>
      <c r="S458" s="125">
        <f t="shared" si="222"/>
        <v>17592.9739128</v>
      </c>
      <c r="T458" s="82"/>
    </row>
    <row r="459" spans="2:20" s="64" customFormat="1" x14ac:dyDescent="0.2">
      <c r="B459" s="36" t="s">
        <v>311</v>
      </c>
      <c r="C459" s="37" t="s">
        <v>312</v>
      </c>
      <c r="D459" s="37" t="s">
        <v>24</v>
      </c>
      <c r="E459" s="37" t="s">
        <v>83</v>
      </c>
      <c r="F459" s="38">
        <v>1</v>
      </c>
      <c r="G459" s="42">
        <v>675</v>
      </c>
      <c r="H459" s="14">
        <v>464</v>
      </c>
      <c r="I459" s="141">
        <v>46.400000000000006</v>
      </c>
      <c r="J459" s="142">
        <v>2</v>
      </c>
      <c r="K459" s="5">
        <f t="shared" si="214"/>
        <v>589.28</v>
      </c>
      <c r="L459" s="5">
        <f t="shared" si="215"/>
        <v>589.28</v>
      </c>
      <c r="M459" s="122">
        <f t="shared" si="216"/>
        <v>12.527999999999992</v>
      </c>
      <c r="N459" s="123">
        <f t="shared" si="217"/>
        <v>58.927999999999997</v>
      </c>
      <c r="O459" s="5">
        <f t="shared" si="218"/>
        <v>137.80799999999996</v>
      </c>
      <c r="P459" s="123">
        <f t="shared" si="219"/>
        <v>275.61599999999993</v>
      </c>
      <c r="Q459" s="124">
        <f t="shared" si="220"/>
        <v>3307.3919999999989</v>
      </c>
      <c r="R459" s="124">
        <f t="shared" si="221"/>
        <v>796.7507327999997</v>
      </c>
      <c r="S459" s="125">
        <f t="shared" si="222"/>
        <v>4104.1427327999991</v>
      </c>
      <c r="T459" s="82"/>
    </row>
    <row r="460" spans="2:20" s="64" customFormat="1" x14ac:dyDescent="0.2">
      <c r="B460" s="36" t="s">
        <v>313</v>
      </c>
      <c r="C460" s="37" t="s">
        <v>42</v>
      </c>
      <c r="D460" s="37" t="s">
        <v>24</v>
      </c>
      <c r="E460" s="37" t="s">
        <v>83</v>
      </c>
      <c r="F460" s="38">
        <v>3</v>
      </c>
      <c r="G460" s="42">
        <v>996</v>
      </c>
      <c r="H460" s="14">
        <v>573</v>
      </c>
      <c r="I460" s="141">
        <v>57.300000000000004</v>
      </c>
      <c r="J460" s="142">
        <v>1.5</v>
      </c>
      <c r="K460" s="5">
        <f t="shared" si="214"/>
        <v>727.71</v>
      </c>
      <c r="L460" s="5">
        <f t="shared" si="215"/>
        <v>727.71</v>
      </c>
      <c r="M460" s="122">
        <f t="shared" si="216"/>
        <v>15.470999999999997</v>
      </c>
      <c r="N460" s="123">
        <f t="shared" si="217"/>
        <v>72.771000000000001</v>
      </c>
      <c r="O460" s="5">
        <f t="shared" si="218"/>
        <v>170.18100000000004</v>
      </c>
      <c r="P460" s="123">
        <f t="shared" si="219"/>
        <v>255.27150000000006</v>
      </c>
      <c r="Q460" s="124">
        <f t="shared" si="220"/>
        <v>3063.2580000000007</v>
      </c>
      <c r="R460" s="124">
        <f t="shared" si="221"/>
        <v>737.93885220000016</v>
      </c>
      <c r="S460" s="125">
        <f t="shared" si="222"/>
        <v>3801.1968522000006</v>
      </c>
      <c r="T460" s="82"/>
    </row>
    <row r="461" spans="2:20" s="64" customFormat="1" x14ac:dyDescent="0.2">
      <c r="B461" s="36" t="s">
        <v>314</v>
      </c>
      <c r="C461" s="37" t="s">
        <v>312</v>
      </c>
      <c r="D461" s="37" t="s">
        <v>24</v>
      </c>
      <c r="E461" s="37" t="s">
        <v>83</v>
      </c>
      <c r="F461" s="63" t="s">
        <v>58</v>
      </c>
      <c r="G461" s="42">
        <v>996</v>
      </c>
      <c r="H461" s="14">
        <v>573</v>
      </c>
      <c r="I461" s="141">
        <v>57.300000000000004</v>
      </c>
      <c r="J461" s="142">
        <v>2.15</v>
      </c>
      <c r="K461" s="5">
        <f t="shared" si="214"/>
        <v>727.71</v>
      </c>
      <c r="L461" s="5">
        <f t="shared" si="215"/>
        <v>727.71</v>
      </c>
      <c r="M461" s="122">
        <f t="shared" si="216"/>
        <v>15.470999999999997</v>
      </c>
      <c r="N461" s="123">
        <f t="shared" si="217"/>
        <v>72.771000000000001</v>
      </c>
      <c r="O461" s="5">
        <f t="shared" si="218"/>
        <v>170.18100000000004</v>
      </c>
      <c r="P461" s="123">
        <f t="shared" si="219"/>
        <v>365.88915000000009</v>
      </c>
      <c r="Q461" s="124">
        <f t="shared" si="220"/>
        <v>4390.6698000000015</v>
      </c>
      <c r="R461" s="124">
        <f t="shared" si="221"/>
        <v>1057.7123548200004</v>
      </c>
      <c r="S461" s="125">
        <f t="shared" si="222"/>
        <v>5448.3821548200021</v>
      </c>
      <c r="T461" s="82"/>
    </row>
    <row r="462" spans="2:20" s="64" customFormat="1" x14ac:dyDescent="0.2">
      <c r="B462" s="36" t="s">
        <v>86</v>
      </c>
      <c r="C462" s="37" t="s">
        <v>312</v>
      </c>
      <c r="D462" s="37" t="s">
        <v>24</v>
      </c>
      <c r="E462" s="37" t="s">
        <v>83</v>
      </c>
      <c r="F462" s="38">
        <v>3</v>
      </c>
      <c r="G462" s="42">
        <v>996</v>
      </c>
      <c r="H462" s="14">
        <v>573</v>
      </c>
      <c r="I462" s="141">
        <v>117.30000000000001</v>
      </c>
      <c r="J462" s="142">
        <v>67</v>
      </c>
      <c r="K462" s="5">
        <f t="shared" si="214"/>
        <v>727.71</v>
      </c>
      <c r="L462" s="5">
        <f t="shared" si="215"/>
        <v>727.71</v>
      </c>
      <c r="M462" s="122">
        <f t="shared" si="216"/>
        <v>31.671000000000021</v>
      </c>
      <c r="N462" s="123">
        <f t="shared" si="217"/>
        <v>148.97100000000003</v>
      </c>
      <c r="O462" s="5">
        <f t="shared" si="218"/>
        <v>186.38100000000006</v>
      </c>
      <c r="P462" s="123">
        <f t="shared" si="219"/>
        <v>12487.527000000004</v>
      </c>
      <c r="Q462" s="124">
        <f t="shared" si="220"/>
        <v>149850.32400000005</v>
      </c>
      <c r="R462" s="124">
        <f t="shared" si="221"/>
        <v>36098.943051600014</v>
      </c>
      <c r="S462" s="125">
        <f t="shared" si="222"/>
        <v>185949.26705160007</v>
      </c>
      <c r="T462" s="82"/>
    </row>
    <row r="463" spans="2:20" s="64" customFormat="1" x14ac:dyDescent="0.2">
      <c r="B463" s="39" t="s">
        <v>166</v>
      </c>
      <c r="C463" s="37" t="s">
        <v>312</v>
      </c>
      <c r="D463" s="37" t="s">
        <v>25</v>
      </c>
      <c r="E463" s="37" t="s">
        <v>90</v>
      </c>
      <c r="F463" s="38">
        <v>1</v>
      </c>
      <c r="G463" s="42">
        <v>585</v>
      </c>
      <c r="H463" s="14">
        <v>430</v>
      </c>
      <c r="I463" s="141">
        <v>88</v>
      </c>
      <c r="J463" s="142">
        <v>2</v>
      </c>
      <c r="K463" s="5">
        <f t="shared" si="214"/>
        <v>546.1</v>
      </c>
      <c r="L463" s="5">
        <f t="shared" si="215"/>
        <v>546.1</v>
      </c>
      <c r="M463" s="122">
        <f t="shared" si="216"/>
        <v>23.760000000000005</v>
      </c>
      <c r="N463" s="123">
        <f t="shared" si="217"/>
        <v>111.76</v>
      </c>
      <c r="O463" s="5">
        <f t="shared" si="218"/>
        <v>139.86000000000001</v>
      </c>
      <c r="P463" s="123">
        <f t="shared" si="219"/>
        <v>279.72000000000003</v>
      </c>
      <c r="Q463" s="124">
        <f t="shared" si="220"/>
        <v>3356.6400000000003</v>
      </c>
      <c r="R463" s="124">
        <f t="shared" si="221"/>
        <v>808.61457600000006</v>
      </c>
      <c r="S463" s="125">
        <f t="shared" si="222"/>
        <v>4165.2545760000003</v>
      </c>
      <c r="T463" s="82"/>
    </row>
    <row r="464" spans="2:20" s="64" customFormat="1" x14ac:dyDescent="0.2">
      <c r="B464" s="39" t="s">
        <v>166</v>
      </c>
      <c r="C464" s="37" t="s">
        <v>312</v>
      </c>
      <c r="D464" s="37" t="s">
        <v>25</v>
      </c>
      <c r="E464" s="37" t="s">
        <v>90</v>
      </c>
      <c r="F464" s="38">
        <v>3</v>
      </c>
      <c r="G464" s="42">
        <v>899</v>
      </c>
      <c r="H464" s="14">
        <v>515</v>
      </c>
      <c r="I464" s="141">
        <v>105</v>
      </c>
      <c r="J464" s="142">
        <v>5.5</v>
      </c>
      <c r="K464" s="5">
        <f t="shared" si="214"/>
        <v>654.04999999999995</v>
      </c>
      <c r="L464" s="5">
        <f t="shared" si="215"/>
        <v>654.04999999999995</v>
      </c>
      <c r="M464" s="122">
        <f t="shared" si="216"/>
        <v>28.349999999999994</v>
      </c>
      <c r="N464" s="123">
        <f t="shared" si="217"/>
        <v>133.35</v>
      </c>
      <c r="O464" s="5">
        <f t="shared" si="218"/>
        <v>167.39999999999995</v>
      </c>
      <c r="P464" s="123">
        <f t="shared" si="219"/>
        <v>920.6999999999997</v>
      </c>
      <c r="Q464" s="124">
        <f t="shared" si="220"/>
        <v>11048.399999999996</v>
      </c>
      <c r="R464" s="124">
        <f t="shared" si="221"/>
        <v>2661.5595599999992</v>
      </c>
      <c r="S464" s="125">
        <f t="shared" si="222"/>
        <v>13709.959559999996</v>
      </c>
      <c r="T464" s="82"/>
    </row>
    <row r="465" spans="2:20" s="52" customFormat="1" x14ac:dyDescent="0.25">
      <c r="B465" s="53" t="s">
        <v>39</v>
      </c>
      <c r="C465" s="54"/>
      <c r="D465" s="54"/>
      <c r="E465" s="54"/>
      <c r="F465" s="55"/>
      <c r="G465" s="56"/>
      <c r="H465" s="6"/>
      <c r="I465" s="7"/>
      <c r="J465" s="67">
        <f>SUM(J456:J464)</f>
        <v>91.65</v>
      </c>
      <c r="K465" s="58"/>
      <c r="L465" s="7"/>
      <c r="M465" s="59"/>
      <c r="N465" s="57"/>
      <c r="O465" s="7"/>
      <c r="P465" s="57"/>
      <c r="Q465" s="60">
        <f t="shared" ref="Q465:S465" si="223">SUM(Q456:Q464)</f>
        <v>200100.11580000006</v>
      </c>
      <c r="R465" s="60">
        <f t="shared" si="223"/>
        <v>48204.117896220014</v>
      </c>
      <c r="S465" s="61">
        <f t="shared" si="223"/>
        <v>248304.23369622006</v>
      </c>
      <c r="T465" s="127"/>
    </row>
    <row r="466" spans="2:20" s="109" customFormat="1" x14ac:dyDescent="0.2">
      <c r="B466" s="110" t="s">
        <v>94</v>
      </c>
      <c r="C466" s="111"/>
      <c r="D466" s="111"/>
      <c r="E466" s="111"/>
      <c r="F466" s="111"/>
      <c r="G466" s="13"/>
      <c r="H466" s="112"/>
      <c r="I466" s="113"/>
      <c r="J466" s="114"/>
      <c r="K466" s="115"/>
      <c r="L466" s="116"/>
      <c r="M466" s="117"/>
      <c r="N466" s="118"/>
      <c r="O466" s="117"/>
      <c r="P466" s="117"/>
      <c r="Q466" s="117"/>
      <c r="R466" s="119"/>
      <c r="S466" s="120"/>
      <c r="T466" s="95"/>
    </row>
    <row r="467" spans="2:20" s="64" customFormat="1" x14ac:dyDescent="0.2">
      <c r="B467" s="26" t="s">
        <v>315</v>
      </c>
      <c r="C467" s="37" t="s">
        <v>312</v>
      </c>
      <c r="D467" s="37" t="s">
        <v>80</v>
      </c>
      <c r="E467" s="37" t="s">
        <v>58</v>
      </c>
      <c r="F467" s="38">
        <v>3</v>
      </c>
      <c r="G467" s="42">
        <v>608</v>
      </c>
      <c r="H467" s="14">
        <v>393</v>
      </c>
      <c r="I467" s="141">
        <v>39.300000000000004</v>
      </c>
      <c r="J467" s="142">
        <v>0.5</v>
      </c>
      <c r="K467" s="5">
        <f t="shared" ref="K467" si="224">H467*1.27</f>
        <v>499.11</v>
      </c>
      <c r="L467" s="5">
        <f t="shared" ref="L467" si="225">IF(K467&lt;=G467,K467,G467)</f>
        <v>499.11</v>
      </c>
      <c r="M467" s="122">
        <f t="shared" ref="M467" si="226">N467-I467</f>
        <v>10.610999999999997</v>
      </c>
      <c r="N467" s="123">
        <f t="shared" ref="N467" si="227">I467/H467*L467</f>
        <v>49.911000000000001</v>
      </c>
      <c r="O467" s="5">
        <f t="shared" ref="O467" si="228">L467-H467+M467</f>
        <v>116.721</v>
      </c>
      <c r="P467" s="123">
        <f t="shared" ref="P467" si="229">O467*J467</f>
        <v>58.360500000000002</v>
      </c>
      <c r="Q467" s="124">
        <f t="shared" ref="Q467" si="230">P467*12</f>
        <v>700.32600000000002</v>
      </c>
      <c r="R467" s="124">
        <f t="shared" ref="R467" si="231">Q467*0.2409</f>
        <v>168.70853339999999</v>
      </c>
      <c r="S467" s="125">
        <f t="shared" ref="S467" si="232">Q467+R467</f>
        <v>869.03453339999999</v>
      </c>
      <c r="T467" s="82"/>
    </row>
    <row r="468" spans="2:20" s="52" customFormat="1" x14ac:dyDescent="0.25">
      <c r="B468" s="53" t="s">
        <v>39</v>
      </c>
      <c r="C468" s="54"/>
      <c r="D468" s="54"/>
      <c r="E468" s="54"/>
      <c r="F468" s="55"/>
      <c r="G468" s="56"/>
      <c r="H468" s="6"/>
      <c r="I468" s="7"/>
      <c r="J468" s="67">
        <f>J467</f>
        <v>0.5</v>
      </c>
      <c r="K468" s="58"/>
      <c r="L468" s="7"/>
      <c r="M468" s="59"/>
      <c r="N468" s="57"/>
      <c r="O468" s="7"/>
      <c r="P468" s="57"/>
      <c r="Q468" s="60">
        <f>Q467</f>
        <v>700.32600000000002</v>
      </c>
      <c r="R468" s="60">
        <f>R467</f>
        <v>168.70853339999999</v>
      </c>
      <c r="S468" s="61">
        <f>S467</f>
        <v>869.03453339999999</v>
      </c>
      <c r="T468" s="127"/>
    </row>
    <row r="469" spans="2:20" s="64" customFormat="1" ht="14.25" thickBot="1" x14ac:dyDescent="0.25">
      <c r="B469" s="198" t="s">
        <v>316</v>
      </c>
      <c r="C469" s="199"/>
      <c r="D469" s="200"/>
      <c r="E469" s="200"/>
      <c r="F469" s="200"/>
      <c r="G469" s="201"/>
      <c r="H469" s="202"/>
      <c r="I469" s="202"/>
      <c r="J469" s="203">
        <f>J454+J465+J468</f>
        <v>134.9</v>
      </c>
      <c r="K469" s="204"/>
      <c r="L469" s="205"/>
      <c r="M469" s="205"/>
      <c r="N469" s="205"/>
      <c r="O469" s="205"/>
      <c r="P469" s="205"/>
      <c r="Q469" s="206">
        <f t="shared" ref="Q469:S469" si="233">Q454+Q465+Q468</f>
        <v>316477.51380000002</v>
      </c>
      <c r="R469" s="206">
        <f t="shared" si="233"/>
        <v>76239.433074420012</v>
      </c>
      <c r="S469" s="207">
        <f t="shared" si="233"/>
        <v>392716.94687442004</v>
      </c>
      <c r="T469" s="82"/>
    </row>
    <row r="470" spans="2:20" s="98" customFormat="1" ht="14.25" thickTop="1" x14ac:dyDescent="0.25">
      <c r="B470" s="171" t="s">
        <v>317</v>
      </c>
      <c r="C470" s="188"/>
      <c r="D470" s="189"/>
      <c r="E470" s="189"/>
      <c r="F470" s="189"/>
      <c r="G470" s="190"/>
      <c r="H470" s="191"/>
      <c r="I470" s="191"/>
      <c r="J470" s="192"/>
      <c r="K470" s="35"/>
      <c r="L470" s="193"/>
      <c r="M470" s="193"/>
      <c r="N470" s="194"/>
      <c r="O470" s="33"/>
      <c r="P470" s="194"/>
      <c r="Q470" s="195"/>
      <c r="R470" s="195"/>
      <c r="S470" s="196"/>
      <c r="T470" s="108"/>
    </row>
    <row r="471" spans="2:20" s="109" customFormat="1" x14ac:dyDescent="0.2">
      <c r="B471" s="110" t="s">
        <v>19</v>
      </c>
      <c r="C471" s="111"/>
      <c r="D471" s="111"/>
      <c r="E471" s="111"/>
      <c r="F471" s="111"/>
      <c r="G471" s="34"/>
      <c r="H471" s="112"/>
      <c r="I471" s="113"/>
      <c r="J471" s="114"/>
      <c r="K471" s="115"/>
      <c r="L471" s="116"/>
      <c r="M471" s="117"/>
      <c r="N471" s="118"/>
      <c r="O471" s="117"/>
      <c r="P471" s="117"/>
      <c r="Q471" s="117"/>
      <c r="R471" s="119"/>
      <c r="S471" s="120"/>
      <c r="T471" s="95"/>
    </row>
    <row r="472" spans="2:20" s="64" customFormat="1" x14ac:dyDescent="0.2">
      <c r="B472" s="137" t="s">
        <v>318</v>
      </c>
      <c r="C472" s="138" t="s">
        <v>23</v>
      </c>
      <c r="D472" s="139" t="s">
        <v>24</v>
      </c>
      <c r="E472" s="139" t="s">
        <v>65</v>
      </c>
      <c r="F472" s="139" t="s">
        <v>58</v>
      </c>
      <c r="G472" s="140">
        <v>1287</v>
      </c>
      <c r="H472" s="141">
        <v>835</v>
      </c>
      <c r="I472" s="141">
        <v>83.5</v>
      </c>
      <c r="J472" s="142">
        <v>3</v>
      </c>
      <c r="K472" s="5">
        <f t="shared" ref="K472:K474" si="234">H472*1.27</f>
        <v>1060.45</v>
      </c>
      <c r="L472" s="5">
        <f t="shared" ref="L472:L474" si="235">IF(K472&lt;=G472,K472,G472)</f>
        <v>1060.45</v>
      </c>
      <c r="M472" s="122">
        <f t="shared" ref="M472:M474" si="236">N472-I472</f>
        <v>22.545000000000016</v>
      </c>
      <c r="N472" s="123">
        <f t="shared" ref="N472:N474" si="237">I472/H472*L472</f>
        <v>106.04500000000002</v>
      </c>
      <c r="O472" s="5">
        <f t="shared" ref="O472:O474" si="238">L472-H472+M472</f>
        <v>247.99500000000006</v>
      </c>
      <c r="P472" s="123">
        <f t="shared" ref="P472:P474" si="239">O472*J472</f>
        <v>743.98500000000013</v>
      </c>
      <c r="Q472" s="124">
        <f t="shared" ref="Q472:Q474" si="240">P472*12</f>
        <v>8927.8200000000015</v>
      </c>
      <c r="R472" s="124">
        <f t="shared" ref="R472:R474" si="241">Q472*0.2409</f>
        <v>2150.7118380000002</v>
      </c>
      <c r="S472" s="125">
        <f t="shared" ref="S472:S474" si="242">Q472+R472</f>
        <v>11078.531838000003</v>
      </c>
      <c r="T472" s="82"/>
    </row>
    <row r="473" spans="2:20" s="64" customFormat="1" x14ac:dyDescent="0.2">
      <c r="B473" s="24" t="s">
        <v>319</v>
      </c>
      <c r="C473" s="128" t="s">
        <v>23</v>
      </c>
      <c r="D473" s="22" t="s">
        <v>24</v>
      </c>
      <c r="E473" s="22" t="s">
        <v>65</v>
      </c>
      <c r="F473" s="22" t="s">
        <v>210</v>
      </c>
      <c r="G473" s="42">
        <v>1287</v>
      </c>
      <c r="H473" s="14">
        <v>638</v>
      </c>
      <c r="I473" s="14">
        <v>63.800000000000004</v>
      </c>
      <c r="J473" s="121">
        <v>0.5</v>
      </c>
      <c r="K473" s="5">
        <f t="shared" si="234"/>
        <v>810.26</v>
      </c>
      <c r="L473" s="5">
        <f t="shared" si="235"/>
        <v>810.26</v>
      </c>
      <c r="M473" s="122">
        <f t="shared" si="236"/>
        <v>17.226000000000006</v>
      </c>
      <c r="N473" s="123">
        <f t="shared" si="237"/>
        <v>81.02600000000001</v>
      </c>
      <c r="O473" s="5">
        <f t="shared" si="238"/>
        <v>189.48599999999999</v>
      </c>
      <c r="P473" s="123">
        <f t="shared" si="239"/>
        <v>94.742999999999995</v>
      </c>
      <c r="Q473" s="124">
        <f t="shared" si="240"/>
        <v>1136.9159999999999</v>
      </c>
      <c r="R473" s="124">
        <f t="shared" si="241"/>
        <v>273.88306439999997</v>
      </c>
      <c r="S473" s="125">
        <f t="shared" si="242"/>
        <v>1410.7990643999999</v>
      </c>
      <c r="T473" s="82"/>
    </row>
    <row r="474" spans="2:20" s="64" customFormat="1" x14ac:dyDescent="0.2">
      <c r="B474" s="24" t="s">
        <v>277</v>
      </c>
      <c r="C474" s="41" t="s">
        <v>42</v>
      </c>
      <c r="D474" s="22" t="s">
        <v>38</v>
      </c>
      <c r="E474" s="22" t="s">
        <v>74</v>
      </c>
      <c r="F474" s="22" t="s">
        <v>58</v>
      </c>
      <c r="G474" s="42">
        <v>1190</v>
      </c>
      <c r="H474" s="14">
        <v>708</v>
      </c>
      <c r="I474" s="14">
        <v>70.8</v>
      </c>
      <c r="J474" s="121">
        <v>2</v>
      </c>
      <c r="K474" s="5">
        <f t="shared" si="234"/>
        <v>899.16</v>
      </c>
      <c r="L474" s="5">
        <f t="shared" si="235"/>
        <v>899.16</v>
      </c>
      <c r="M474" s="122">
        <f t="shared" si="236"/>
        <v>19.115999999999985</v>
      </c>
      <c r="N474" s="123">
        <f t="shared" si="237"/>
        <v>89.915999999999983</v>
      </c>
      <c r="O474" s="5">
        <f t="shared" si="238"/>
        <v>210.27599999999995</v>
      </c>
      <c r="P474" s="123">
        <f t="shared" si="239"/>
        <v>420.55199999999991</v>
      </c>
      <c r="Q474" s="124">
        <f t="shared" si="240"/>
        <v>5046.6239999999989</v>
      </c>
      <c r="R474" s="124">
        <f t="shared" si="241"/>
        <v>1215.7317215999997</v>
      </c>
      <c r="S474" s="125">
        <f t="shared" si="242"/>
        <v>6262.355721599999</v>
      </c>
      <c r="T474" s="82"/>
    </row>
    <row r="475" spans="2:20" s="52" customFormat="1" x14ac:dyDescent="0.25">
      <c r="B475" s="53" t="s">
        <v>39</v>
      </c>
      <c r="C475" s="54"/>
      <c r="D475" s="54"/>
      <c r="E475" s="54"/>
      <c r="F475" s="55"/>
      <c r="G475" s="56"/>
      <c r="H475" s="6"/>
      <c r="I475" s="7"/>
      <c r="J475" s="67">
        <f>SUM(J472:J474)</f>
        <v>5.5</v>
      </c>
      <c r="K475" s="58"/>
      <c r="L475" s="7"/>
      <c r="M475" s="59"/>
      <c r="N475" s="57"/>
      <c r="O475" s="7"/>
      <c r="P475" s="57"/>
      <c r="Q475" s="60">
        <f t="shared" ref="Q475:S475" si="243">SUM(Q472:Q474)</f>
        <v>15111.36</v>
      </c>
      <c r="R475" s="60">
        <f t="shared" si="243"/>
        <v>3640.3266239999998</v>
      </c>
      <c r="S475" s="61">
        <f t="shared" si="243"/>
        <v>18751.686624000002</v>
      </c>
      <c r="T475" s="127"/>
    </row>
    <row r="476" spans="2:20" s="109" customFormat="1" x14ac:dyDescent="0.2">
      <c r="B476" s="110" t="s">
        <v>40</v>
      </c>
      <c r="C476" s="111"/>
      <c r="D476" s="111"/>
      <c r="E476" s="111"/>
      <c r="F476" s="111"/>
      <c r="G476" s="13"/>
      <c r="H476" s="112"/>
      <c r="I476" s="113"/>
      <c r="J476" s="114"/>
      <c r="K476" s="115"/>
      <c r="L476" s="116"/>
      <c r="M476" s="117"/>
      <c r="N476" s="118"/>
      <c r="O476" s="117"/>
      <c r="P476" s="117"/>
      <c r="Q476" s="117"/>
      <c r="R476" s="119"/>
      <c r="S476" s="120"/>
      <c r="T476" s="95"/>
    </row>
    <row r="477" spans="2:20" s="64" customFormat="1" x14ac:dyDescent="0.2">
      <c r="B477" s="24" t="s">
        <v>284</v>
      </c>
      <c r="C477" s="128" t="s">
        <v>23</v>
      </c>
      <c r="D477" s="22" t="s">
        <v>80</v>
      </c>
      <c r="E477" s="22" t="s">
        <v>78</v>
      </c>
      <c r="F477" s="22" t="s">
        <v>58</v>
      </c>
      <c r="G477" s="42">
        <v>1093</v>
      </c>
      <c r="H477" s="14">
        <v>626</v>
      </c>
      <c r="I477" s="14">
        <v>62.6</v>
      </c>
      <c r="J477" s="121">
        <v>2.85</v>
      </c>
      <c r="K477" s="5">
        <f t="shared" ref="K477:K484" si="244">H477*1.27</f>
        <v>795.02</v>
      </c>
      <c r="L477" s="5">
        <f t="shared" ref="L477:L484" si="245">IF(K477&lt;=G477,K477,G477)</f>
        <v>795.02</v>
      </c>
      <c r="M477" s="122">
        <f t="shared" ref="M477:M484" si="246">N477-I477</f>
        <v>16.902000000000008</v>
      </c>
      <c r="N477" s="123">
        <f t="shared" ref="N477:N484" si="247">I477/H477*L477</f>
        <v>79.50200000000001</v>
      </c>
      <c r="O477" s="5">
        <f t="shared" ref="O477:O484" si="248">L477-H477+M477</f>
        <v>185.922</v>
      </c>
      <c r="P477" s="123">
        <f t="shared" ref="P477:P484" si="249">O477*J477</f>
        <v>529.8777</v>
      </c>
      <c r="Q477" s="124">
        <f t="shared" ref="Q477:Q484" si="250">P477*12</f>
        <v>6358.5324000000001</v>
      </c>
      <c r="R477" s="124">
        <f t="shared" ref="R477:R484" si="251">Q477*0.2409</f>
        <v>1531.77045516</v>
      </c>
      <c r="S477" s="125">
        <f t="shared" ref="S477:S484" si="252">Q477+R477</f>
        <v>7890.30285516</v>
      </c>
      <c r="T477" s="82"/>
    </row>
    <row r="478" spans="2:20" s="64" customFormat="1" x14ac:dyDescent="0.2">
      <c r="B478" s="24" t="s">
        <v>285</v>
      </c>
      <c r="C478" s="128" t="s">
        <v>42</v>
      </c>
      <c r="D478" s="22" t="s">
        <v>45</v>
      </c>
      <c r="E478" s="22" t="s">
        <v>78</v>
      </c>
      <c r="F478" s="22" t="s">
        <v>58</v>
      </c>
      <c r="G478" s="42">
        <v>1093</v>
      </c>
      <c r="H478" s="14">
        <v>626</v>
      </c>
      <c r="I478" s="14">
        <v>62.6</v>
      </c>
      <c r="J478" s="121">
        <v>6</v>
      </c>
      <c r="K478" s="5">
        <f t="shared" si="244"/>
        <v>795.02</v>
      </c>
      <c r="L478" s="5">
        <f t="shared" si="245"/>
        <v>795.02</v>
      </c>
      <c r="M478" s="122">
        <f t="shared" si="246"/>
        <v>16.902000000000008</v>
      </c>
      <c r="N478" s="123">
        <f t="shared" si="247"/>
        <v>79.50200000000001</v>
      </c>
      <c r="O478" s="5">
        <f t="shared" si="248"/>
        <v>185.922</v>
      </c>
      <c r="P478" s="123">
        <f t="shared" si="249"/>
        <v>1115.5319999999999</v>
      </c>
      <c r="Q478" s="124">
        <f t="shared" si="250"/>
        <v>13386.383999999998</v>
      </c>
      <c r="R478" s="124">
        <f t="shared" si="251"/>
        <v>3224.7799055999994</v>
      </c>
      <c r="S478" s="125">
        <f t="shared" si="252"/>
        <v>16611.163905599999</v>
      </c>
      <c r="T478" s="82"/>
    </row>
    <row r="479" spans="2:20" s="64" customFormat="1" x14ac:dyDescent="0.2">
      <c r="B479" s="24" t="s">
        <v>288</v>
      </c>
      <c r="C479" s="41" t="s">
        <v>23</v>
      </c>
      <c r="D479" s="22" t="s">
        <v>80</v>
      </c>
      <c r="E479" s="22" t="s">
        <v>78</v>
      </c>
      <c r="F479" s="22" t="s">
        <v>58</v>
      </c>
      <c r="G479" s="42">
        <v>1093</v>
      </c>
      <c r="H479" s="14">
        <v>626</v>
      </c>
      <c r="I479" s="14">
        <v>62.6</v>
      </c>
      <c r="J479" s="121">
        <v>1</v>
      </c>
      <c r="K479" s="5">
        <f t="shared" si="244"/>
        <v>795.02</v>
      </c>
      <c r="L479" s="5">
        <f t="shared" si="245"/>
        <v>795.02</v>
      </c>
      <c r="M479" s="122">
        <f t="shared" si="246"/>
        <v>16.902000000000008</v>
      </c>
      <c r="N479" s="123">
        <f t="shared" si="247"/>
        <v>79.50200000000001</v>
      </c>
      <c r="O479" s="5">
        <f t="shared" si="248"/>
        <v>185.922</v>
      </c>
      <c r="P479" s="123">
        <f t="shared" si="249"/>
        <v>185.922</v>
      </c>
      <c r="Q479" s="124">
        <f t="shared" si="250"/>
        <v>2231.0639999999999</v>
      </c>
      <c r="R479" s="124">
        <f t="shared" si="251"/>
        <v>537.46331759999998</v>
      </c>
      <c r="S479" s="125">
        <f t="shared" si="252"/>
        <v>2768.5273176000001</v>
      </c>
      <c r="T479" s="82"/>
    </row>
    <row r="480" spans="2:20" s="64" customFormat="1" x14ac:dyDescent="0.2">
      <c r="B480" s="24" t="s">
        <v>320</v>
      </c>
      <c r="C480" s="128" t="s">
        <v>42</v>
      </c>
      <c r="D480" s="22" t="s">
        <v>24</v>
      </c>
      <c r="E480" s="22" t="s">
        <v>83</v>
      </c>
      <c r="F480" s="22" t="s">
        <v>58</v>
      </c>
      <c r="G480" s="42">
        <v>996</v>
      </c>
      <c r="H480" s="14">
        <v>579</v>
      </c>
      <c r="I480" s="14">
        <v>144.17099999999999</v>
      </c>
      <c r="J480" s="121">
        <v>10</v>
      </c>
      <c r="K480" s="5">
        <f t="shared" si="244"/>
        <v>735.33</v>
      </c>
      <c r="L480" s="5">
        <f t="shared" si="245"/>
        <v>735.33</v>
      </c>
      <c r="M480" s="122">
        <f t="shared" si="246"/>
        <v>38.926170000000013</v>
      </c>
      <c r="N480" s="123">
        <f t="shared" si="247"/>
        <v>183.09717000000001</v>
      </c>
      <c r="O480" s="5">
        <f t="shared" si="248"/>
        <v>195.25617000000005</v>
      </c>
      <c r="P480" s="123">
        <f t="shared" si="249"/>
        <v>1952.5617000000007</v>
      </c>
      <c r="Q480" s="124">
        <f t="shared" si="250"/>
        <v>23430.74040000001</v>
      </c>
      <c r="R480" s="124">
        <f t="shared" si="251"/>
        <v>5644.4653623600025</v>
      </c>
      <c r="S480" s="125">
        <f t="shared" si="252"/>
        <v>29075.205762360012</v>
      </c>
      <c r="T480" s="82"/>
    </row>
    <row r="481" spans="2:20" s="64" customFormat="1" x14ac:dyDescent="0.2">
      <c r="B481" s="24" t="s">
        <v>321</v>
      </c>
      <c r="C481" s="128" t="s">
        <v>42</v>
      </c>
      <c r="D481" s="22" t="s">
        <v>24</v>
      </c>
      <c r="E481" s="22" t="s">
        <v>83</v>
      </c>
      <c r="F481" s="22" t="s">
        <v>58</v>
      </c>
      <c r="G481" s="42">
        <v>996</v>
      </c>
      <c r="H481" s="14">
        <v>579</v>
      </c>
      <c r="I481" s="14">
        <v>144.17099999999999</v>
      </c>
      <c r="J481" s="121">
        <v>6</v>
      </c>
      <c r="K481" s="5">
        <f t="shared" si="244"/>
        <v>735.33</v>
      </c>
      <c r="L481" s="5">
        <f t="shared" si="245"/>
        <v>735.33</v>
      </c>
      <c r="M481" s="122">
        <f t="shared" si="246"/>
        <v>38.926170000000013</v>
      </c>
      <c r="N481" s="123">
        <f t="shared" si="247"/>
        <v>183.09717000000001</v>
      </c>
      <c r="O481" s="5">
        <f t="shared" si="248"/>
        <v>195.25617000000005</v>
      </c>
      <c r="P481" s="123">
        <f t="shared" si="249"/>
        <v>1171.5370200000002</v>
      </c>
      <c r="Q481" s="124">
        <f t="shared" si="250"/>
        <v>14058.444240000003</v>
      </c>
      <c r="R481" s="124">
        <f t="shared" si="251"/>
        <v>3386.6792174160005</v>
      </c>
      <c r="S481" s="125">
        <f t="shared" si="252"/>
        <v>17445.123457416004</v>
      </c>
      <c r="T481" s="82"/>
    </row>
    <row r="482" spans="2:20" s="64" customFormat="1" x14ac:dyDescent="0.2">
      <c r="B482" s="24" t="s">
        <v>86</v>
      </c>
      <c r="C482" s="128" t="s">
        <v>42</v>
      </c>
      <c r="D482" s="22" t="s">
        <v>252</v>
      </c>
      <c r="E482" s="22" t="s">
        <v>90</v>
      </c>
      <c r="F482" s="22" t="s">
        <v>210</v>
      </c>
      <c r="G482" s="42">
        <v>585</v>
      </c>
      <c r="H482" s="14">
        <v>430</v>
      </c>
      <c r="I482" s="14">
        <v>107.07</v>
      </c>
      <c r="J482" s="121">
        <v>1.5</v>
      </c>
      <c r="K482" s="5">
        <f t="shared" si="244"/>
        <v>546.1</v>
      </c>
      <c r="L482" s="5">
        <f t="shared" si="245"/>
        <v>546.1</v>
      </c>
      <c r="M482" s="122">
        <f t="shared" si="246"/>
        <v>28.908899999999988</v>
      </c>
      <c r="N482" s="123">
        <f t="shared" si="247"/>
        <v>135.97889999999998</v>
      </c>
      <c r="O482" s="5">
        <f t="shared" si="248"/>
        <v>145.00890000000001</v>
      </c>
      <c r="P482" s="123">
        <f t="shared" si="249"/>
        <v>217.51335</v>
      </c>
      <c r="Q482" s="124">
        <f t="shared" si="250"/>
        <v>2610.1602000000003</v>
      </c>
      <c r="R482" s="124">
        <f t="shared" si="251"/>
        <v>628.78759218000005</v>
      </c>
      <c r="S482" s="125">
        <f t="shared" si="252"/>
        <v>3238.9477921800003</v>
      </c>
      <c r="T482" s="82"/>
    </row>
    <row r="483" spans="2:20" s="64" customFormat="1" x14ac:dyDescent="0.2">
      <c r="B483" s="24" t="s">
        <v>86</v>
      </c>
      <c r="C483" s="128" t="s">
        <v>42</v>
      </c>
      <c r="D483" s="22" t="s">
        <v>252</v>
      </c>
      <c r="E483" s="22" t="s">
        <v>90</v>
      </c>
      <c r="F483" s="22" t="s">
        <v>91</v>
      </c>
      <c r="G483" s="42">
        <v>740</v>
      </c>
      <c r="H483" s="14">
        <v>442</v>
      </c>
      <c r="I483" s="14">
        <v>110.05800000000001</v>
      </c>
      <c r="J483" s="121">
        <v>1</v>
      </c>
      <c r="K483" s="5">
        <f t="shared" si="244"/>
        <v>561.34</v>
      </c>
      <c r="L483" s="5">
        <f t="shared" si="245"/>
        <v>561.34</v>
      </c>
      <c r="M483" s="122">
        <f t="shared" si="246"/>
        <v>29.715660000000028</v>
      </c>
      <c r="N483" s="123">
        <f t="shared" si="247"/>
        <v>139.77366000000004</v>
      </c>
      <c r="O483" s="5">
        <f t="shared" si="248"/>
        <v>149.05566000000005</v>
      </c>
      <c r="P483" s="123">
        <f t="shared" si="249"/>
        <v>149.05566000000005</v>
      </c>
      <c r="Q483" s="124">
        <f t="shared" si="250"/>
        <v>1788.6679200000005</v>
      </c>
      <c r="R483" s="124">
        <f t="shared" si="251"/>
        <v>430.89010192800015</v>
      </c>
      <c r="S483" s="125">
        <f t="shared" si="252"/>
        <v>2219.5580219280009</v>
      </c>
      <c r="T483" s="82"/>
    </row>
    <row r="484" spans="2:20" s="64" customFormat="1" x14ac:dyDescent="0.2">
      <c r="B484" s="24" t="s">
        <v>86</v>
      </c>
      <c r="C484" s="41" t="s">
        <v>181</v>
      </c>
      <c r="D484" s="22" t="s">
        <v>252</v>
      </c>
      <c r="E484" s="22" t="s">
        <v>90</v>
      </c>
      <c r="F484" s="22" t="s">
        <v>58</v>
      </c>
      <c r="G484" s="42">
        <v>899</v>
      </c>
      <c r="H484" s="14">
        <v>515</v>
      </c>
      <c r="I484" s="14">
        <v>128.23500000000001</v>
      </c>
      <c r="J484" s="121">
        <v>17.7</v>
      </c>
      <c r="K484" s="5">
        <f t="shared" si="244"/>
        <v>654.04999999999995</v>
      </c>
      <c r="L484" s="5">
        <f t="shared" si="245"/>
        <v>654.04999999999995</v>
      </c>
      <c r="M484" s="122">
        <f t="shared" si="246"/>
        <v>34.623449999999991</v>
      </c>
      <c r="N484" s="123">
        <f t="shared" si="247"/>
        <v>162.85845</v>
      </c>
      <c r="O484" s="5">
        <f t="shared" si="248"/>
        <v>173.67344999999995</v>
      </c>
      <c r="P484" s="123">
        <f t="shared" si="249"/>
        <v>3074.0200649999988</v>
      </c>
      <c r="Q484" s="124">
        <f t="shared" si="250"/>
        <v>36888.240779999986</v>
      </c>
      <c r="R484" s="124">
        <f t="shared" si="251"/>
        <v>8886.3772039019968</v>
      </c>
      <c r="S484" s="125">
        <f t="shared" si="252"/>
        <v>45774.617983901982</v>
      </c>
      <c r="T484" s="82"/>
    </row>
    <row r="485" spans="2:20" s="52" customFormat="1" x14ac:dyDescent="0.25">
      <c r="B485" s="53" t="s">
        <v>39</v>
      </c>
      <c r="C485" s="54"/>
      <c r="D485" s="54"/>
      <c r="E485" s="54"/>
      <c r="F485" s="55"/>
      <c r="G485" s="56"/>
      <c r="H485" s="6"/>
      <c r="I485" s="7"/>
      <c r="J485" s="67">
        <f>SUM(J477:J484)</f>
        <v>46.05</v>
      </c>
      <c r="K485" s="58"/>
      <c r="L485" s="7"/>
      <c r="M485" s="59"/>
      <c r="N485" s="57"/>
      <c r="O485" s="7"/>
      <c r="P485" s="57"/>
      <c r="Q485" s="60">
        <f t="shared" ref="Q485:S485" si="253">SUM(Q477:Q484)</f>
        <v>100752.23394000001</v>
      </c>
      <c r="R485" s="60">
        <f t="shared" si="253"/>
        <v>24271.213156145997</v>
      </c>
      <c r="S485" s="61">
        <f t="shared" si="253"/>
        <v>125023.447096146</v>
      </c>
      <c r="T485" s="127"/>
    </row>
    <row r="486" spans="2:20" s="64" customFormat="1" ht="14.25" thickBot="1" x14ac:dyDescent="0.25">
      <c r="B486" s="208" t="s">
        <v>322</v>
      </c>
      <c r="C486" s="209"/>
      <c r="D486" s="210"/>
      <c r="E486" s="210"/>
      <c r="F486" s="210"/>
      <c r="G486" s="211"/>
      <c r="H486" s="212"/>
      <c r="I486" s="212"/>
      <c r="J486" s="213">
        <f>J475+J485</f>
        <v>51.55</v>
      </c>
      <c r="K486" s="204"/>
      <c r="L486" s="205"/>
      <c r="M486" s="205"/>
      <c r="N486" s="205"/>
      <c r="O486" s="205"/>
      <c r="P486" s="205"/>
      <c r="Q486" s="206">
        <f t="shared" ref="Q486:S486" si="254">Q475+Q485</f>
        <v>115863.59394000001</v>
      </c>
      <c r="R486" s="206">
        <f t="shared" si="254"/>
        <v>27911.539780145999</v>
      </c>
      <c r="S486" s="214">
        <f t="shared" si="254"/>
        <v>143775.133720146</v>
      </c>
      <c r="T486" s="82"/>
    </row>
    <row r="487" spans="2:20" s="98" customFormat="1" ht="14.25" thickTop="1" x14ac:dyDescent="0.25">
      <c r="B487" s="171" t="s">
        <v>323</v>
      </c>
      <c r="C487" s="188"/>
      <c r="D487" s="189"/>
      <c r="E487" s="189"/>
      <c r="F487" s="189"/>
      <c r="G487" s="190"/>
      <c r="H487" s="191"/>
      <c r="I487" s="191"/>
      <c r="J487" s="192"/>
      <c r="K487" s="35"/>
      <c r="L487" s="193"/>
      <c r="M487" s="193"/>
      <c r="N487" s="194"/>
      <c r="O487" s="33"/>
      <c r="P487" s="194"/>
      <c r="Q487" s="195"/>
      <c r="R487" s="195"/>
      <c r="S487" s="196"/>
      <c r="T487" s="108"/>
    </row>
    <row r="488" spans="2:20" s="109" customFormat="1" x14ac:dyDescent="0.2">
      <c r="B488" s="110" t="s">
        <v>19</v>
      </c>
      <c r="C488" s="111"/>
      <c r="D488" s="111"/>
      <c r="E488" s="111"/>
      <c r="F488" s="111"/>
      <c r="G488" s="34"/>
      <c r="H488" s="112"/>
      <c r="I488" s="113"/>
      <c r="J488" s="114"/>
      <c r="K488" s="115"/>
      <c r="L488" s="116"/>
      <c r="M488" s="117"/>
      <c r="N488" s="118"/>
      <c r="O488" s="117"/>
      <c r="P488" s="117"/>
      <c r="Q488" s="117"/>
      <c r="R488" s="119"/>
      <c r="S488" s="120"/>
      <c r="T488" s="95"/>
    </row>
    <row r="489" spans="2:20" s="64" customFormat="1" x14ac:dyDescent="0.2">
      <c r="B489" s="24" t="s">
        <v>301</v>
      </c>
      <c r="C489" s="41" t="s">
        <v>61</v>
      </c>
      <c r="D489" s="22" t="s">
        <v>24</v>
      </c>
      <c r="E489" s="22" t="s">
        <v>65</v>
      </c>
      <c r="F489" s="22" t="s">
        <v>58</v>
      </c>
      <c r="G489" s="42">
        <v>1287</v>
      </c>
      <c r="H489" s="14">
        <v>821</v>
      </c>
      <c r="I489" s="14">
        <v>82.1</v>
      </c>
      <c r="J489" s="121">
        <v>3</v>
      </c>
      <c r="K489" s="5">
        <f t="shared" ref="K489:K492" si="255">H489*1.27</f>
        <v>1042.67</v>
      </c>
      <c r="L489" s="5">
        <f t="shared" ref="L489:L492" si="256">IF(K489&lt;=G489,K489,G489)</f>
        <v>1042.67</v>
      </c>
      <c r="M489" s="122">
        <f t="shared" ref="M489:M492" si="257">N489-I489</f>
        <v>22.167000000000002</v>
      </c>
      <c r="N489" s="123">
        <f t="shared" ref="N489:N491" si="258">I489/H489*L489</f>
        <v>104.267</v>
      </c>
      <c r="O489" s="5">
        <f t="shared" ref="O489:O492" si="259">L489-H489+M489</f>
        <v>243.83700000000007</v>
      </c>
      <c r="P489" s="123">
        <f t="shared" ref="P489:P492" si="260">O489*J489</f>
        <v>731.51100000000019</v>
      </c>
      <c r="Q489" s="124">
        <f t="shared" ref="Q489:Q492" si="261">P489*12</f>
        <v>8778.1320000000014</v>
      </c>
      <c r="R489" s="124">
        <f t="shared" ref="R489:R492" si="262">Q489*0.2409</f>
        <v>2114.6519988000005</v>
      </c>
      <c r="S489" s="125">
        <f t="shared" ref="S489:S492" si="263">Q489+R489</f>
        <v>10892.783998800001</v>
      </c>
      <c r="T489" s="82"/>
    </row>
    <row r="490" spans="2:20" s="64" customFormat="1" x14ac:dyDescent="0.2">
      <c r="B490" s="24" t="s">
        <v>324</v>
      </c>
      <c r="C490" s="41" t="s">
        <v>61</v>
      </c>
      <c r="D490" s="22" t="s">
        <v>24</v>
      </c>
      <c r="E490" s="22" t="s">
        <v>65</v>
      </c>
      <c r="F490" s="22" t="s">
        <v>58</v>
      </c>
      <c r="G490" s="42">
        <v>1287</v>
      </c>
      <c r="H490" s="14">
        <v>821</v>
      </c>
      <c r="I490" s="14">
        <v>82.1</v>
      </c>
      <c r="J490" s="121">
        <v>1.55</v>
      </c>
      <c r="K490" s="5">
        <f t="shared" si="255"/>
        <v>1042.67</v>
      </c>
      <c r="L490" s="5">
        <f t="shared" si="256"/>
        <v>1042.67</v>
      </c>
      <c r="M490" s="122">
        <f t="shared" si="257"/>
        <v>22.167000000000002</v>
      </c>
      <c r="N490" s="123">
        <f t="shared" si="258"/>
        <v>104.267</v>
      </c>
      <c r="O490" s="5">
        <f t="shared" si="259"/>
        <v>243.83700000000007</v>
      </c>
      <c r="P490" s="123">
        <f t="shared" si="260"/>
        <v>377.94735000000014</v>
      </c>
      <c r="Q490" s="124">
        <f t="shared" si="261"/>
        <v>4535.3682000000017</v>
      </c>
      <c r="R490" s="124">
        <f t="shared" si="262"/>
        <v>1092.5701993800005</v>
      </c>
      <c r="S490" s="125">
        <f t="shared" si="263"/>
        <v>5627.938399380002</v>
      </c>
      <c r="T490" s="82"/>
    </row>
    <row r="491" spans="2:20" s="64" customFormat="1" x14ac:dyDescent="0.2">
      <c r="B491" s="24" t="s">
        <v>325</v>
      </c>
      <c r="C491" s="41" t="s">
        <v>61</v>
      </c>
      <c r="D491" s="22" t="s">
        <v>24</v>
      </c>
      <c r="E491" s="22" t="s">
        <v>65</v>
      </c>
      <c r="F491" s="22" t="s">
        <v>58</v>
      </c>
      <c r="G491" s="42">
        <v>1287</v>
      </c>
      <c r="H491" s="14">
        <v>821</v>
      </c>
      <c r="I491" s="14">
        <v>82.1</v>
      </c>
      <c r="J491" s="121">
        <v>0.5</v>
      </c>
      <c r="K491" s="5">
        <f t="shared" si="255"/>
        <v>1042.67</v>
      </c>
      <c r="L491" s="5">
        <f t="shared" si="256"/>
        <v>1042.67</v>
      </c>
      <c r="M491" s="122">
        <f t="shared" si="257"/>
        <v>22.167000000000002</v>
      </c>
      <c r="N491" s="123">
        <f t="shared" si="258"/>
        <v>104.267</v>
      </c>
      <c r="O491" s="5">
        <f t="shared" si="259"/>
        <v>243.83700000000007</v>
      </c>
      <c r="P491" s="123">
        <f t="shared" si="260"/>
        <v>121.91850000000004</v>
      </c>
      <c r="Q491" s="124">
        <f t="shared" si="261"/>
        <v>1463.0220000000004</v>
      </c>
      <c r="R491" s="124">
        <f t="shared" si="262"/>
        <v>352.44199980000008</v>
      </c>
      <c r="S491" s="125">
        <f t="shared" si="263"/>
        <v>1815.4639998000005</v>
      </c>
      <c r="T491" s="82"/>
    </row>
    <row r="492" spans="2:20" s="64" customFormat="1" x14ac:dyDescent="0.2">
      <c r="B492" s="24" t="s">
        <v>277</v>
      </c>
      <c r="C492" s="41" t="s">
        <v>61</v>
      </c>
      <c r="D492" s="22" t="s">
        <v>38</v>
      </c>
      <c r="E492" s="22" t="s">
        <v>74</v>
      </c>
      <c r="F492" s="22" t="s">
        <v>58</v>
      </c>
      <c r="G492" s="42">
        <v>1190</v>
      </c>
      <c r="H492" s="14">
        <v>660</v>
      </c>
      <c r="I492" s="14">
        <v>66</v>
      </c>
      <c r="J492" s="121">
        <v>2</v>
      </c>
      <c r="K492" s="5">
        <f t="shared" si="255"/>
        <v>838.2</v>
      </c>
      <c r="L492" s="5">
        <f t="shared" si="256"/>
        <v>838.2</v>
      </c>
      <c r="M492" s="122">
        <f t="shared" si="257"/>
        <v>17.820000000000007</v>
      </c>
      <c r="N492" s="123">
        <f>I492/H492*L492</f>
        <v>83.820000000000007</v>
      </c>
      <c r="O492" s="5">
        <f t="shared" si="259"/>
        <v>196.02000000000004</v>
      </c>
      <c r="P492" s="123">
        <f t="shared" si="260"/>
        <v>392.04000000000008</v>
      </c>
      <c r="Q492" s="124">
        <f t="shared" si="261"/>
        <v>4704.4800000000014</v>
      </c>
      <c r="R492" s="124">
        <f t="shared" si="262"/>
        <v>1133.3092320000003</v>
      </c>
      <c r="S492" s="125">
        <f t="shared" si="263"/>
        <v>5837.7892320000019</v>
      </c>
      <c r="T492" s="82"/>
    </row>
    <row r="493" spans="2:20" s="52" customFormat="1" x14ac:dyDescent="0.25">
      <c r="B493" s="53" t="s">
        <v>39</v>
      </c>
      <c r="C493" s="54"/>
      <c r="D493" s="54"/>
      <c r="E493" s="54"/>
      <c r="F493" s="55"/>
      <c r="G493" s="56"/>
      <c r="H493" s="6"/>
      <c r="I493" s="7"/>
      <c r="J493" s="67">
        <f>SUM(J489:J492)</f>
        <v>7.05</v>
      </c>
      <c r="K493" s="58"/>
      <c r="L493" s="7"/>
      <c r="M493" s="59"/>
      <c r="N493" s="57"/>
      <c r="O493" s="7"/>
      <c r="P493" s="57"/>
      <c r="Q493" s="60">
        <f t="shared" ref="Q493:S493" si="264">SUM(Q489:Q492)</f>
        <v>19481.002200000003</v>
      </c>
      <c r="R493" s="60">
        <f t="shared" si="264"/>
        <v>4692.973429980002</v>
      </c>
      <c r="S493" s="61">
        <f t="shared" si="264"/>
        <v>24173.97562998001</v>
      </c>
      <c r="T493" s="127"/>
    </row>
    <row r="494" spans="2:20" s="109" customFormat="1" x14ac:dyDescent="0.2">
      <c r="B494" s="110" t="s">
        <v>40</v>
      </c>
      <c r="C494" s="111"/>
      <c r="D494" s="111"/>
      <c r="E494" s="111"/>
      <c r="F494" s="111"/>
      <c r="G494" s="13"/>
      <c r="H494" s="112"/>
      <c r="I494" s="113"/>
      <c r="J494" s="114"/>
      <c r="K494" s="115"/>
      <c r="L494" s="116"/>
      <c r="M494" s="117"/>
      <c r="N494" s="118"/>
      <c r="O494" s="117"/>
      <c r="P494" s="117"/>
      <c r="Q494" s="117"/>
      <c r="R494" s="119"/>
      <c r="S494" s="120"/>
      <c r="T494" s="95"/>
    </row>
    <row r="495" spans="2:20" s="64" customFormat="1" x14ac:dyDescent="0.2">
      <c r="B495" s="24" t="s">
        <v>285</v>
      </c>
      <c r="C495" s="41" t="s">
        <v>69</v>
      </c>
      <c r="D495" s="22" t="s">
        <v>45</v>
      </c>
      <c r="E495" s="22" t="s">
        <v>78</v>
      </c>
      <c r="F495" s="22" t="s">
        <v>58</v>
      </c>
      <c r="G495" s="42">
        <v>1093</v>
      </c>
      <c r="H495" s="14">
        <v>660</v>
      </c>
      <c r="I495" s="14">
        <v>66</v>
      </c>
      <c r="J495" s="121">
        <v>2</v>
      </c>
      <c r="K495" s="5">
        <f t="shared" ref="K495:K499" si="265">H495*1.27</f>
        <v>838.2</v>
      </c>
      <c r="L495" s="5">
        <f t="shared" ref="L495:L499" si="266">IF(K495&lt;=G495,K495,G495)</f>
        <v>838.2</v>
      </c>
      <c r="M495" s="122">
        <f t="shared" ref="M495:M499" si="267">N495-I495</f>
        <v>17.820000000000007</v>
      </c>
      <c r="N495" s="123">
        <f t="shared" ref="N495:N499" si="268">I495/H495*L495</f>
        <v>83.820000000000007</v>
      </c>
      <c r="O495" s="5">
        <f t="shared" ref="O495:O499" si="269">L495-H495+M495</f>
        <v>196.02000000000004</v>
      </c>
      <c r="P495" s="123">
        <f t="shared" ref="P495:P499" si="270">O495*J495</f>
        <v>392.04000000000008</v>
      </c>
      <c r="Q495" s="124">
        <f t="shared" ref="Q495:Q499" si="271">P495*12</f>
        <v>4704.4800000000014</v>
      </c>
      <c r="R495" s="124">
        <f t="shared" ref="R495:R499" si="272">Q495*0.2409</f>
        <v>1133.3092320000003</v>
      </c>
      <c r="S495" s="125">
        <f t="shared" ref="S495:S499" si="273">Q495+R495</f>
        <v>5837.7892320000019</v>
      </c>
      <c r="T495" s="82"/>
    </row>
    <row r="496" spans="2:20" s="64" customFormat="1" x14ac:dyDescent="0.2">
      <c r="B496" s="23" t="s">
        <v>326</v>
      </c>
      <c r="C496" s="41" t="s">
        <v>69</v>
      </c>
      <c r="D496" s="22" t="s">
        <v>24</v>
      </c>
      <c r="E496" s="22" t="s">
        <v>83</v>
      </c>
      <c r="F496" s="22" t="s">
        <v>58</v>
      </c>
      <c r="G496" s="42">
        <v>996</v>
      </c>
      <c r="H496" s="14">
        <v>575</v>
      </c>
      <c r="I496" s="14">
        <v>210.8</v>
      </c>
      <c r="J496" s="121">
        <v>15</v>
      </c>
      <c r="K496" s="5">
        <f t="shared" si="265"/>
        <v>730.25</v>
      </c>
      <c r="L496" s="5">
        <f t="shared" si="266"/>
        <v>730.25</v>
      </c>
      <c r="M496" s="122">
        <f t="shared" si="267"/>
        <v>56.915999999999997</v>
      </c>
      <c r="N496" s="123">
        <f t="shared" si="268"/>
        <v>267.71600000000001</v>
      </c>
      <c r="O496" s="5">
        <f t="shared" si="269"/>
        <v>212.166</v>
      </c>
      <c r="P496" s="123">
        <f t="shared" si="270"/>
        <v>3182.49</v>
      </c>
      <c r="Q496" s="124">
        <f t="shared" si="271"/>
        <v>38189.879999999997</v>
      </c>
      <c r="R496" s="124">
        <f t="shared" si="272"/>
        <v>9199.9420919999993</v>
      </c>
      <c r="S496" s="125">
        <f t="shared" si="273"/>
        <v>47389.822091999995</v>
      </c>
      <c r="T496" s="82"/>
    </row>
    <row r="497" spans="2:20" s="64" customFormat="1" x14ac:dyDescent="0.2">
      <c r="B497" s="24" t="s">
        <v>326</v>
      </c>
      <c r="C497" s="41" t="s">
        <v>69</v>
      </c>
      <c r="D497" s="22" t="s">
        <v>24</v>
      </c>
      <c r="E497" s="22" t="s">
        <v>83</v>
      </c>
      <c r="F497" s="22" t="s">
        <v>210</v>
      </c>
      <c r="G497" s="42">
        <v>675</v>
      </c>
      <c r="H497" s="14">
        <v>480</v>
      </c>
      <c r="I497" s="14">
        <v>48</v>
      </c>
      <c r="J497" s="121">
        <v>1.5</v>
      </c>
      <c r="K497" s="5">
        <f t="shared" si="265"/>
        <v>609.6</v>
      </c>
      <c r="L497" s="5">
        <f t="shared" si="266"/>
        <v>609.6</v>
      </c>
      <c r="M497" s="122">
        <f t="shared" si="267"/>
        <v>12.960000000000008</v>
      </c>
      <c r="N497" s="123">
        <f t="shared" si="268"/>
        <v>60.960000000000008</v>
      </c>
      <c r="O497" s="5">
        <f t="shared" si="269"/>
        <v>142.56000000000003</v>
      </c>
      <c r="P497" s="123">
        <f t="shared" si="270"/>
        <v>213.84000000000003</v>
      </c>
      <c r="Q497" s="124">
        <f t="shared" si="271"/>
        <v>2566.0800000000004</v>
      </c>
      <c r="R497" s="124">
        <f t="shared" si="272"/>
        <v>618.16867200000013</v>
      </c>
      <c r="S497" s="125">
        <f t="shared" si="273"/>
        <v>3184.2486720000006</v>
      </c>
      <c r="T497" s="82"/>
    </row>
    <row r="498" spans="2:20" s="64" customFormat="1" x14ac:dyDescent="0.2">
      <c r="B498" s="24" t="s">
        <v>327</v>
      </c>
      <c r="C498" s="41" t="s">
        <v>69</v>
      </c>
      <c r="D498" s="22" t="s">
        <v>24</v>
      </c>
      <c r="E498" s="22" t="s">
        <v>83</v>
      </c>
      <c r="F498" s="22" t="s">
        <v>58</v>
      </c>
      <c r="G498" s="42">
        <v>996</v>
      </c>
      <c r="H498" s="14">
        <v>575</v>
      </c>
      <c r="I498" s="14">
        <v>57.5</v>
      </c>
      <c r="J498" s="121">
        <v>2.5</v>
      </c>
      <c r="K498" s="5">
        <f t="shared" si="265"/>
        <v>730.25</v>
      </c>
      <c r="L498" s="5">
        <f t="shared" si="266"/>
        <v>730.25</v>
      </c>
      <c r="M498" s="122">
        <f t="shared" si="267"/>
        <v>15.525000000000006</v>
      </c>
      <c r="N498" s="123">
        <f t="shared" si="268"/>
        <v>73.025000000000006</v>
      </c>
      <c r="O498" s="5">
        <f t="shared" si="269"/>
        <v>170.77500000000001</v>
      </c>
      <c r="P498" s="123">
        <f t="shared" si="270"/>
        <v>426.9375</v>
      </c>
      <c r="Q498" s="124">
        <f t="shared" si="271"/>
        <v>5123.25</v>
      </c>
      <c r="R498" s="124">
        <f t="shared" si="272"/>
        <v>1234.1909250000001</v>
      </c>
      <c r="S498" s="125">
        <f t="shared" si="273"/>
        <v>6357.4409249999999</v>
      </c>
      <c r="T498" s="82"/>
    </row>
    <row r="499" spans="2:20" s="64" customFormat="1" x14ac:dyDescent="0.2">
      <c r="B499" s="24" t="s">
        <v>86</v>
      </c>
      <c r="C499" s="41" t="s">
        <v>69</v>
      </c>
      <c r="D499" s="22" t="s">
        <v>25</v>
      </c>
      <c r="E499" s="22" t="s">
        <v>90</v>
      </c>
      <c r="F499" s="22" t="s">
        <v>58</v>
      </c>
      <c r="G499" s="42">
        <v>899</v>
      </c>
      <c r="H499" s="14">
        <v>540</v>
      </c>
      <c r="I499" s="14">
        <v>54</v>
      </c>
      <c r="J499" s="121">
        <v>14.5</v>
      </c>
      <c r="K499" s="5">
        <f t="shared" si="265"/>
        <v>685.8</v>
      </c>
      <c r="L499" s="5">
        <f t="shared" si="266"/>
        <v>685.8</v>
      </c>
      <c r="M499" s="122">
        <f t="shared" si="267"/>
        <v>14.579999999999998</v>
      </c>
      <c r="N499" s="123">
        <f t="shared" si="268"/>
        <v>68.58</v>
      </c>
      <c r="O499" s="5">
        <f t="shared" si="269"/>
        <v>160.37999999999994</v>
      </c>
      <c r="P499" s="123">
        <f t="shared" si="270"/>
        <v>2325.5099999999993</v>
      </c>
      <c r="Q499" s="124">
        <f t="shared" si="271"/>
        <v>27906.119999999992</v>
      </c>
      <c r="R499" s="124">
        <f t="shared" si="272"/>
        <v>6722.5843079999977</v>
      </c>
      <c r="S499" s="125">
        <f t="shared" si="273"/>
        <v>34628.704307999986</v>
      </c>
      <c r="T499" s="82"/>
    </row>
    <row r="500" spans="2:20" s="52" customFormat="1" x14ac:dyDescent="0.25">
      <c r="B500" s="53" t="s">
        <v>39</v>
      </c>
      <c r="C500" s="54"/>
      <c r="D500" s="54"/>
      <c r="E500" s="54"/>
      <c r="F500" s="55"/>
      <c r="G500" s="56"/>
      <c r="H500" s="6"/>
      <c r="I500" s="7"/>
      <c r="J500" s="67">
        <f>SUM(J495:J499)</f>
        <v>35.5</v>
      </c>
      <c r="K500" s="58"/>
      <c r="L500" s="7"/>
      <c r="M500" s="59"/>
      <c r="N500" s="57"/>
      <c r="O500" s="7"/>
      <c r="P500" s="57"/>
      <c r="Q500" s="60">
        <f t="shared" ref="Q500:S500" si="274">SUM(Q495:Q499)</f>
        <v>78489.81</v>
      </c>
      <c r="R500" s="60">
        <f t="shared" si="274"/>
        <v>18908.195228999997</v>
      </c>
      <c r="S500" s="61">
        <f t="shared" si="274"/>
        <v>97398.005228999988</v>
      </c>
      <c r="T500" s="127"/>
    </row>
    <row r="501" spans="2:20" s="109" customFormat="1" x14ac:dyDescent="0.2">
      <c r="B501" s="110" t="s">
        <v>94</v>
      </c>
      <c r="C501" s="111"/>
      <c r="D501" s="111"/>
      <c r="E501" s="111"/>
      <c r="F501" s="111"/>
      <c r="G501" s="13"/>
      <c r="H501" s="112"/>
      <c r="I501" s="113"/>
      <c r="J501" s="114"/>
      <c r="K501" s="115"/>
      <c r="L501" s="116"/>
      <c r="M501" s="117"/>
      <c r="N501" s="118"/>
      <c r="O501" s="117"/>
      <c r="P501" s="117"/>
      <c r="Q501" s="117"/>
      <c r="R501" s="119"/>
      <c r="S501" s="120"/>
      <c r="T501" s="95"/>
    </row>
    <row r="502" spans="2:20" s="64" customFormat="1" x14ac:dyDescent="0.2">
      <c r="B502" s="24" t="s">
        <v>95</v>
      </c>
      <c r="C502" s="41" t="s">
        <v>69</v>
      </c>
      <c r="D502" s="22" t="s">
        <v>190</v>
      </c>
      <c r="E502" s="22" t="s">
        <v>96</v>
      </c>
      <c r="F502" s="22" t="s">
        <v>58</v>
      </c>
      <c r="G502" s="42">
        <v>802</v>
      </c>
      <c r="H502" s="14">
        <v>459</v>
      </c>
      <c r="I502" s="14">
        <v>134.32</v>
      </c>
      <c r="J502" s="121">
        <v>3</v>
      </c>
      <c r="K502" s="5">
        <f t="shared" ref="K502:K504" si="275">H502*1.27</f>
        <v>582.93000000000006</v>
      </c>
      <c r="L502" s="5">
        <f t="shared" ref="L502:L504" si="276">IF(K502&lt;=G502,K502,G502)</f>
        <v>582.93000000000006</v>
      </c>
      <c r="M502" s="122">
        <f t="shared" ref="M502:M504" si="277">N502-I502</f>
        <v>36.266400000000004</v>
      </c>
      <c r="N502" s="123">
        <f t="shared" ref="N502:N504" si="278">I502/H502*L502</f>
        <v>170.5864</v>
      </c>
      <c r="O502" s="5">
        <f t="shared" ref="O502:O504" si="279">L502-H502+M502</f>
        <v>160.19640000000007</v>
      </c>
      <c r="P502" s="123">
        <f t="shared" ref="P502:P504" si="280">O502*J502</f>
        <v>480.58920000000023</v>
      </c>
      <c r="Q502" s="124">
        <f t="shared" ref="Q502:Q504" si="281">P502*12</f>
        <v>5767.0704000000023</v>
      </c>
      <c r="R502" s="124">
        <f t="shared" ref="R502:R504" si="282">Q502*0.2409</f>
        <v>1389.2872593600007</v>
      </c>
      <c r="S502" s="125">
        <f t="shared" ref="S502:S504" si="283">Q502+R502</f>
        <v>7156.3576593600028</v>
      </c>
      <c r="T502" s="82"/>
    </row>
    <row r="503" spans="2:20" s="64" customFormat="1" x14ac:dyDescent="0.2">
      <c r="B503" s="24" t="s">
        <v>95</v>
      </c>
      <c r="C503" s="41" t="s">
        <v>69</v>
      </c>
      <c r="D503" s="22" t="s">
        <v>190</v>
      </c>
      <c r="E503" s="22" t="s">
        <v>96</v>
      </c>
      <c r="F503" s="22" t="s">
        <v>58</v>
      </c>
      <c r="G503" s="42">
        <v>802</v>
      </c>
      <c r="H503" s="14">
        <v>459</v>
      </c>
      <c r="I503" s="14">
        <v>45.9</v>
      </c>
      <c r="J503" s="121">
        <v>1</v>
      </c>
      <c r="K503" s="5">
        <f t="shared" si="275"/>
        <v>582.93000000000006</v>
      </c>
      <c r="L503" s="5">
        <f t="shared" si="276"/>
        <v>582.93000000000006</v>
      </c>
      <c r="M503" s="122">
        <f t="shared" si="277"/>
        <v>12.393000000000001</v>
      </c>
      <c r="N503" s="123">
        <f t="shared" si="278"/>
        <v>58.292999999999999</v>
      </c>
      <c r="O503" s="5">
        <f t="shared" si="279"/>
        <v>136.32300000000006</v>
      </c>
      <c r="P503" s="123">
        <f t="shared" si="280"/>
        <v>136.32300000000006</v>
      </c>
      <c r="Q503" s="124">
        <f t="shared" si="281"/>
        <v>1635.8760000000007</v>
      </c>
      <c r="R503" s="124">
        <f t="shared" si="282"/>
        <v>394.08252840000017</v>
      </c>
      <c r="S503" s="125">
        <f t="shared" si="283"/>
        <v>2029.9585284000009</v>
      </c>
      <c r="T503" s="82"/>
    </row>
    <row r="504" spans="2:20" s="64" customFormat="1" x14ac:dyDescent="0.2">
      <c r="B504" s="23" t="s">
        <v>315</v>
      </c>
      <c r="C504" s="41" t="s">
        <v>69</v>
      </c>
      <c r="D504" s="22" t="s">
        <v>80</v>
      </c>
      <c r="E504" s="22" t="s">
        <v>58</v>
      </c>
      <c r="F504" s="22" t="s">
        <v>58</v>
      </c>
      <c r="G504" s="42">
        <v>608</v>
      </c>
      <c r="H504" s="14">
        <v>392</v>
      </c>
      <c r="I504" s="14">
        <v>39.200000000000003</v>
      </c>
      <c r="J504" s="121">
        <v>3</v>
      </c>
      <c r="K504" s="5">
        <f t="shared" si="275"/>
        <v>497.84000000000003</v>
      </c>
      <c r="L504" s="5">
        <f t="shared" si="276"/>
        <v>497.84000000000003</v>
      </c>
      <c r="M504" s="122">
        <f t="shared" si="277"/>
        <v>10.584000000000003</v>
      </c>
      <c r="N504" s="123">
        <f t="shared" si="278"/>
        <v>49.784000000000006</v>
      </c>
      <c r="O504" s="5">
        <f t="shared" si="279"/>
        <v>116.42400000000004</v>
      </c>
      <c r="P504" s="123">
        <f t="shared" si="280"/>
        <v>349.27200000000011</v>
      </c>
      <c r="Q504" s="124">
        <f t="shared" si="281"/>
        <v>4191.264000000001</v>
      </c>
      <c r="R504" s="124">
        <f t="shared" si="282"/>
        <v>1009.6754976000003</v>
      </c>
      <c r="S504" s="125">
        <f t="shared" si="283"/>
        <v>5200.9394976000012</v>
      </c>
      <c r="T504" s="82"/>
    </row>
    <row r="505" spans="2:20" s="52" customFormat="1" x14ac:dyDescent="0.25">
      <c r="B505" s="53" t="s">
        <v>39</v>
      </c>
      <c r="C505" s="54"/>
      <c r="D505" s="54"/>
      <c r="E505" s="54"/>
      <c r="F505" s="55"/>
      <c r="G505" s="56"/>
      <c r="H505" s="6"/>
      <c r="I505" s="7"/>
      <c r="J505" s="67">
        <f>SUM(J502:J504)</f>
        <v>7</v>
      </c>
      <c r="K505" s="58"/>
      <c r="L505" s="7"/>
      <c r="M505" s="59"/>
      <c r="N505" s="57"/>
      <c r="O505" s="7"/>
      <c r="P505" s="57"/>
      <c r="Q505" s="60">
        <f t="shared" ref="Q505:S505" si="284">SUM(Q502:Q504)</f>
        <v>11594.210400000004</v>
      </c>
      <c r="R505" s="60">
        <f t="shared" si="284"/>
        <v>2793.0452853600013</v>
      </c>
      <c r="S505" s="61">
        <f t="shared" si="284"/>
        <v>14387.255685360004</v>
      </c>
      <c r="T505" s="127"/>
    </row>
    <row r="506" spans="2:20" s="64" customFormat="1" ht="14.25" thickBot="1" x14ac:dyDescent="0.25">
      <c r="B506" s="208" t="s">
        <v>328</v>
      </c>
      <c r="C506" s="209"/>
      <c r="D506" s="210"/>
      <c r="E506" s="210"/>
      <c r="F506" s="210"/>
      <c r="G506" s="211"/>
      <c r="H506" s="212"/>
      <c r="I506" s="212"/>
      <c r="J506" s="213">
        <f>J493+J500+J505</f>
        <v>49.55</v>
      </c>
      <c r="K506" s="204"/>
      <c r="L506" s="205"/>
      <c r="M506" s="205"/>
      <c r="N506" s="205"/>
      <c r="O506" s="205"/>
      <c r="P506" s="205"/>
      <c r="Q506" s="206">
        <f t="shared" ref="Q506:S506" si="285">Q493+Q500+Q505</f>
        <v>109565.0226</v>
      </c>
      <c r="R506" s="206">
        <f t="shared" si="285"/>
        <v>26394.213944340001</v>
      </c>
      <c r="S506" s="214">
        <f t="shared" si="285"/>
        <v>135959.23654434</v>
      </c>
      <c r="T506" s="82"/>
    </row>
    <row r="507" spans="2:20" s="98" customFormat="1" ht="14.25" thickTop="1" x14ac:dyDescent="0.25">
      <c r="B507" s="171" t="s">
        <v>329</v>
      </c>
      <c r="C507" s="188"/>
      <c r="D507" s="189"/>
      <c r="E507" s="189"/>
      <c r="F507" s="189"/>
      <c r="G507" s="190"/>
      <c r="H507" s="191"/>
      <c r="I507" s="191"/>
      <c r="J507" s="192"/>
      <c r="K507" s="35"/>
      <c r="L507" s="193"/>
      <c r="M507" s="193"/>
      <c r="N507" s="194"/>
      <c r="O507" s="33"/>
      <c r="P507" s="194"/>
      <c r="Q507" s="195"/>
      <c r="R507" s="195"/>
      <c r="S507" s="196"/>
      <c r="T507" s="108"/>
    </row>
    <row r="508" spans="2:20" s="109" customFormat="1" x14ac:dyDescent="0.2">
      <c r="B508" s="110" t="s">
        <v>19</v>
      </c>
      <c r="C508" s="111"/>
      <c r="D508" s="111"/>
      <c r="E508" s="111"/>
      <c r="F508" s="111"/>
      <c r="G508" s="34"/>
      <c r="H508" s="112"/>
      <c r="I508" s="113"/>
      <c r="J508" s="114"/>
      <c r="K508" s="115"/>
      <c r="L508" s="116"/>
      <c r="M508" s="117"/>
      <c r="N508" s="118"/>
      <c r="O508" s="117"/>
      <c r="P508" s="117"/>
      <c r="Q508" s="117"/>
      <c r="R508" s="119"/>
      <c r="S508" s="120"/>
      <c r="T508" s="95"/>
    </row>
    <row r="509" spans="2:20" s="64" customFormat="1" x14ac:dyDescent="0.2">
      <c r="B509" s="24" t="s">
        <v>301</v>
      </c>
      <c r="C509" s="41" t="s">
        <v>23</v>
      </c>
      <c r="D509" s="22" t="s">
        <v>24</v>
      </c>
      <c r="E509" s="22" t="s">
        <v>65</v>
      </c>
      <c r="F509" s="22" t="s">
        <v>58</v>
      </c>
      <c r="G509" s="42">
        <v>1287</v>
      </c>
      <c r="H509" s="14">
        <v>821</v>
      </c>
      <c r="I509" s="14">
        <v>82.1</v>
      </c>
      <c r="J509" s="215">
        <v>2.75</v>
      </c>
      <c r="K509" s="5">
        <f t="shared" ref="K509:K511" si="286">H509*1.27</f>
        <v>1042.67</v>
      </c>
      <c r="L509" s="5">
        <f t="shared" ref="L509:L511" si="287">IF(K509&lt;=G509,K509,G509)</f>
        <v>1042.67</v>
      </c>
      <c r="M509" s="122">
        <f t="shared" ref="M509:M511" si="288">N509-I509</f>
        <v>22.167000000000002</v>
      </c>
      <c r="N509" s="123">
        <f t="shared" ref="N509:N511" si="289">I509/H509*L509</f>
        <v>104.267</v>
      </c>
      <c r="O509" s="5">
        <f t="shared" ref="O509:O511" si="290">L509-H509+M509</f>
        <v>243.83700000000007</v>
      </c>
      <c r="P509" s="123">
        <f t="shared" ref="P509:P511" si="291">O509*J509</f>
        <v>670.5517500000002</v>
      </c>
      <c r="Q509" s="124">
        <f t="shared" ref="Q509:Q511" si="292">P509*12</f>
        <v>8046.6210000000028</v>
      </c>
      <c r="R509" s="124">
        <f t="shared" ref="R509:R511" si="293">Q509*0.2409</f>
        <v>1938.4309989000008</v>
      </c>
      <c r="S509" s="125">
        <f t="shared" ref="S509:S511" si="294">Q509+R509</f>
        <v>9985.051998900004</v>
      </c>
      <c r="T509" s="82"/>
    </row>
    <row r="510" spans="2:20" s="64" customFormat="1" x14ac:dyDescent="0.2">
      <c r="B510" s="24" t="s">
        <v>324</v>
      </c>
      <c r="C510" s="41" t="s">
        <v>23</v>
      </c>
      <c r="D510" s="22" t="s">
        <v>24</v>
      </c>
      <c r="E510" s="22" t="s">
        <v>65</v>
      </c>
      <c r="F510" s="22" t="s">
        <v>58</v>
      </c>
      <c r="G510" s="42">
        <v>1287</v>
      </c>
      <c r="H510" s="14">
        <v>821</v>
      </c>
      <c r="I510" s="14">
        <v>82.1</v>
      </c>
      <c r="J510" s="215">
        <v>1</v>
      </c>
      <c r="K510" s="5">
        <f t="shared" si="286"/>
        <v>1042.67</v>
      </c>
      <c r="L510" s="5">
        <f t="shared" si="287"/>
        <v>1042.67</v>
      </c>
      <c r="M510" s="122">
        <f t="shared" si="288"/>
        <v>22.167000000000002</v>
      </c>
      <c r="N510" s="123">
        <f t="shared" si="289"/>
        <v>104.267</v>
      </c>
      <c r="O510" s="5">
        <f t="shared" si="290"/>
        <v>243.83700000000007</v>
      </c>
      <c r="P510" s="123">
        <f t="shared" si="291"/>
        <v>243.83700000000007</v>
      </c>
      <c r="Q510" s="124">
        <f t="shared" si="292"/>
        <v>2926.0440000000008</v>
      </c>
      <c r="R510" s="124">
        <f t="shared" si="293"/>
        <v>704.88399960000015</v>
      </c>
      <c r="S510" s="125">
        <f t="shared" si="294"/>
        <v>3630.9279996000009</v>
      </c>
      <c r="T510" s="82"/>
    </row>
    <row r="511" spans="2:20" s="64" customFormat="1" x14ac:dyDescent="0.2">
      <c r="B511" s="24" t="s">
        <v>277</v>
      </c>
      <c r="C511" s="41" t="s">
        <v>23</v>
      </c>
      <c r="D511" s="22" t="s">
        <v>38</v>
      </c>
      <c r="E511" s="22" t="s">
        <v>74</v>
      </c>
      <c r="F511" s="22" t="s">
        <v>58</v>
      </c>
      <c r="G511" s="42">
        <v>1190</v>
      </c>
      <c r="H511" s="14">
        <v>711</v>
      </c>
      <c r="I511" s="14">
        <v>71.099999999999994</v>
      </c>
      <c r="J511" s="215">
        <v>0.5</v>
      </c>
      <c r="K511" s="5">
        <f t="shared" si="286"/>
        <v>902.97</v>
      </c>
      <c r="L511" s="5">
        <f t="shared" si="287"/>
        <v>902.97</v>
      </c>
      <c r="M511" s="122">
        <f t="shared" si="288"/>
        <v>19.197000000000003</v>
      </c>
      <c r="N511" s="123">
        <f t="shared" si="289"/>
        <v>90.296999999999997</v>
      </c>
      <c r="O511" s="5">
        <f t="shared" si="290"/>
        <v>211.16700000000003</v>
      </c>
      <c r="P511" s="123">
        <f t="shared" si="291"/>
        <v>105.58350000000002</v>
      </c>
      <c r="Q511" s="124">
        <f t="shared" si="292"/>
        <v>1267.0020000000002</v>
      </c>
      <c r="R511" s="124">
        <f t="shared" si="293"/>
        <v>305.22078180000005</v>
      </c>
      <c r="S511" s="125">
        <f t="shared" si="294"/>
        <v>1572.2227818000001</v>
      </c>
      <c r="T511" s="82"/>
    </row>
    <row r="512" spans="2:20" s="52" customFormat="1" x14ac:dyDescent="0.25">
      <c r="B512" s="53" t="s">
        <v>39</v>
      </c>
      <c r="C512" s="54"/>
      <c r="D512" s="54"/>
      <c r="E512" s="54"/>
      <c r="F512" s="55"/>
      <c r="G512" s="56"/>
      <c r="H512" s="6"/>
      <c r="I512" s="7"/>
      <c r="J512" s="67">
        <f>SUM(J509:J511)</f>
        <v>4.25</v>
      </c>
      <c r="K512" s="58"/>
      <c r="L512" s="7"/>
      <c r="M512" s="59"/>
      <c r="N512" s="57"/>
      <c r="O512" s="7"/>
      <c r="P512" s="57"/>
      <c r="Q512" s="60">
        <f t="shared" ref="Q512:S512" si="295">SUM(Q509:Q511)</f>
        <v>12239.667000000005</v>
      </c>
      <c r="R512" s="60">
        <f t="shared" si="295"/>
        <v>2948.5357803000011</v>
      </c>
      <c r="S512" s="61">
        <f t="shared" si="295"/>
        <v>15188.202780300006</v>
      </c>
      <c r="T512" s="127"/>
    </row>
    <row r="513" spans="2:20" s="109" customFormat="1" x14ac:dyDescent="0.2">
      <c r="B513" s="110" t="s">
        <v>40</v>
      </c>
      <c r="C513" s="111"/>
      <c r="D513" s="111"/>
      <c r="E513" s="111"/>
      <c r="F513" s="111"/>
      <c r="G513" s="13"/>
      <c r="H513" s="112"/>
      <c r="I513" s="113"/>
      <c r="J513" s="114"/>
      <c r="K513" s="115"/>
      <c r="L513" s="116"/>
      <c r="M513" s="117"/>
      <c r="N513" s="118"/>
      <c r="O513" s="117"/>
      <c r="P513" s="117"/>
      <c r="Q513" s="117"/>
      <c r="R513" s="119"/>
      <c r="S513" s="120"/>
      <c r="T513" s="95"/>
    </row>
    <row r="514" spans="2:20" s="64" customFormat="1" ht="25.5" x14ac:dyDescent="0.2">
      <c r="B514" s="23" t="s">
        <v>330</v>
      </c>
      <c r="C514" s="41" t="s">
        <v>331</v>
      </c>
      <c r="D514" s="22" t="s">
        <v>130</v>
      </c>
      <c r="E514" s="22" t="s">
        <v>78</v>
      </c>
      <c r="F514" s="22" t="s">
        <v>58</v>
      </c>
      <c r="G514" s="42">
        <v>1093</v>
      </c>
      <c r="H514" s="14">
        <v>726</v>
      </c>
      <c r="I514" s="14">
        <v>72.599999999999994</v>
      </c>
      <c r="J514" s="215">
        <v>5</v>
      </c>
      <c r="K514" s="5">
        <f t="shared" ref="K514:K516" si="296">H514*1.27</f>
        <v>922.02</v>
      </c>
      <c r="L514" s="5">
        <f t="shared" ref="L514:L516" si="297">IF(K514&lt;=G514,K514,G514)</f>
        <v>922.02</v>
      </c>
      <c r="M514" s="122">
        <f t="shared" ref="M514:M516" si="298">N514-I514</f>
        <v>19.60199999999999</v>
      </c>
      <c r="N514" s="123">
        <f t="shared" ref="N514:N516" si="299">I514/H514*L514</f>
        <v>92.201999999999984</v>
      </c>
      <c r="O514" s="5">
        <f t="shared" ref="O514:O516" si="300">L514-H514+M514</f>
        <v>215.62199999999996</v>
      </c>
      <c r="P514" s="123">
        <f t="shared" ref="P514:P516" si="301">O514*J514</f>
        <v>1078.1099999999997</v>
      </c>
      <c r="Q514" s="124">
        <f t="shared" ref="Q514:Q516" si="302">P514*12</f>
        <v>12937.319999999996</v>
      </c>
      <c r="R514" s="124">
        <f t="shared" ref="R514:R516" si="303">Q514*0.2409</f>
        <v>3116.6003879999989</v>
      </c>
      <c r="S514" s="125">
        <f t="shared" ref="S514:S516" si="304">Q514+R514</f>
        <v>16053.920387999995</v>
      </c>
      <c r="T514" s="82"/>
    </row>
    <row r="515" spans="2:20" s="64" customFormat="1" x14ac:dyDescent="0.2">
      <c r="B515" s="24" t="s">
        <v>167</v>
      </c>
      <c r="C515" s="41" t="s">
        <v>42</v>
      </c>
      <c r="D515" s="22" t="s">
        <v>24</v>
      </c>
      <c r="E515" s="22" t="s">
        <v>83</v>
      </c>
      <c r="F515" s="22" t="s">
        <v>58</v>
      </c>
      <c r="G515" s="42">
        <v>996</v>
      </c>
      <c r="H515" s="14">
        <v>562</v>
      </c>
      <c r="I515" s="14">
        <v>56.2</v>
      </c>
      <c r="J515" s="215">
        <v>22.4</v>
      </c>
      <c r="K515" s="5">
        <f t="shared" si="296"/>
        <v>713.74</v>
      </c>
      <c r="L515" s="5">
        <f t="shared" si="297"/>
        <v>713.74</v>
      </c>
      <c r="M515" s="122">
        <f t="shared" si="298"/>
        <v>15.174000000000007</v>
      </c>
      <c r="N515" s="123">
        <f t="shared" si="299"/>
        <v>71.374000000000009</v>
      </c>
      <c r="O515" s="5">
        <f t="shared" si="300"/>
        <v>166.91400000000002</v>
      </c>
      <c r="P515" s="123">
        <f t="shared" si="301"/>
        <v>3738.8735999999999</v>
      </c>
      <c r="Q515" s="124">
        <f t="shared" si="302"/>
        <v>44866.483200000002</v>
      </c>
      <c r="R515" s="124">
        <f t="shared" si="303"/>
        <v>10808.335802880001</v>
      </c>
      <c r="S515" s="125">
        <f t="shared" si="304"/>
        <v>55674.819002880002</v>
      </c>
      <c r="T515" s="82"/>
    </row>
    <row r="516" spans="2:20" s="64" customFormat="1" x14ac:dyDescent="0.2">
      <c r="B516" s="23" t="s">
        <v>166</v>
      </c>
      <c r="C516" s="41" t="s">
        <v>42</v>
      </c>
      <c r="D516" s="22" t="s">
        <v>25</v>
      </c>
      <c r="E516" s="22" t="s">
        <v>90</v>
      </c>
      <c r="F516" s="22" t="s">
        <v>58</v>
      </c>
      <c r="G516" s="42">
        <v>899</v>
      </c>
      <c r="H516" s="14">
        <v>498</v>
      </c>
      <c r="I516" s="14">
        <v>49.8</v>
      </c>
      <c r="J516" s="215">
        <v>7.75</v>
      </c>
      <c r="K516" s="5">
        <f t="shared" si="296"/>
        <v>632.46</v>
      </c>
      <c r="L516" s="5">
        <f t="shared" si="297"/>
        <v>632.46</v>
      </c>
      <c r="M516" s="122">
        <f t="shared" si="298"/>
        <v>13.445999999999998</v>
      </c>
      <c r="N516" s="123">
        <f t="shared" si="299"/>
        <v>63.245999999999995</v>
      </c>
      <c r="O516" s="5">
        <f t="shared" si="300"/>
        <v>147.90600000000003</v>
      </c>
      <c r="P516" s="123">
        <f t="shared" si="301"/>
        <v>1146.2715000000003</v>
      </c>
      <c r="Q516" s="124">
        <f t="shared" si="302"/>
        <v>13755.258000000003</v>
      </c>
      <c r="R516" s="124">
        <f t="shared" si="303"/>
        <v>3313.6416522000009</v>
      </c>
      <c r="S516" s="125">
        <f t="shared" si="304"/>
        <v>17068.899652200005</v>
      </c>
      <c r="T516" s="82"/>
    </row>
    <row r="517" spans="2:20" s="52" customFormat="1" x14ac:dyDescent="0.25">
      <c r="B517" s="53" t="s">
        <v>39</v>
      </c>
      <c r="C517" s="54"/>
      <c r="D517" s="54"/>
      <c r="E517" s="54"/>
      <c r="F517" s="55"/>
      <c r="G517" s="56"/>
      <c r="H517" s="6"/>
      <c r="I517" s="7"/>
      <c r="J517" s="67">
        <f>SUM(J514:J516)</f>
        <v>35.15</v>
      </c>
      <c r="K517" s="58"/>
      <c r="L517" s="7"/>
      <c r="M517" s="59"/>
      <c r="N517" s="57"/>
      <c r="O517" s="7"/>
      <c r="P517" s="57"/>
      <c r="Q517" s="60">
        <f t="shared" ref="Q517:S517" si="305">SUM(Q514:Q516)</f>
        <v>71559.061199999996</v>
      </c>
      <c r="R517" s="60">
        <f t="shared" si="305"/>
        <v>17238.577843080002</v>
      </c>
      <c r="S517" s="61">
        <f t="shared" si="305"/>
        <v>88797.639043080009</v>
      </c>
      <c r="T517" s="127"/>
    </row>
    <row r="518" spans="2:20" s="109" customFormat="1" x14ac:dyDescent="0.2">
      <c r="B518" s="110" t="s">
        <v>94</v>
      </c>
      <c r="C518" s="111"/>
      <c r="D518" s="111"/>
      <c r="E518" s="111"/>
      <c r="F518" s="111"/>
      <c r="G518" s="13"/>
      <c r="H518" s="112"/>
      <c r="I518" s="113"/>
      <c r="J518" s="114"/>
      <c r="K518" s="115"/>
      <c r="L518" s="116"/>
      <c r="M518" s="117"/>
      <c r="N518" s="118"/>
      <c r="O518" s="117"/>
      <c r="P518" s="117"/>
      <c r="Q518" s="117"/>
      <c r="R518" s="119"/>
      <c r="S518" s="120"/>
      <c r="T518" s="95"/>
    </row>
    <row r="519" spans="2:20" s="64" customFormat="1" x14ac:dyDescent="0.2">
      <c r="B519" s="24" t="s">
        <v>315</v>
      </c>
      <c r="C519" s="41" t="s">
        <v>42</v>
      </c>
      <c r="D519" s="22" t="s">
        <v>80</v>
      </c>
      <c r="E519" s="22" t="s">
        <v>58</v>
      </c>
      <c r="F519" s="22" t="s">
        <v>58</v>
      </c>
      <c r="G519" s="42">
        <v>608</v>
      </c>
      <c r="H519" s="14">
        <v>406</v>
      </c>
      <c r="I519" s="14">
        <v>40.6</v>
      </c>
      <c r="J519" s="215">
        <v>0.5</v>
      </c>
      <c r="K519" s="5">
        <f t="shared" ref="K519" si="306">H519*1.27</f>
        <v>515.62</v>
      </c>
      <c r="L519" s="5">
        <f t="shared" ref="L519" si="307">IF(K519&lt;=G519,K519,G519)</f>
        <v>515.62</v>
      </c>
      <c r="M519" s="122">
        <f t="shared" ref="M519" si="308">N519-I519</f>
        <v>10.962000000000003</v>
      </c>
      <c r="N519" s="123">
        <f t="shared" ref="N519" si="309">I519/H519*L519</f>
        <v>51.562000000000005</v>
      </c>
      <c r="O519" s="5">
        <f t="shared" ref="O519" si="310">L519-H519+M519</f>
        <v>120.58200000000001</v>
      </c>
      <c r="P519" s="123">
        <f t="shared" ref="P519" si="311">O519*J519</f>
        <v>60.291000000000004</v>
      </c>
      <c r="Q519" s="124">
        <f t="shared" ref="Q519" si="312">P519*12</f>
        <v>723.49200000000008</v>
      </c>
      <c r="R519" s="124">
        <f t="shared" ref="R519" si="313">Q519*0.2409</f>
        <v>174.28922280000003</v>
      </c>
      <c r="S519" s="125">
        <f t="shared" ref="S519" si="314">Q519+R519</f>
        <v>897.78122280000014</v>
      </c>
      <c r="T519" s="82"/>
    </row>
    <row r="520" spans="2:20" s="52" customFormat="1" x14ac:dyDescent="0.25">
      <c r="B520" s="53" t="s">
        <v>39</v>
      </c>
      <c r="C520" s="54"/>
      <c r="D520" s="54"/>
      <c r="E520" s="54"/>
      <c r="F520" s="55"/>
      <c r="G520" s="56"/>
      <c r="H520" s="6"/>
      <c r="I520" s="7"/>
      <c r="J520" s="67">
        <f>J519</f>
        <v>0.5</v>
      </c>
      <c r="K520" s="58"/>
      <c r="L520" s="7"/>
      <c r="M520" s="59"/>
      <c r="N520" s="57"/>
      <c r="O520" s="7"/>
      <c r="P520" s="57"/>
      <c r="Q520" s="60">
        <f t="shared" ref="Q520:S520" si="315">Q519</f>
        <v>723.49200000000008</v>
      </c>
      <c r="R520" s="60">
        <f t="shared" si="315"/>
        <v>174.28922280000003</v>
      </c>
      <c r="S520" s="61">
        <f t="shared" si="315"/>
        <v>897.78122280000014</v>
      </c>
      <c r="T520" s="127"/>
    </row>
    <row r="521" spans="2:20" s="64" customFormat="1" ht="14.25" thickBot="1" x14ac:dyDescent="0.25">
      <c r="B521" s="208" t="s">
        <v>332</v>
      </c>
      <c r="C521" s="209"/>
      <c r="D521" s="210"/>
      <c r="E521" s="210"/>
      <c r="F521" s="210"/>
      <c r="G521" s="211"/>
      <c r="H521" s="212"/>
      <c r="I521" s="212"/>
      <c r="J521" s="213">
        <f>J512+J517+J520</f>
        <v>39.9</v>
      </c>
      <c r="K521" s="204"/>
      <c r="L521" s="205"/>
      <c r="M521" s="205"/>
      <c r="N521" s="205"/>
      <c r="O521" s="205"/>
      <c r="P521" s="205"/>
      <c r="Q521" s="206">
        <f t="shared" ref="Q521:S521" si="316">Q512+Q517+Q520</f>
        <v>84522.220199999996</v>
      </c>
      <c r="R521" s="206">
        <f t="shared" si="316"/>
        <v>20361.402846180001</v>
      </c>
      <c r="S521" s="214">
        <f t="shared" si="316"/>
        <v>104883.62304618002</v>
      </c>
      <c r="T521" s="82"/>
    </row>
    <row r="522" spans="2:20" s="98" customFormat="1" ht="14.25" thickTop="1" x14ac:dyDescent="0.25">
      <c r="B522" s="156" t="s">
        <v>333</v>
      </c>
      <c r="C522" s="162"/>
      <c r="D522" s="158"/>
      <c r="E522" s="158"/>
      <c r="F522" s="158"/>
      <c r="G522" s="159"/>
      <c r="H522" s="160"/>
      <c r="I522" s="160"/>
      <c r="J522" s="161"/>
      <c r="K522" s="18"/>
      <c r="L522" s="394"/>
      <c r="M522" s="216"/>
      <c r="N522" s="217"/>
      <c r="O522" s="43"/>
      <c r="P522" s="217"/>
      <c r="Q522" s="218"/>
      <c r="R522" s="218"/>
      <c r="S522" s="219"/>
      <c r="T522" s="108"/>
    </row>
    <row r="523" spans="2:20" s="109" customFormat="1" x14ac:dyDescent="0.2">
      <c r="B523" s="110" t="s">
        <v>19</v>
      </c>
      <c r="C523" s="111"/>
      <c r="D523" s="111"/>
      <c r="E523" s="111"/>
      <c r="F523" s="111"/>
      <c r="G523" s="34"/>
      <c r="H523" s="112"/>
      <c r="I523" s="113"/>
      <c r="J523" s="114"/>
      <c r="K523" s="115"/>
      <c r="L523" s="116"/>
      <c r="M523" s="117"/>
      <c r="N523" s="118"/>
      <c r="O523" s="117"/>
      <c r="P523" s="117"/>
      <c r="Q523" s="117"/>
      <c r="R523" s="119"/>
      <c r="S523" s="120"/>
      <c r="T523" s="95"/>
    </row>
    <row r="524" spans="2:20" s="64" customFormat="1" x14ac:dyDescent="0.2">
      <c r="B524" s="220" t="s">
        <v>334</v>
      </c>
      <c r="C524" s="221" t="s">
        <v>298</v>
      </c>
      <c r="D524" s="222" t="s">
        <v>38</v>
      </c>
      <c r="E524" s="223" t="s">
        <v>74</v>
      </c>
      <c r="F524" s="224" t="s">
        <v>210</v>
      </c>
      <c r="G524" s="42">
        <v>835</v>
      </c>
      <c r="H524" s="141">
        <v>530</v>
      </c>
      <c r="I524" s="141">
        <v>53</v>
      </c>
      <c r="J524" s="142">
        <v>3</v>
      </c>
      <c r="K524" s="5">
        <f t="shared" ref="K524:K530" si="317">H524*1.27</f>
        <v>673.1</v>
      </c>
      <c r="L524" s="5">
        <f t="shared" ref="L524:L530" si="318">IF(K524&lt;=G524,K524,G524)</f>
        <v>673.1</v>
      </c>
      <c r="M524" s="122">
        <f t="shared" ref="M524:M530" si="319">N524-I524</f>
        <v>14.310000000000002</v>
      </c>
      <c r="N524" s="123">
        <f t="shared" ref="N524:N530" si="320">I524/H524*L524</f>
        <v>67.31</v>
      </c>
      <c r="O524" s="5">
        <f t="shared" ref="O524:O530" si="321">L524-H524+M524</f>
        <v>157.41000000000003</v>
      </c>
      <c r="P524" s="123">
        <f t="shared" ref="P524:P530" si="322">O524*J524</f>
        <v>472.23000000000008</v>
      </c>
      <c r="Q524" s="124">
        <f t="shared" ref="Q524:Q530" si="323">P524*12</f>
        <v>5666.7600000000011</v>
      </c>
      <c r="R524" s="124">
        <f t="shared" ref="R524:R530" si="324">Q524*0.2409</f>
        <v>1365.1224840000002</v>
      </c>
      <c r="S524" s="125">
        <f t="shared" ref="S524:S530" si="325">Q524+R524</f>
        <v>7031.8824840000016</v>
      </c>
      <c r="T524" s="82"/>
    </row>
    <row r="525" spans="2:20" s="64" customFormat="1" x14ac:dyDescent="0.2">
      <c r="B525" s="220" t="s">
        <v>277</v>
      </c>
      <c r="C525" s="221" t="s">
        <v>298</v>
      </c>
      <c r="D525" s="222" t="s">
        <v>38</v>
      </c>
      <c r="E525" s="223" t="s">
        <v>74</v>
      </c>
      <c r="F525" s="224" t="s">
        <v>91</v>
      </c>
      <c r="G525" s="42">
        <v>1015</v>
      </c>
      <c r="H525" s="141">
        <v>609</v>
      </c>
      <c r="I525" s="141">
        <v>60.9</v>
      </c>
      <c r="J525" s="142">
        <v>1</v>
      </c>
      <c r="K525" s="5">
        <f t="shared" si="317"/>
        <v>773.43000000000006</v>
      </c>
      <c r="L525" s="5">
        <f t="shared" si="318"/>
        <v>773.43000000000006</v>
      </c>
      <c r="M525" s="122">
        <f t="shared" si="319"/>
        <v>16.443000000000005</v>
      </c>
      <c r="N525" s="123">
        <f t="shared" si="320"/>
        <v>77.343000000000004</v>
      </c>
      <c r="O525" s="5">
        <f t="shared" si="321"/>
        <v>180.87300000000008</v>
      </c>
      <c r="P525" s="123">
        <f t="shared" si="322"/>
        <v>180.87300000000008</v>
      </c>
      <c r="Q525" s="124">
        <f t="shared" si="323"/>
        <v>2170.476000000001</v>
      </c>
      <c r="R525" s="124">
        <f t="shared" si="324"/>
        <v>522.8676684000003</v>
      </c>
      <c r="S525" s="125">
        <f t="shared" si="325"/>
        <v>2693.3436684000012</v>
      </c>
      <c r="T525" s="82"/>
    </row>
    <row r="526" spans="2:20" s="64" customFormat="1" x14ac:dyDescent="0.2">
      <c r="B526" s="220" t="s">
        <v>277</v>
      </c>
      <c r="C526" s="222" t="s">
        <v>298</v>
      </c>
      <c r="D526" s="222" t="s">
        <v>38</v>
      </c>
      <c r="E526" s="222" t="s">
        <v>74</v>
      </c>
      <c r="F526" s="224" t="s">
        <v>58</v>
      </c>
      <c r="G526" s="42">
        <v>1190</v>
      </c>
      <c r="H526" s="141">
        <v>695</v>
      </c>
      <c r="I526" s="141">
        <v>69.5</v>
      </c>
      <c r="J526" s="142">
        <v>7</v>
      </c>
      <c r="K526" s="5">
        <f t="shared" si="317"/>
        <v>882.65</v>
      </c>
      <c r="L526" s="5">
        <f t="shared" si="318"/>
        <v>882.65</v>
      </c>
      <c r="M526" s="122">
        <f t="shared" si="319"/>
        <v>18.765000000000001</v>
      </c>
      <c r="N526" s="123">
        <f t="shared" si="320"/>
        <v>88.265000000000001</v>
      </c>
      <c r="O526" s="5">
        <f t="shared" si="321"/>
        <v>206.41499999999996</v>
      </c>
      <c r="P526" s="123">
        <f t="shared" si="322"/>
        <v>1444.9049999999997</v>
      </c>
      <c r="Q526" s="124">
        <f t="shared" si="323"/>
        <v>17338.859999999997</v>
      </c>
      <c r="R526" s="124">
        <f t="shared" si="324"/>
        <v>4176.9313739999989</v>
      </c>
      <c r="S526" s="125">
        <f t="shared" si="325"/>
        <v>21515.791373999997</v>
      </c>
      <c r="T526" s="82"/>
    </row>
    <row r="527" spans="2:20" s="64" customFormat="1" x14ac:dyDescent="0.2">
      <c r="B527" s="225" t="s">
        <v>301</v>
      </c>
      <c r="C527" s="222" t="s">
        <v>298</v>
      </c>
      <c r="D527" s="226" t="s">
        <v>335</v>
      </c>
      <c r="E527" s="226">
        <v>10</v>
      </c>
      <c r="F527" s="227" t="s">
        <v>58</v>
      </c>
      <c r="G527" s="42">
        <v>1287</v>
      </c>
      <c r="H527" s="141">
        <v>812</v>
      </c>
      <c r="I527" s="141">
        <v>0</v>
      </c>
      <c r="J527" s="142">
        <v>1</v>
      </c>
      <c r="K527" s="5">
        <f t="shared" si="317"/>
        <v>1031.24</v>
      </c>
      <c r="L527" s="5">
        <f t="shared" si="318"/>
        <v>1031.24</v>
      </c>
      <c r="M527" s="122">
        <f t="shared" si="319"/>
        <v>0</v>
      </c>
      <c r="N527" s="123">
        <f t="shared" si="320"/>
        <v>0</v>
      </c>
      <c r="O527" s="5">
        <f t="shared" si="321"/>
        <v>219.24</v>
      </c>
      <c r="P527" s="123">
        <f t="shared" si="322"/>
        <v>219.24</v>
      </c>
      <c r="Q527" s="124">
        <f t="shared" si="323"/>
        <v>2630.88</v>
      </c>
      <c r="R527" s="124">
        <f t="shared" si="324"/>
        <v>633.77899200000002</v>
      </c>
      <c r="S527" s="125">
        <f t="shared" si="325"/>
        <v>3264.6589920000001</v>
      </c>
      <c r="T527" s="82"/>
    </row>
    <row r="528" spans="2:20" s="64" customFormat="1" x14ac:dyDescent="0.2">
      <c r="B528" s="225" t="s">
        <v>301</v>
      </c>
      <c r="C528" s="222" t="s">
        <v>298</v>
      </c>
      <c r="D528" s="226" t="s">
        <v>335</v>
      </c>
      <c r="E528" s="226">
        <v>10</v>
      </c>
      <c r="F528" s="227" t="s">
        <v>58</v>
      </c>
      <c r="G528" s="42">
        <v>1287</v>
      </c>
      <c r="H528" s="141">
        <v>812</v>
      </c>
      <c r="I528" s="141">
        <v>0</v>
      </c>
      <c r="J528" s="142">
        <v>1</v>
      </c>
      <c r="K528" s="5">
        <f t="shared" si="317"/>
        <v>1031.24</v>
      </c>
      <c r="L528" s="5">
        <f t="shared" si="318"/>
        <v>1031.24</v>
      </c>
      <c r="M528" s="122">
        <f t="shared" si="319"/>
        <v>0</v>
      </c>
      <c r="N528" s="123">
        <f t="shared" si="320"/>
        <v>0</v>
      </c>
      <c r="O528" s="5">
        <f t="shared" si="321"/>
        <v>219.24</v>
      </c>
      <c r="P528" s="123">
        <f t="shared" si="322"/>
        <v>219.24</v>
      </c>
      <c r="Q528" s="124">
        <f t="shared" si="323"/>
        <v>2630.88</v>
      </c>
      <c r="R528" s="124">
        <f t="shared" si="324"/>
        <v>633.77899200000002</v>
      </c>
      <c r="S528" s="125">
        <f t="shared" si="325"/>
        <v>3264.6589920000001</v>
      </c>
      <c r="T528" s="82"/>
    </row>
    <row r="529" spans="2:20" s="64" customFormat="1" x14ac:dyDescent="0.2">
      <c r="B529" s="225" t="s">
        <v>301</v>
      </c>
      <c r="C529" s="222" t="s">
        <v>298</v>
      </c>
      <c r="D529" s="226" t="s">
        <v>335</v>
      </c>
      <c r="E529" s="226">
        <v>10</v>
      </c>
      <c r="F529" s="227" t="s">
        <v>58</v>
      </c>
      <c r="G529" s="42">
        <v>1287</v>
      </c>
      <c r="H529" s="141">
        <v>812</v>
      </c>
      <c r="I529" s="141">
        <v>0</v>
      </c>
      <c r="J529" s="142">
        <v>1</v>
      </c>
      <c r="K529" s="5">
        <f t="shared" si="317"/>
        <v>1031.24</v>
      </c>
      <c r="L529" s="5">
        <f t="shared" si="318"/>
        <v>1031.24</v>
      </c>
      <c r="M529" s="122">
        <f t="shared" si="319"/>
        <v>0</v>
      </c>
      <c r="N529" s="123">
        <f t="shared" si="320"/>
        <v>0</v>
      </c>
      <c r="O529" s="5">
        <f t="shared" si="321"/>
        <v>219.24</v>
      </c>
      <c r="P529" s="123">
        <f t="shared" si="322"/>
        <v>219.24</v>
      </c>
      <c r="Q529" s="124">
        <f t="shared" si="323"/>
        <v>2630.88</v>
      </c>
      <c r="R529" s="124">
        <f t="shared" si="324"/>
        <v>633.77899200000002</v>
      </c>
      <c r="S529" s="125">
        <f t="shared" si="325"/>
        <v>3264.6589920000001</v>
      </c>
      <c r="T529" s="82"/>
    </row>
    <row r="530" spans="2:20" s="64" customFormat="1" x14ac:dyDescent="0.2">
      <c r="B530" s="228" t="s">
        <v>325</v>
      </c>
      <c r="C530" s="229" t="s">
        <v>298</v>
      </c>
      <c r="D530" s="222" t="s">
        <v>335</v>
      </c>
      <c r="E530" s="230">
        <v>10</v>
      </c>
      <c r="F530" s="229" t="s">
        <v>58</v>
      </c>
      <c r="G530" s="42">
        <v>1287</v>
      </c>
      <c r="H530" s="141">
        <v>812</v>
      </c>
      <c r="I530" s="141">
        <v>0</v>
      </c>
      <c r="J530" s="142">
        <v>1</v>
      </c>
      <c r="K530" s="5">
        <f t="shared" si="317"/>
        <v>1031.24</v>
      </c>
      <c r="L530" s="5">
        <f t="shared" si="318"/>
        <v>1031.24</v>
      </c>
      <c r="M530" s="122">
        <f t="shared" si="319"/>
        <v>0</v>
      </c>
      <c r="N530" s="123">
        <f t="shared" si="320"/>
        <v>0</v>
      </c>
      <c r="O530" s="5">
        <f t="shared" si="321"/>
        <v>219.24</v>
      </c>
      <c r="P530" s="123">
        <f t="shared" si="322"/>
        <v>219.24</v>
      </c>
      <c r="Q530" s="124">
        <f t="shared" si="323"/>
        <v>2630.88</v>
      </c>
      <c r="R530" s="124">
        <f t="shared" si="324"/>
        <v>633.77899200000002</v>
      </c>
      <c r="S530" s="125">
        <f t="shared" si="325"/>
        <v>3264.6589920000001</v>
      </c>
      <c r="T530" s="82"/>
    </row>
    <row r="531" spans="2:20" s="52" customFormat="1" x14ac:dyDescent="0.25">
      <c r="B531" s="53" t="s">
        <v>39</v>
      </c>
      <c r="C531" s="54"/>
      <c r="D531" s="54"/>
      <c r="E531" s="54"/>
      <c r="F531" s="55"/>
      <c r="G531" s="56"/>
      <c r="H531" s="6"/>
      <c r="I531" s="7"/>
      <c r="J531" s="67">
        <f>SUM(J524:J530)</f>
        <v>15</v>
      </c>
      <c r="K531" s="58"/>
      <c r="L531" s="7"/>
      <c r="M531" s="59"/>
      <c r="N531" s="57"/>
      <c r="O531" s="7"/>
      <c r="P531" s="57"/>
      <c r="Q531" s="60">
        <f t="shared" ref="Q531:S531" si="326">SUM(Q524:Q530)</f>
        <v>35699.615999999995</v>
      </c>
      <c r="R531" s="60">
        <f t="shared" si="326"/>
        <v>8600.0374943999977</v>
      </c>
      <c r="S531" s="61">
        <f t="shared" si="326"/>
        <v>44299.653494399987</v>
      </c>
      <c r="T531" s="127"/>
    </row>
    <row r="532" spans="2:20" s="109" customFormat="1" x14ac:dyDescent="0.2">
      <c r="B532" s="110" t="s">
        <v>40</v>
      </c>
      <c r="C532" s="111"/>
      <c r="D532" s="111"/>
      <c r="E532" s="111"/>
      <c r="F532" s="111"/>
      <c r="G532" s="13"/>
      <c r="H532" s="112"/>
      <c r="I532" s="113"/>
      <c r="J532" s="114"/>
      <c r="K532" s="115"/>
      <c r="L532" s="116"/>
      <c r="M532" s="117"/>
      <c r="N532" s="118"/>
      <c r="O532" s="117"/>
      <c r="P532" s="117"/>
      <c r="Q532" s="117"/>
      <c r="R532" s="119"/>
      <c r="S532" s="120"/>
      <c r="T532" s="95"/>
    </row>
    <row r="533" spans="2:20" s="64" customFormat="1" x14ac:dyDescent="0.2">
      <c r="B533" s="231" t="s">
        <v>284</v>
      </c>
      <c r="C533" s="232" t="s">
        <v>298</v>
      </c>
      <c r="D533" s="233" t="s">
        <v>80</v>
      </c>
      <c r="E533" s="233" t="s">
        <v>78</v>
      </c>
      <c r="F533" s="233" t="s">
        <v>58</v>
      </c>
      <c r="G533" s="42">
        <v>1093</v>
      </c>
      <c r="H533" s="14">
        <v>612</v>
      </c>
      <c r="I533" s="14">
        <v>61.2</v>
      </c>
      <c r="J533" s="121">
        <v>3</v>
      </c>
      <c r="K533" s="5">
        <f t="shared" ref="K533:K542" si="327">H533*1.27</f>
        <v>777.24</v>
      </c>
      <c r="L533" s="5">
        <f t="shared" ref="L533:L542" si="328">IF(K533&lt;=G533,K533,G533)</f>
        <v>777.24</v>
      </c>
      <c r="M533" s="122">
        <f t="shared" ref="M533:M542" si="329">N533-I533</f>
        <v>16.524000000000001</v>
      </c>
      <c r="N533" s="123">
        <f t="shared" ref="N533:N542" si="330">I533/H533*L533</f>
        <v>77.724000000000004</v>
      </c>
      <c r="O533" s="5">
        <f t="shared" ref="O533:O542" si="331">L533-H533+M533</f>
        <v>181.76400000000001</v>
      </c>
      <c r="P533" s="123">
        <f t="shared" ref="P533:P542" si="332">O533*J533</f>
        <v>545.29200000000003</v>
      </c>
      <c r="Q533" s="124">
        <f t="shared" ref="Q533:Q542" si="333">P533*12</f>
        <v>6543.5040000000008</v>
      </c>
      <c r="R533" s="124">
        <f t="shared" ref="R533:R542" si="334">Q533*0.2409</f>
        <v>1576.3301136000002</v>
      </c>
      <c r="S533" s="125">
        <f t="shared" ref="S533:S542" si="335">Q533+R533</f>
        <v>8119.8341136000008</v>
      </c>
      <c r="T533" s="82"/>
    </row>
    <row r="534" spans="2:20" s="64" customFormat="1" x14ac:dyDescent="0.2">
      <c r="B534" s="220" t="s">
        <v>284</v>
      </c>
      <c r="C534" s="221" t="s">
        <v>298</v>
      </c>
      <c r="D534" s="222" t="s">
        <v>80</v>
      </c>
      <c r="E534" s="222" t="s">
        <v>78</v>
      </c>
      <c r="F534" s="224" t="s">
        <v>91</v>
      </c>
      <c r="G534" s="42">
        <v>920</v>
      </c>
      <c r="H534" s="141">
        <v>552</v>
      </c>
      <c r="I534" s="141">
        <v>55.2</v>
      </c>
      <c r="J534" s="142">
        <v>1</v>
      </c>
      <c r="K534" s="5">
        <f t="shared" si="327"/>
        <v>701.04</v>
      </c>
      <c r="L534" s="5">
        <f t="shared" si="328"/>
        <v>701.04</v>
      </c>
      <c r="M534" s="122">
        <f t="shared" si="329"/>
        <v>14.903999999999996</v>
      </c>
      <c r="N534" s="123">
        <f t="shared" si="330"/>
        <v>70.103999999999999</v>
      </c>
      <c r="O534" s="5">
        <f t="shared" si="331"/>
        <v>163.94399999999996</v>
      </c>
      <c r="P534" s="123">
        <f t="shared" si="332"/>
        <v>163.94399999999996</v>
      </c>
      <c r="Q534" s="124">
        <f t="shared" si="333"/>
        <v>1967.3279999999995</v>
      </c>
      <c r="R534" s="124">
        <f t="shared" si="334"/>
        <v>473.92931519999991</v>
      </c>
      <c r="S534" s="125">
        <f t="shared" si="335"/>
        <v>2441.2573151999995</v>
      </c>
      <c r="T534" s="82"/>
    </row>
    <row r="535" spans="2:20" s="64" customFormat="1" x14ac:dyDescent="0.2">
      <c r="B535" s="220" t="s">
        <v>86</v>
      </c>
      <c r="C535" s="222" t="s">
        <v>42</v>
      </c>
      <c r="D535" s="222" t="s">
        <v>24</v>
      </c>
      <c r="E535" s="222" t="s">
        <v>83</v>
      </c>
      <c r="F535" s="224" t="s">
        <v>58</v>
      </c>
      <c r="G535" s="42">
        <v>996</v>
      </c>
      <c r="H535" s="141">
        <v>570</v>
      </c>
      <c r="I535" s="141">
        <v>108.39</v>
      </c>
      <c r="J535" s="142">
        <v>22.5</v>
      </c>
      <c r="K535" s="5">
        <f t="shared" si="327"/>
        <v>723.9</v>
      </c>
      <c r="L535" s="5">
        <f t="shared" si="328"/>
        <v>723.9</v>
      </c>
      <c r="M535" s="122">
        <f t="shared" si="329"/>
        <v>29.265300000000011</v>
      </c>
      <c r="N535" s="123">
        <f t="shared" si="330"/>
        <v>137.65530000000001</v>
      </c>
      <c r="O535" s="5">
        <f t="shared" si="331"/>
        <v>183.1653</v>
      </c>
      <c r="P535" s="123">
        <f t="shared" si="332"/>
        <v>4121.2192500000001</v>
      </c>
      <c r="Q535" s="124">
        <f t="shared" si="333"/>
        <v>49454.631000000001</v>
      </c>
      <c r="R535" s="124">
        <f t="shared" si="334"/>
        <v>11913.6206079</v>
      </c>
      <c r="S535" s="125">
        <f t="shared" si="335"/>
        <v>61368.251607900005</v>
      </c>
      <c r="T535" s="82"/>
    </row>
    <row r="536" spans="2:20" s="64" customFormat="1" x14ac:dyDescent="0.2">
      <c r="B536" s="220" t="s">
        <v>166</v>
      </c>
      <c r="C536" s="222" t="s">
        <v>42</v>
      </c>
      <c r="D536" s="222" t="s">
        <v>25</v>
      </c>
      <c r="E536" s="222" t="s">
        <v>90</v>
      </c>
      <c r="F536" s="224" t="s">
        <v>210</v>
      </c>
      <c r="G536" s="42">
        <v>585</v>
      </c>
      <c r="H536" s="141">
        <v>430</v>
      </c>
      <c r="I536" s="141">
        <v>43</v>
      </c>
      <c r="J536" s="142">
        <v>1.6</v>
      </c>
      <c r="K536" s="5">
        <f t="shared" si="327"/>
        <v>546.1</v>
      </c>
      <c r="L536" s="5">
        <f t="shared" si="328"/>
        <v>546.1</v>
      </c>
      <c r="M536" s="122">
        <f t="shared" si="329"/>
        <v>11.610000000000007</v>
      </c>
      <c r="N536" s="123">
        <f>I536/H536*L536</f>
        <v>54.610000000000007</v>
      </c>
      <c r="O536" s="5">
        <f t="shared" si="331"/>
        <v>127.71000000000004</v>
      </c>
      <c r="P536" s="123">
        <f t="shared" si="332"/>
        <v>204.33600000000007</v>
      </c>
      <c r="Q536" s="124">
        <f t="shared" si="333"/>
        <v>2452.0320000000011</v>
      </c>
      <c r="R536" s="124">
        <f t="shared" si="334"/>
        <v>590.69450880000022</v>
      </c>
      <c r="S536" s="125">
        <f t="shared" si="335"/>
        <v>3042.7265088000013</v>
      </c>
      <c r="T536" s="82"/>
    </row>
    <row r="537" spans="2:20" s="64" customFormat="1" x14ac:dyDescent="0.2">
      <c r="B537" s="220" t="s">
        <v>166</v>
      </c>
      <c r="C537" s="222" t="s">
        <v>42</v>
      </c>
      <c r="D537" s="222" t="s">
        <v>25</v>
      </c>
      <c r="E537" s="222" t="s">
        <v>90</v>
      </c>
      <c r="F537" s="224" t="s">
        <v>91</v>
      </c>
      <c r="G537" s="42">
        <v>740</v>
      </c>
      <c r="H537" s="141">
        <v>485</v>
      </c>
      <c r="I537" s="141">
        <v>48.5</v>
      </c>
      <c r="J537" s="142">
        <v>1</v>
      </c>
      <c r="K537" s="5">
        <f t="shared" si="327"/>
        <v>615.95000000000005</v>
      </c>
      <c r="L537" s="5">
        <f t="shared" si="328"/>
        <v>615.95000000000005</v>
      </c>
      <c r="M537" s="122">
        <f t="shared" si="329"/>
        <v>13.095000000000006</v>
      </c>
      <c r="N537" s="123">
        <f t="shared" si="330"/>
        <v>61.595000000000006</v>
      </c>
      <c r="O537" s="5">
        <f t="shared" si="331"/>
        <v>144.04500000000004</v>
      </c>
      <c r="P537" s="123">
        <f t="shared" si="332"/>
        <v>144.04500000000004</v>
      </c>
      <c r="Q537" s="124">
        <f t="shared" si="333"/>
        <v>1728.5400000000004</v>
      </c>
      <c r="R537" s="124">
        <f t="shared" si="334"/>
        <v>416.4052860000001</v>
      </c>
      <c r="S537" s="125">
        <f t="shared" si="335"/>
        <v>2144.9452860000006</v>
      </c>
      <c r="T537" s="82"/>
    </row>
    <row r="538" spans="2:20" s="64" customFormat="1" x14ac:dyDescent="0.2">
      <c r="B538" s="220" t="s">
        <v>166</v>
      </c>
      <c r="C538" s="222" t="s">
        <v>42</v>
      </c>
      <c r="D538" s="222" t="s">
        <v>25</v>
      </c>
      <c r="E538" s="223" t="s">
        <v>90</v>
      </c>
      <c r="F538" s="224" t="s">
        <v>58</v>
      </c>
      <c r="G538" s="42">
        <v>899</v>
      </c>
      <c r="H538" s="141">
        <v>540</v>
      </c>
      <c r="I538" s="141">
        <v>80.25</v>
      </c>
      <c r="J538" s="142">
        <v>11.5</v>
      </c>
      <c r="K538" s="5">
        <f t="shared" si="327"/>
        <v>685.8</v>
      </c>
      <c r="L538" s="5">
        <f t="shared" si="328"/>
        <v>685.8</v>
      </c>
      <c r="M538" s="122">
        <f t="shared" si="329"/>
        <v>21.66749999999999</v>
      </c>
      <c r="N538" s="123">
        <f t="shared" si="330"/>
        <v>101.91749999999999</v>
      </c>
      <c r="O538" s="5">
        <f t="shared" si="331"/>
        <v>167.46749999999994</v>
      </c>
      <c r="P538" s="123">
        <f t="shared" si="332"/>
        <v>1925.8762499999993</v>
      </c>
      <c r="Q538" s="124">
        <f t="shared" si="333"/>
        <v>23110.514999999992</v>
      </c>
      <c r="R538" s="124">
        <f t="shared" si="334"/>
        <v>5567.3230634999982</v>
      </c>
      <c r="S538" s="125">
        <f t="shared" si="335"/>
        <v>28677.838063499992</v>
      </c>
      <c r="T538" s="82"/>
    </row>
    <row r="539" spans="2:20" s="64" customFormat="1" x14ac:dyDescent="0.2">
      <c r="B539" s="234" t="s">
        <v>314</v>
      </c>
      <c r="C539" s="235" t="s">
        <v>42</v>
      </c>
      <c r="D539" s="222" t="s">
        <v>24</v>
      </c>
      <c r="E539" s="222" t="s">
        <v>83</v>
      </c>
      <c r="F539" s="224" t="s">
        <v>58</v>
      </c>
      <c r="G539" s="42">
        <v>996</v>
      </c>
      <c r="H539" s="141">
        <v>570</v>
      </c>
      <c r="I539" s="141">
        <v>57</v>
      </c>
      <c r="J539" s="142">
        <v>2</v>
      </c>
      <c r="K539" s="5">
        <f t="shared" si="327"/>
        <v>723.9</v>
      </c>
      <c r="L539" s="5">
        <f t="shared" si="328"/>
        <v>723.9</v>
      </c>
      <c r="M539" s="122">
        <f t="shared" si="329"/>
        <v>15.39</v>
      </c>
      <c r="N539" s="123">
        <f t="shared" si="330"/>
        <v>72.39</v>
      </c>
      <c r="O539" s="5">
        <f t="shared" si="331"/>
        <v>169.28999999999996</v>
      </c>
      <c r="P539" s="123">
        <f t="shared" si="332"/>
        <v>338.57999999999993</v>
      </c>
      <c r="Q539" s="124">
        <f t="shared" si="333"/>
        <v>4062.9599999999991</v>
      </c>
      <c r="R539" s="124">
        <f t="shared" si="334"/>
        <v>978.76706399999978</v>
      </c>
      <c r="S539" s="125">
        <f t="shared" si="335"/>
        <v>5041.7270639999988</v>
      </c>
      <c r="T539" s="82"/>
    </row>
    <row r="540" spans="2:20" s="64" customFormat="1" x14ac:dyDescent="0.2">
      <c r="B540" s="234" t="s">
        <v>285</v>
      </c>
      <c r="C540" s="235" t="s">
        <v>336</v>
      </c>
      <c r="D540" s="222" t="s">
        <v>45</v>
      </c>
      <c r="E540" s="222" t="s">
        <v>78</v>
      </c>
      <c r="F540" s="224" t="s">
        <v>91</v>
      </c>
      <c r="G540" s="42">
        <v>920</v>
      </c>
      <c r="H540" s="141">
        <v>613</v>
      </c>
      <c r="I540" s="141">
        <v>61.3</v>
      </c>
      <c r="J540" s="142">
        <v>1</v>
      </c>
      <c r="K540" s="5">
        <f t="shared" si="327"/>
        <v>778.51</v>
      </c>
      <c r="L540" s="5">
        <f t="shared" si="328"/>
        <v>778.51</v>
      </c>
      <c r="M540" s="122">
        <f t="shared" si="329"/>
        <v>16.551000000000002</v>
      </c>
      <c r="N540" s="123">
        <f t="shared" si="330"/>
        <v>77.850999999999999</v>
      </c>
      <c r="O540" s="5">
        <f t="shared" si="331"/>
        <v>182.06099999999998</v>
      </c>
      <c r="P540" s="123">
        <f t="shared" si="332"/>
        <v>182.06099999999998</v>
      </c>
      <c r="Q540" s="124">
        <f t="shared" si="333"/>
        <v>2184.732</v>
      </c>
      <c r="R540" s="124">
        <f t="shared" si="334"/>
        <v>526.30193880000002</v>
      </c>
      <c r="S540" s="125">
        <f t="shared" si="335"/>
        <v>2711.0339388000002</v>
      </c>
      <c r="T540" s="82"/>
    </row>
    <row r="541" spans="2:20" s="64" customFormat="1" x14ac:dyDescent="0.2">
      <c r="B541" s="225" t="s">
        <v>285</v>
      </c>
      <c r="C541" s="222" t="s">
        <v>336</v>
      </c>
      <c r="D541" s="226" t="s">
        <v>45</v>
      </c>
      <c r="E541" s="226" t="s">
        <v>78</v>
      </c>
      <c r="F541" s="227" t="s">
        <v>58</v>
      </c>
      <c r="G541" s="42">
        <v>1093</v>
      </c>
      <c r="H541" s="141">
        <v>699</v>
      </c>
      <c r="I541" s="141">
        <v>69.900000000000006</v>
      </c>
      <c r="J541" s="142">
        <v>1</v>
      </c>
      <c r="K541" s="5">
        <f t="shared" si="327"/>
        <v>887.73</v>
      </c>
      <c r="L541" s="5">
        <f t="shared" si="328"/>
        <v>887.73</v>
      </c>
      <c r="M541" s="122">
        <f t="shared" si="329"/>
        <v>18.873000000000005</v>
      </c>
      <c r="N541" s="123">
        <f t="shared" si="330"/>
        <v>88.77300000000001</v>
      </c>
      <c r="O541" s="5">
        <f t="shared" si="331"/>
        <v>207.60300000000001</v>
      </c>
      <c r="P541" s="123">
        <f t="shared" si="332"/>
        <v>207.60300000000001</v>
      </c>
      <c r="Q541" s="124">
        <f t="shared" si="333"/>
        <v>2491.2359999999999</v>
      </c>
      <c r="R541" s="124">
        <f t="shared" si="334"/>
        <v>600.13875239999993</v>
      </c>
      <c r="S541" s="125">
        <f t="shared" si="335"/>
        <v>3091.3747524</v>
      </c>
      <c r="T541" s="82"/>
    </row>
    <row r="542" spans="2:20" s="64" customFormat="1" x14ac:dyDescent="0.2">
      <c r="B542" s="236" t="s">
        <v>288</v>
      </c>
      <c r="C542" s="237" t="s">
        <v>42</v>
      </c>
      <c r="D542" s="237" t="s">
        <v>24</v>
      </c>
      <c r="E542" s="237" t="s">
        <v>83</v>
      </c>
      <c r="F542" s="238" t="s">
        <v>58</v>
      </c>
      <c r="G542" s="42">
        <v>996</v>
      </c>
      <c r="H542" s="141">
        <v>612</v>
      </c>
      <c r="I542" s="141">
        <v>61.2</v>
      </c>
      <c r="J542" s="142">
        <v>2</v>
      </c>
      <c r="K542" s="5">
        <f t="shared" si="327"/>
        <v>777.24</v>
      </c>
      <c r="L542" s="5">
        <f t="shared" si="328"/>
        <v>777.24</v>
      </c>
      <c r="M542" s="122">
        <f t="shared" si="329"/>
        <v>16.524000000000001</v>
      </c>
      <c r="N542" s="123">
        <f t="shared" si="330"/>
        <v>77.724000000000004</v>
      </c>
      <c r="O542" s="5">
        <f t="shared" si="331"/>
        <v>181.76400000000001</v>
      </c>
      <c r="P542" s="123">
        <f t="shared" si="332"/>
        <v>363.52800000000002</v>
      </c>
      <c r="Q542" s="124">
        <f t="shared" si="333"/>
        <v>4362.3360000000002</v>
      </c>
      <c r="R542" s="124">
        <f t="shared" si="334"/>
        <v>1050.8867424</v>
      </c>
      <c r="S542" s="125">
        <f t="shared" si="335"/>
        <v>5413.2227424000002</v>
      </c>
      <c r="T542" s="82"/>
    </row>
    <row r="543" spans="2:20" s="52" customFormat="1" x14ac:dyDescent="0.25">
      <c r="B543" s="53" t="s">
        <v>39</v>
      </c>
      <c r="C543" s="54"/>
      <c r="D543" s="54"/>
      <c r="E543" s="54"/>
      <c r="F543" s="55"/>
      <c r="G543" s="56"/>
      <c r="H543" s="6"/>
      <c r="I543" s="7"/>
      <c r="J543" s="67">
        <f>SUM(J533:J542)</f>
        <v>46.6</v>
      </c>
      <c r="K543" s="58"/>
      <c r="L543" s="7"/>
      <c r="M543" s="59"/>
      <c r="N543" s="57"/>
      <c r="O543" s="7"/>
      <c r="P543" s="57"/>
      <c r="Q543" s="60">
        <f t="shared" ref="Q543:R543" si="336">SUM(Q533:Q542)</f>
        <v>98357.813999999984</v>
      </c>
      <c r="R543" s="60">
        <f t="shared" si="336"/>
        <v>23694.397392599996</v>
      </c>
      <c r="S543" s="61">
        <f>SUM(S533:S542)</f>
        <v>122052.2113926</v>
      </c>
      <c r="T543" s="127"/>
    </row>
    <row r="544" spans="2:20" s="64" customFormat="1" ht="14.25" thickBot="1" x14ac:dyDescent="0.25">
      <c r="B544" s="198" t="s">
        <v>337</v>
      </c>
      <c r="C544" s="199"/>
      <c r="D544" s="200"/>
      <c r="E544" s="200"/>
      <c r="F544" s="200"/>
      <c r="G544" s="201"/>
      <c r="H544" s="202"/>
      <c r="I544" s="202"/>
      <c r="J544" s="203">
        <f>J531+J543</f>
        <v>61.6</v>
      </c>
      <c r="K544" s="204"/>
      <c r="L544" s="205"/>
      <c r="M544" s="205"/>
      <c r="N544" s="205"/>
      <c r="O544" s="205"/>
      <c r="P544" s="205"/>
      <c r="Q544" s="206">
        <f t="shared" ref="Q544:S544" si="337">Q531+Q543</f>
        <v>134057.43</v>
      </c>
      <c r="R544" s="206">
        <f t="shared" si="337"/>
        <v>32294.434886999996</v>
      </c>
      <c r="S544" s="207">
        <f t="shared" si="337"/>
        <v>166351.864887</v>
      </c>
      <c r="T544" s="82"/>
    </row>
    <row r="545" spans="2:20" s="64" customFormat="1" ht="14.25" thickTop="1" thickBot="1" x14ac:dyDescent="0.25">
      <c r="B545" s="28" t="s">
        <v>338</v>
      </c>
      <c r="C545" s="29"/>
      <c r="D545" s="30"/>
      <c r="E545" s="30"/>
      <c r="F545" s="30"/>
      <c r="G545" s="31"/>
      <c r="H545" s="32"/>
      <c r="I545" s="32"/>
      <c r="J545" s="183">
        <f>J469+J486+J506+J521+J544</f>
        <v>337.5</v>
      </c>
      <c r="K545" s="184"/>
      <c r="L545" s="185"/>
      <c r="M545" s="185"/>
      <c r="N545" s="185"/>
      <c r="O545" s="185"/>
      <c r="P545" s="185"/>
      <c r="Q545" s="186">
        <f t="shared" ref="Q545:R545" si="338">Q469+Q486+Q506+Q521+Q544</f>
        <v>760485.78053999995</v>
      </c>
      <c r="R545" s="186">
        <f t="shared" si="338"/>
        <v>183201.02453208598</v>
      </c>
      <c r="S545" s="187">
        <f>S469+S486+S506+S521+S544</f>
        <v>943686.80507208616</v>
      </c>
      <c r="T545" s="82"/>
    </row>
    <row r="546" spans="2:20" s="52" customFormat="1" x14ac:dyDescent="0.25">
      <c r="B546" s="239" t="s">
        <v>339</v>
      </c>
      <c r="C546" s="68"/>
      <c r="D546" s="68"/>
      <c r="E546" s="68"/>
      <c r="F546" s="240"/>
      <c r="G546" s="69"/>
      <c r="H546" s="9"/>
      <c r="I546" s="10"/>
      <c r="J546" s="241">
        <f>J393+J431+J454+J475+J493+J512+J531</f>
        <v>161.05000000000001</v>
      </c>
      <c r="K546" s="71"/>
      <c r="L546" s="10"/>
      <c r="M546" s="72"/>
      <c r="N546" s="70"/>
      <c r="O546" s="10"/>
      <c r="P546" s="70"/>
      <c r="Q546" s="73">
        <f t="shared" ref="Q546:S546" si="339">Q393+Q431+Q454+Q475+Q493+Q512+Q531</f>
        <v>431226.93783157895</v>
      </c>
      <c r="R546" s="73">
        <f t="shared" si="339"/>
        <v>103882.56932362737</v>
      </c>
      <c r="S546" s="74">
        <f t="shared" si="339"/>
        <v>535109.5071552064</v>
      </c>
      <c r="T546" s="127"/>
    </row>
    <row r="547" spans="2:20" s="52" customFormat="1" x14ac:dyDescent="0.25">
      <c r="B547" s="165" t="s">
        <v>40</v>
      </c>
      <c r="C547" s="54"/>
      <c r="D547" s="54"/>
      <c r="E547" s="54"/>
      <c r="F547" s="55"/>
      <c r="G547" s="56"/>
      <c r="H547" s="6"/>
      <c r="I547" s="7"/>
      <c r="J547" s="67">
        <f>J404+J465+J485+J500+J517+J543</f>
        <v>286.95</v>
      </c>
      <c r="K547" s="58"/>
      <c r="L547" s="7"/>
      <c r="M547" s="59"/>
      <c r="N547" s="57"/>
      <c r="O547" s="7"/>
      <c r="P547" s="57"/>
      <c r="Q547" s="60">
        <f t="shared" ref="Q547:S547" si="340">Q404+Q465+Q485+Q500+Q517+Q543</f>
        <v>621439.15494000004</v>
      </c>
      <c r="R547" s="60">
        <f t="shared" si="340"/>
        <v>149704.692425046</v>
      </c>
      <c r="S547" s="61">
        <f t="shared" si="340"/>
        <v>771143.84736504604</v>
      </c>
      <c r="T547" s="127"/>
    </row>
    <row r="548" spans="2:20" s="52" customFormat="1" x14ac:dyDescent="0.25">
      <c r="B548" s="165" t="s">
        <v>94</v>
      </c>
      <c r="C548" s="54"/>
      <c r="D548" s="54"/>
      <c r="E548" s="54"/>
      <c r="F548" s="55"/>
      <c r="G548" s="56"/>
      <c r="H548" s="6"/>
      <c r="I548" s="7"/>
      <c r="J548" s="67">
        <f>J407+J468+J505+J520</f>
        <v>19.5</v>
      </c>
      <c r="K548" s="58"/>
      <c r="L548" s="7"/>
      <c r="M548" s="59"/>
      <c r="N548" s="57"/>
      <c r="O548" s="7"/>
      <c r="P548" s="57"/>
      <c r="Q548" s="60">
        <f t="shared" ref="Q548:S548" si="341">Q407+Q468+Q505+Q520</f>
        <v>34166.528400000003</v>
      </c>
      <c r="R548" s="60">
        <f t="shared" si="341"/>
        <v>8230.716691560001</v>
      </c>
      <c r="S548" s="61">
        <f t="shared" si="341"/>
        <v>42397.245091560006</v>
      </c>
      <c r="T548" s="127"/>
    </row>
    <row r="549" spans="2:20" s="64" customFormat="1" ht="16.5" customHeight="1" thickBot="1" x14ac:dyDescent="0.25">
      <c r="B549" s="129" t="s">
        <v>340</v>
      </c>
      <c r="C549" s="130"/>
      <c r="D549" s="130"/>
      <c r="E549" s="130"/>
      <c r="F549" s="130"/>
      <c r="G549" s="75"/>
      <c r="H549" s="76"/>
      <c r="I549" s="76"/>
      <c r="J549" s="131">
        <f>SUM(J546:J548)</f>
        <v>467.5</v>
      </c>
      <c r="K549" s="129"/>
      <c r="L549" s="130"/>
      <c r="M549" s="130"/>
      <c r="N549" s="130"/>
      <c r="O549" s="130"/>
      <c r="P549" s="130"/>
      <c r="Q549" s="77">
        <f t="shared" ref="Q549:S549" si="342">SUM(Q546:Q548)</f>
        <v>1086832.621171579</v>
      </c>
      <c r="R549" s="77">
        <f t="shared" si="342"/>
        <v>261817.97844023336</v>
      </c>
      <c r="S549" s="78">
        <f t="shared" si="342"/>
        <v>1348650.5996118125</v>
      </c>
      <c r="T549" s="82"/>
    </row>
    <row r="550" spans="2:20" s="64" customFormat="1" ht="13.5" thickBot="1" x14ac:dyDescent="0.25">
      <c r="B550" s="50"/>
      <c r="C550" s="50"/>
      <c r="D550" s="50"/>
      <c r="E550" s="50"/>
      <c r="F550" s="50"/>
      <c r="G550" s="79"/>
      <c r="H550" s="80"/>
      <c r="I550" s="80"/>
      <c r="J550" s="81"/>
      <c r="T550" s="82"/>
    </row>
    <row r="551" spans="2:20" s="51" customFormat="1" ht="15" thickBot="1" x14ac:dyDescent="0.3">
      <c r="B551" s="1002" t="s">
        <v>341</v>
      </c>
      <c r="C551" s="1003"/>
      <c r="D551" s="1003"/>
      <c r="E551" s="1003"/>
      <c r="F551" s="1003"/>
      <c r="G551" s="1003"/>
      <c r="H551" s="1003"/>
      <c r="I551" s="1003"/>
      <c r="J551" s="1003"/>
      <c r="K551" s="96"/>
      <c r="L551" s="96"/>
      <c r="M551" s="96"/>
      <c r="N551" s="96"/>
      <c r="O551" s="96"/>
      <c r="P551" s="96"/>
      <c r="Q551" s="96"/>
      <c r="R551" s="96"/>
      <c r="S551" s="97"/>
      <c r="T551" s="132"/>
    </row>
    <row r="552" spans="2:20" s="98" customFormat="1" ht="13.5" x14ac:dyDescent="0.25">
      <c r="B552" s="99" t="s">
        <v>342</v>
      </c>
      <c r="C552" s="100"/>
      <c r="D552" s="100"/>
      <c r="E552" s="100"/>
      <c r="F552" s="100"/>
      <c r="G552" s="101"/>
      <c r="H552" s="102"/>
      <c r="I552" s="102"/>
      <c r="J552" s="103"/>
      <c r="K552" s="12"/>
      <c r="L552" s="12"/>
      <c r="M552" s="104"/>
      <c r="N552" s="105"/>
      <c r="O552" s="12"/>
      <c r="P552" s="105"/>
      <c r="Q552" s="106"/>
      <c r="R552" s="106"/>
      <c r="S552" s="107"/>
      <c r="T552" s="108"/>
    </row>
    <row r="553" spans="2:20" s="109" customFormat="1" x14ac:dyDescent="0.2">
      <c r="B553" s="242" t="s">
        <v>19</v>
      </c>
      <c r="C553" s="243"/>
      <c r="D553" s="243"/>
      <c r="E553" s="243"/>
      <c r="F553" s="243"/>
      <c r="G553" s="44"/>
      <c r="H553" s="244"/>
      <c r="I553" s="245"/>
      <c r="J553" s="114"/>
      <c r="K553" s="115"/>
      <c r="L553" s="482"/>
      <c r="M553" s="117"/>
      <c r="N553" s="246"/>
      <c r="O553" s="117"/>
      <c r="P553" s="117"/>
      <c r="Q553" s="117"/>
      <c r="R553" s="119"/>
      <c r="S553" s="120"/>
      <c r="T553" s="95"/>
    </row>
    <row r="554" spans="2:20" s="64" customFormat="1" x14ac:dyDescent="0.2">
      <c r="B554" s="247" t="s">
        <v>343</v>
      </c>
      <c r="C554" s="248" t="s">
        <v>23</v>
      </c>
      <c r="D554" s="249" t="s">
        <v>62</v>
      </c>
      <c r="E554" s="249">
        <v>12</v>
      </c>
      <c r="F554" s="249">
        <v>3</v>
      </c>
      <c r="G554" s="250">
        <v>1647</v>
      </c>
      <c r="H554" s="251">
        <v>1400</v>
      </c>
      <c r="I554" s="141">
        <f>H554*25%</f>
        <v>350</v>
      </c>
      <c r="J554" s="142">
        <v>1</v>
      </c>
      <c r="K554" s="5">
        <f t="shared" ref="K554:K558" si="343">H554*1.27</f>
        <v>1778</v>
      </c>
      <c r="L554" s="5">
        <f t="shared" ref="L554:L558" si="344">IF(K554&lt;=G554,K554,G554)</f>
        <v>1647</v>
      </c>
      <c r="M554" s="122">
        <f t="shared" ref="M554:M558" si="345">N554-I554</f>
        <v>61.75</v>
      </c>
      <c r="N554" s="123">
        <f t="shared" ref="N554:N558" si="346">I554/H554*L554</f>
        <v>411.75</v>
      </c>
      <c r="O554" s="5">
        <f t="shared" ref="O554:O558" si="347">L554-H554+M554</f>
        <v>308.75</v>
      </c>
      <c r="P554" s="123">
        <f t="shared" ref="P554:P558" si="348">O554*J554</f>
        <v>308.75</v>
      </c>
      <c r="Q554" s="124">
        <f t="shared" ref="Q554:Q558" si="349">P554*12</f>
        <v>3705</v>
      </c>
      <c r="R554" s="124">
        <f t="shared" ref="R554:R558" si="350">Q554*0.2409</f>
        <v>892.53449999999998</v>
      </c>
      <c r="S554" s="125">
        <f t="shared" ref="S554:S558" si="351">Q554+R554</f>
        <v>4597.5344999999998</v>
      </c>
      <c r="T554" s="252"/>
    </row>
    <row r="555" spans="2:20" s="64" customFormat="1" x14ac:dyDescent="0.2">
      <c r="B555" s="247" t="s">
        <v>344</v>
      </c>
      <c r="C555" s="248" t="s">
        <v>23</v>
      </c>
      <c r="D555" s="249" t="s">
        <v>122</v>
      </c>
      <c r="E555" s="249">
        <v>12</v>
      </c>
      <c r="F555" s="249">
        <v>3</v>
      </c>
      <c r="G555" s="250">
        <v>1647</v>
      </c>
      <c r="H555" s="251">
        <v>1200</v>
      </c>
      <c r="I555" s="141">
        <f>H555*25%</f>
        <v>300</v>
      </c>
      <c r="J555" s="142">
        <f>7+5</f>
        <v>12</v>
      </c>
      <c r="K555" s="5">
        <f t="shared" si="343"/>
        <v>1524</v>
      </c>
      <c r="L555" s="5">
        <f t="shared" si="344"/>
        <v>1524</v>
      </c>
      <c r="M555" s="122">
        <f t="shared" si="345"/>
        <v>81</v>
      </c>
      <c r="N555" s="123">
        <f t="shared" si="346"/>
        <v>381</v>
      </c>
      <c r="O555" s="5">
        <f t="shared" si="347"/>
        <v>405</v>
      </c>
      <c r="P555" s="123">
        <f t="shared" si="348"/>
        <v>4860</v>
      </c>
      <c r="Q555" s="124">
        <f t="shared" si="349"/>
        <v>58320</v>
      </c>
      <c r="R555" s="124">
        <f t="shared" si="350"/>
        <v>14049.288</v>
      </c>
      <c r="S555" s="125">
        <f t="shared" si="351"/>
        <v>72369.288</v>
      </c>
      <c r="T555" s="82"/>
    </row>
    <row r="556" spans="2:20" s="64" customFormat="1" x14ac:dyDescent="0.2">
      <c r="B556" s="137" t="s">
        <v>261</v>
      </c>
      <c r="C556" s="248" t="s">
        <v>23</v>
      </c>
      <c r="D556" s="139" t="s">
        <v>24</v>
      </c>
      <c r="E556" s="139">
        <v>10</v>
      </c>
      <c r="F556" s="139">
        <v>3</v>
      </c>
      <c r="G556" s="140">
        <v>1287</v>
      </c>
      <c r="H556" s="141">
        <v>1090</v>
      </c>
      <c r="I556" s="141">
        <f>H556*25%</f>
        <v>272.5</v>
      </c>
      <c r="J556" s="142">
        <v>38.25</v>
      </c>
      <c r="K556" s="5">
        <f t="shared" si="343"/>
        <v>1384.3</v>
      </c>
      <c r="L556" s="5">
        <f t="shared" si="344"/>
        <v>1287</v>
      </c>
      <c r="M556" s="122">
        <f t="shared" si="345"/>
        <v>49.25</v>
      </c>
      <c r="N556" s="123">
        <f t="shared" si="346"/>
        <v>321.75</v>
      </c>
      <c r="O556" s="5">
        <f t="shared" si="347"/>
        <v>246.25</v>
      </c>
      <c r="P556" s="123">
        <f t="shared" si="348"/>
        <v>9419.0625</v>
      </c>
      <c r="Q556" s="124">
        <f t="shared" si="349"/>
        <v>113028.75</v>
      </c>
      <c r="R556" s="124">
        <f t="shared" si="350"/>
        <v>27228.625875000002</v>
      </c>
      <c r="S556" s="125">
        <f t="shared" si="351"/>
        <v>140257.375875</v>
      </c>
      <c r="T556" s="82"/>
    </row>
    <row r="557" spans="2:20" s="64" customFormat="1" x14ac:dyDescent="0.2">
      <c r="B557" s="24" t="s">
        <v>261</v>
      </c>
      <c r="C557" s="248" t="s">
        <v>23</v>
      </c>
      <c r="D557" s="22" t="s">
        <v>93</v>
      </c>
      <c r="E557" s="22">
        <v>9</v>
      </c>
      <c r="F557" s="22">
        <v>3</v>
      </c>
      <c r="G557" s="42">
        <v>1190</v>
      </c>
      <c r="H557" s="14">
        <v>1000</v>
      </c>
      <c r="I557" s="141">
        <f t="shared" ref="I557:I569" si="352">H557*25%</f>
        <v>250</v>
      </c>
      <c r="J557" s="121">
        <v>5</v>
      </c>
      <c r="K557" s="5">
        <f t="shared" si="343"/>
        <v>1270</v>
      </c>
      <c r="L557" s="5">
        <f t="shared" si="344"/>
        <v>1190</v>
      </c>
      <c r="M557" s="122">
        <f t="shared" si="345"/>
        <v>47.5</v>
      </c>
      <c r="N557" s="123">
        <f t="shared" si="346"/>
        <v>297.5</v>
      </c>
      <c r="O557" s="5">
        <f t="shared" si="347"/>
        <v>237.5</v>
      </c>
      <c r="P557" s="123">
        <f t="shared" si="348"/>
        <v>1187.5</v>
      </c>
      <c r="Q557" s="124">
        <f t="shared" si="349"/>
        <v>14250</v>
      </c>
      <c r="R557" s="124">
        <f t="shared" si="350"/>
        <v>3432.8249999999998</v>
      </c>
      <c r="S557" s="125">
        <f t="shared" si="351"/>
        <v>17682.825000000001</v>
      </c>
      <c r="T557" s="82"/>
    </row>
    <row r="558" spans="2:20" s="64" customFormat="1" x14ac:dyDescent="0.2">
      <c r="B558" s="24" t="s">
        <v>182</v>
      </c>
      <c r="C558" s="248" t="s">
        <v>181</v>
      </c>
      <c r="D558" s="22" t="s">
        <v>130</v>
      </c>
      <c r="E558" s="22">
        <v>9</v>
      </c>
      <c r="F558" s="22">
        <v>3</v>
      </c>
      <c r="G558" s="42">
        <v>1190</v>
      </c>
      <c r="H558" s="14">
        <v>1000</v>
      </c>
      <c r="I558" s="141">
        <f>H558*25%</f>
        <v>250</v>
      </c>
      <c r="J558" s="121">
        <v>1</v>
      </c>
      <c r="K558" s="5">
        <f t="shared" si="343"/>
        <v>1270</v>
      </c>
      <c r="L558" s="5">
        <f t="shared" si="344"/>
        <v>1190</v>
      </c>
      <c r="M558" s="122">
        <f t="shared" si="345"/>
        <v>47.5</v>
      </c>
      <c r="N558" s="123">
        <f t="shared" si="346"/>
        <v>297.5</v>
      </c>
      <c r="O558" s="5">
        <f t="shared" si="347"/>
        <v>237.5</v>
      </c>
      <c r="P558" s="123">
        <f t="shared" si="348"/>
        <v>237.5</v>
      </c>
      <c r="Q558" s="124">
        <f t="shared" si="349"/>
        <v>2850</v>
      </c>
      <c r="R558" s="124">
        <f t="shared" si="350"/>
        <v>686.56500000000005</v>
      </c>
      <c r="S558" s="125">
        <f t="shared" si="351"/>
        <v>3536.5650000000001</v>
      </c>
      <c r="T558" s="82"/>
    </row>
    <row r="559" spans="2:20" s="52" customFormat="1" x14ac:dyDescent="0.25">
      <c r="B559" s="126" t="s">
        <v>39</v>
      </c>
      <c r="C559" s="54"/>
      <c r="D559" s="54"/>
      <c r="E559" s="54"/>
      <c r="F559" s="55"/>
      <c r="G559" s="56"/>
      <c r="H559" s="6"/>
      <c r="I559" s="7"/>
      <c r="J559" s="67">
        <f>SUM(J554:J558)</f>
        <v>57.25</v>
      </c>
      <c r="K559" s="58"/>
      <c r="L559" s="7"/>
      <c r="M559" s="59"/>
      <c r="N559" s="57"/>
      <c r="O559" s="7"/>
      <c r="P559" s="57"/>
      <c r="Q559" s="60">
        <f>SUM(Q554:Q558)</f>
        <v>192153.75</v>
      </c>
      <c r="R559" s="60">
        <f>SUM(R554:R558)</f>
        <v>46289.838374999999</v>
      </c>
      <c r="S559" s="61">
        <f>SUM(S554:S558)</f>
        <v>238443.58837499999</v>
      </c>
      <c r="T559" s="127"/>
    </row>
    <row r="560" spans="2:20" s="109" customFormat="1" x14ac:dyDescent="0.2">
      <c r="B560" s="110" t="s">
        <v>40</v>
      </c>
      <c r="C560" s="111"/>
      <c r="D560" s="111"/>
      <c r="E560" s="111"/>
      <c r="F560" s="111"/>
      <c r="G560" s="13"/>
      <c r="H560" s="112"/>
      <c r="I560" s="113"/>
      <c r="J560" s="114"/>
      <c r="K560" s="115"/>
      <c r="L560" s="116"/>
      <c r="M560" s="117"/>
      <c r="N560" s="118"/>
      <c r="O560" s="117"/>
      <c r="P560" s="117"/>
      <c r="Q560" s="117"/>
      <c r="R560" s="119"/>
      <c r="S560" s="120"/>
      <c r="T560" s="95"/>
    </row>
    <row r="561" spans="2:20" s="64" customFormat="1" x14ac:dyDescent="0.2">
      <c r="B561" s="24" t="s">
        <v>231</v>
      </c>
      <c r="C561" s="248" t="s">
        <v>23</v>
      </c>
      <c r="D561" s="22" t="s">
        <v>51</v>
      </c>
      <c r="E561" s="22">
        <v>9</v>
      </c>
      <c r="F561" s="22">
        <v>3</v>
      </c>
      <c r="G561" s="42">
        <v>1190</v>
      </c>
      <c r="H561" s="14">
        <v>1000</v>
      </c>
      <c r="I561" s="141">
        <f t="shared" si="352"/>
        <v>250</v>
      </c>
      <c r="J561" s="121">
        <v>3</v>
      </c>
      <c r="K561" s="5">
        <f t="shared" ref="K561:K566" si="353">H561*1.27</f>
        <v>1270</v>
      </c>
      <c r="L561" s="5">
        <f t="shared" ref="L561:L566" si="354">IF(K561&lt;=G561,K561,G561)</f>
        <v>1190</v>
      </c>
      <c r="M561" s="122">
        <f t="shared" ref="M561:M566" si="355">N561-I561</f>
        <v>47.5</v>
      </c>
      <c r="N561" s="123">
        <f t="shared" ref="N561:N566" si="356">I561/H561*L561</f>
        <v>297.5</v>
      </c>
      <c r="O561" s="5">
        <f t="shared" ref="O561:O566" si="357">L561-H561+M561</f>
        <v>237.5</v>
      </c>
      <c r="P561" s="123">
        <f t="shared" ref="P561:P566" si="358">O561*J561</f>
        <v>712.5</v>
      </c>
      <c r="Q561" s="124">
        <f t="shared" ref="Q561:Q566" si="359">P561*12</f>
        <v>8550</v>
      </c>
      <c r="R561" s="124">
        <f t="shared" ref="R561:R566" si="360">Q561*0.2409</f>
        <v>2059.6950000000002</v>
      </c>
      <c r="S561" s="125">
        <f t="shared" ref="S561:S566" si="361">Q561+R561</f>
        <v>10609.695</v>
      </c>
      <c r="T561" s="82"/>
    </row>
    <row r="562" spans="2:20" s="64" customFormat="1" x14ac:dyDescent="0.2">
      <c r="B562" s="24" t="s">
        <v>345</v>
      </c>
      <c r="C562" s="248" t="s">
        <v>23</v>
      </c>
      <c r="D562" s="22" t="s">
        <v>80</v>
      </c>
      <c r="E562" s="22">
        <v>8</v>
      </c>
      <c r="F562" s="22">
        <v>3</v>
      </c>
      <c r="G562" s="42">
        <v>1093</v>
      </c>
      <c r="H562" s="14">
        <v>950</v>
      </c>
      <c r="I562" s="141">
        <f t="shared" si="352"/>
        <v>237.5</v>
      </c>
      <c r="J562" s="121">
        <v>20.5</v>
      </c>
      <c r="K562" s="5">
        <f t="shared" si="353"/>
        <v>1206.5</v>
      </c>
      <c r="L562" s="5">
        <f t="shared" si="354"/>
        <v>1093</v>
      </c>
      <c r="M562" s="122">
        <f t="shared" si="355"/>
        <v>35.75</v>
      </c>
      <c r="N562" s="123">
        <f t="shared" si="356"/>
        <v>273.25</v>
      </c>
      <c r="O562" s="5">
        <f t="shared" si="357"/>
        <v>178.75</v>
      </c>
      <c r="P562" s="123">
        <f t="shared" si="358"/>
        <v>3664.375</v>
      </c>
      <c r="Q562" s="124">
        <f t="shared" si="359"/>
        <v>43972.5</v>
      </c>
      <c r="R562" s="124">
        <f t="shared" si="360"/>
        <v>10592.97525</v>
      </c>
      <c r="S562" s="125">
        <f t="shared" si="361"/>
        <v>54565.475250000003</v>
      </c>
      <c r="T562" s="82"/>
    </row>
    <row r="563" spans="2:20" s="64" customFormat="1" x14ac:dyDescent="0.2">
      <c r="B563" s="24" t="s">
        <v>266</v>
      </c>
      <c r="C563" s="248" t="s">
        <v>23</v>
      </c>
      <c r="D563" s="22" t="s">
        <v>193</v>
      </c>
      <c r="E563" s="22">
        <v>8</v>
      </c>
      <c r="F563" s="22">
        <v>3</v>
      </c>
      <c r="G563" s="42">
        <v>1093</v>
      </c>
      <c r="H563" s="14">
        <v>930</v>
      </c>
      <c r="I563" s="141">
        <f t="shared" si="352"/>
        <v>232.5</v>
      </c>
      <c r="J563" s="121">
        <f>2.5+0.75</f>
        <v>3.25</v>
      </c>
      <c r="K563" s="5">
        <f t="shared" si="353"/>
        <v>1181.0999999999999</v>
      </c>
      <c r="L563" s="5">
        <f t="shared" si="354"/>
        <v>1093</v>
      </c>
      <c r="M563" s="122">
        <f t="shared" si="355"/>
        <v>40.75</v>
      </c>
      <c r="N563" s="123">
        <f t="shared" si="356"/>
        <v>273.25</v>
      </c>
      <c r="O563" s="5">
        <f t="shared" si="357"/>
        <v>203.75</v>
      </c>
      <c r="P563" s="123">
        <f t="shared" si="358"/>
        <v>662.1875</v>
      </c>
      <c r="Q563" s="124">
        <f t="shared" si="359"/>
        <v>7946.25</v>
      </c>
      <c r="R563" s="124">
        <f t="shared" si="360"/>
        <v>1914.2516250000001</v>
      </c>
      <c r="S563" s="125">
        <f t="shared" si="361"/>
        <v>9860.5016250000008</v>
      </c>
      <c r="T563" s="82"/>
    </row>
    <row r="564" spans="2:20" s="64" customFormat="1" x14ac:dyDescent="0.2">
      <c r="B564" s="24" t="s">
        <v>285</v>
      </c>
      <c r="C564" s="248" t="s">
        <v>42</v>
      </c>
      <c r="D564" s="22" t="s">
        <v>45</v>
      </c>
      <c r="E564" s="22">
        <v>8</v>
      </c>
      <c r="F564" s="22">
        <v>3</v>
      </c>
      <c r="G564" s="42">
        <v>1093</v>
      </c>
      <c r="H564" s="14">
        <v>930</v>
      </c>
      <c r="I564" s="141">
        <f t="shared" si="352"/>
        <v>232.5</v>
      </c>
      <c r="J564" s="121">
        <f>9+1</f>
        <v>10</v>
      </c>
      <c r="K564" s="5">
        <f t="shared" si="353"/>
        <v>1181.0999999999999</v>
      </c>
      <c r="L564" s="5">
        <f t="shared" si="354"/>
        <v>1093</v>
      </c>
      <c r="M564" s="122">
        <f t="shared" si="355"/>
        <v>40.75</v>
      </c>
      <c r="N564" s="123">
        <f t="shared" si="356"/>
        <v>273.25</v>
      </c>
      <c r="O564" s="5">
        <f t="shared" si="357"/>
        <v>203.75</v>
      </c>
      <c r="P564" s="123">
        <f t="shared" si="358"/>
        <v>2037.5</v>
      </c>
      <c r="Q564" s="124">
        <f t="shared" si="359"/>
        <v>24450</v>
      </c>
      <c r="R564" s="124">
        <f t="shared" si="360"/>
        <v>5890.0050000000001</v>
      </c>
      <c r="S564" s="125">
        <f t="shared" si="361"/>
        <v>30340.005000000001</v>
      </c>
      <c r="T564" s="82"/>
    </row>
    <row r="565" spans="2:20" s="64" customFormat="1" x14ac:dyDescent="0.2">
      <c r="B565" s="24" t="s">
        <v>86</v>
      </c>
      <c r="C565" s="248" t="s">
        <v>42</v>
      </c>
      <c r="D565" s="22" t="s">
        <v>24</v>
      </c>
      <c r="E565" s="22">
        <v>7</v>
      </c>
      <c r="F565" s="22">
        <v>3</v>
      </c>
      <c r="G565" s="42">
        <v>996</v>
      </c>
      <c r="H565" s="14">
        <v>850</v>
      </c>
      <c r="I565" s="141">
        <f t="shared" si="352"/>
        <v>212.5</v>
      </c>
      <c r="J565" s="121">
        <v>37</v>
      </c>
      <c r="K565" s="5">
        <f t="shared" si="353"/>
        <v>1079.5</v>
      </c>
      <c r="L565" s="5">
        <f t="shared" si="354"/>
        <v>996</v>
      </c>
      <c r="M565" s="122">
        <f t="shared" si="355"/>
        <v>36.5</v>
      </c>
      <c r="N565" s="123">
        <f t="shared" si="356"/>
        <v>249</v>
      </c>
      <c r="O565" s="5">
        <f t="shared" si="357"/>
        <v>182.5</v>
      </c>
      <c r="P565" s="123">
        <f t="shared" si="358"/>
        <v>6752.5</v>
      </c>
      <c r="Q565" s="124">
        <f t="shared" si="359"/>
        <v>81030</v>
      </c>
      <c r="R565" s="124">
        <f t="shared" si="360"/>
        <v>19520.127</v>
      </c>
      <c r="S565" s="125">
        <f t="shared" si="361"/>
        <v>100550.12700000001</v>
      </c>
      <c r="T565" s="82"/>
    </row>
    <row r="566" spans="2:20" s="64" customFormat="1" x14ac:dyDescent="0.2">
      <c r="B566" s="24" t="s">
        <v>86</v>
      </c>
      <c r="C566" s="248" t="s">
        <v>42</v>
      </c>
      <c r="D566" s="22" t="s">
        <v>25</v>
      </c>
      <c r="E566" s="22">
        <v>6</v>
      </c>
      <c r="F566" s="22">
        <v>3</v>
      </c>
      <c r="G566" s="42">
        <v>899</v>
      </c>
      <c r="H566" s="14">
        <v>765</v>
      </c>
      <c r="I566" s="141">
        <f t="shared" si="352"/>
        <v>191.25</v>
      </c>
      <c r="J566" s="121">
        <v>2</v>
      </c>
      <c r="K566" s="5">
        <f t="shared" si="353"/>
        <v>971.55000000000007</v>
      </c>
      <c r="L566" s="5">
        <f t="shared" si="354"/>
        <v>899</v>
      </c>
      <c r="M566" s="122">
        <f t="shared" si="355"/>
        <v>33.5</v>
      </c>
      <c r="N566" s="123">
        <f t="shared" si="356"/>
        <v>224.75</v>
      </c>
      <c r="O566" s="5">
        <f t="shared" si="357"/>
        <v>167.5</v>
      </c>
      <c r="P566" s="123">
        <f t="shared" si="358"/>
        <v>335</v>
      </c>
      <c r="Q566" s="124">
        <f t="shared" si="359"/>
        <v>4020</v>
      </c>
      <c r="R566" s="124">
        <f t="shared" si="360"/>
        <v>968.41800000000001</v>
      </c>
      <c r="S566" s="125">
        <f t="shared" si="361"/>
        <v>4988.4179999999997</v>
      </c>
      <c r="T566" s="82"/>
    </row>
    <row r="567" spans="2:20" s="52" customFormat="1" x14ac:dyDescent="0.25">
      <c r="B567" s="126" t="s">
        <v>39</v>
      </c>
      <c r="C567" s="54"/>
      <c r="D567" s="54"/>
      <c r="E567" s="54"/>
      <c r="F567" s="55"/>
      <c r="G567" s="56"/>
      <c r="H567" s="6"/>
      <c r="I567" s="7"/>
      <c r="J567" s="67">
        <f>SUM(J561:J566)</f>
        <v>75.75</v>
      </c>
      <c r="K567" s="58"/>
      <c r="L567" s="7"/>
      <c r="M567" s="59"/>
      <c r="N567" s="57"/>
      <c r="O567" s="7"/>
      <c r="P567" s="57"/>
      <c r="Q567" s="60">
        <f>SUM(Q561:Q566)</f>
        <v>169968.75</v>
      </c>
      <c r="R567" s="60">
        <f>SUM(R561:R566)</f>
        <v>40945.471874999996</v>
      </c>
      <c r="S567" s="61">
        <f>SUM(S561:S566)</f>
        <v>210914.22187500002</v>
      </c>
      <c r="T567" s="127"/>
    </row>
    <row r="568" spans="2:20" s="109" customFormat="1" x14ac:dyDescent="0.2">
      <c r="B568" s="110" t="s">
        <v>94</v>
      </c>
      <c r="C568" s="111"/>
      <c r="D568" s="111"/>
      <c r="E568" s="111"/>
      <c r="F568" s="111"/>
      <c r="G568" s="13"/>
      <c r="H568" s="112"/>
      <c r="I568" s="113"/>
      <c r="J568" s="114"/>
      <c r="K568" s="115"/>
      <c r="L568" s="116"/>
      <c r="M568" s="117"/>
      <c r="N568" s="118"/>
      <c r="O568" s="117"/>
      <c r="P568" s="117"/>
      <c r="Q568" s="117"/>
      <c r="R568" s="119"/>
      <c r="S568" s="120"/>
      <c r="T568" s="95"/>
    </row>
    <row r="569" spans="2:20" s="64" customFormat="1" x14ac:dyDescent="0.2">
      <c r="B569" s="24" t="s">
        <v>95</v>
      </c>
      <c r="C569" s="248" t="s">
        <v>42</v>
      </c>
      <c r="D569" s="22" t="s">
        <v>190</v>
      </c>
      <c r="E569" s="22">
        <v>5</v>
      </c>
      <c r="F569" s="22">
        <v>3</v>
      </c>
      <c r="G569" s="42">
        <v>802</v>
      </c>
      <c r="H569" s="14">
        <v>680</v>
      </c>
      <c r="I569" s="141">
        <f t="shared" si="352"/>
        <v>170</v>
      </c>
      <c r="J569" s="121">
        <v>4</v>
      </c>
      <c r="K569" s="5">
        <f t="shared" ref="K569" si="362">H569*1.27</f>
        <v>863.6</v>
      </c>
      <c r="L569" s="5">
        <f t="shared" ref="L569" si="363">IF(K569&lt;=G569,K569,G569)</f>
        <v>802</v>
      </c>
      <c r="M569" s="122">
        <f t="shared" ref="M569" si="364">N569-I569</f>
        <v>30.5</v>
      </c>
      <c r="N569" s="123">
        <f t="shared" ref="N569" si="365">I569/H569*L569</f>
        <v>200.5</v>
      </c>
      <c r="O569" s="5">
        <f t="shared" ref="O569" si="366">L569-H569+M569</f>
        <v>152.5</v>
      </c>
      <c r="P569" s="123">
        <f t="shared" ref="P569" si="367">O569*J569</f>
        <v>610</v>
      </c>
      <c r="Q569" s="124">
        <f t="shared" ref="Q569" si="368">P569*12</f>
        <v>7320</v>
      </c>
      <c r="R569" s="124">
        <f t="shared" ref="R569" si="369">Q569*0.2409</f>
        <v>1763.3879999999999</v>
      </c>
      <c r="S569" s="125">
        <f t="shared" ref="S569" si="370">Q569+R569</f>
        <v>9083.387999999999</v>
      </c>
      <c r="T569" s="82"/>
    </row>
    <row r="570" spans="2:20" s="52" customFormat="1" x14ac:dyDescent="0.25">
      <c r="B570" s="126" t="s">
        <v>39</v>
      </c>
      <c r="C570" s="54"/>
      <c r="D570" s="54"/>
      <c r="E570" s="54"/>
      <c r="F570" s="55"/>
      <c r="G570" s="56"/>
      <c r="H570" s="6"/>
      <c r="I570" s="7"/>
      <c r="J570" s="67">
        <f>J569</f>
        <v>4</v>
      </c>
      <c r="K570" s="58"/>
      <c r="L570" s="7"/>
      <c r="M570" s="59"/>
      <c r="N570" s="57"/>
      <c r="O570" s="7"/>
      <c r="P570" s="57"/>
      <c r="Q570" s="60">
        <f t="shared" ref="Q570:S570" si="371">Q569</f>
        <v>7320</v>
      </c>
      <c r="R570" s="60">
        <f t="shared" si="371"/>
        <v>1763.3879999999999</v>
      </c>
      <c r="S570" s="61">
        <f t="shared" si="371"/>
        <v>9083.387999999999</v>
      </c>
      <c r="T570" s="127"/>
    </row>
    <row r="571" spans="2:20" s="64" customFormat="1" ht="13.5" thickBot="1" x14ac:dyDescent="0.25">
      <c r="B571" s="129" t="s">
        <v>346</v>
      </c>
      <c r="C571" s="130"/>
      <c r="D571" s="130"/>
      <c r="E571" s="130"/>
      <c r="F571" s="130"/>
      <c r="G571" s="75"/>
      <c r="H571" s="76"/>
      <c r="I571" s="76"/>
      <c r="J571" s="131">
        <f>J559+J567+J570</f>
        <v>137</v>
      </c>
      <c r="K571" s="129"/>
      <c r="L571" s="130"/>
      <c r="M571" s="130"/>
      <c r="N571" s="130"/>
      <c r="O571" s="130"/>
      <c r="P571" s="130"/>
      <c r="Q571" s="77">
        <f>Q559+Q567+Q570</f>
        <v>369442.5</v>
      </c>
      <c r="R571" s="77">
        <f>R559+R567+R570</f>
        <v>88998.698250000001</v>
      </c>
      <c r="S571" s="78">
        <f>S559+S567+S570</f>
        <v>458441.19824999996</v>
      </c>
      <c r="T571" s="82"/>
    </row>
    <row r="572" spans="2:20" s="64" customFormat="1" ht="13.5" thickBot="1" x14ac:dyDescent="0.25">
      <c r="B572" s="50"/>
      <c r="C572" s="50"/>
      <c r="D572" s="50"/>
      <c r="E572" s="50"/>
      <c r="F572" s="50"/>
      <c r="G572" s="79"/>
      <c r="H572" s="80"/>
      <c r="I572" s="80"/>
      <c r="J572" s="81"/>
      <c r="T572" s="82"/>
    </row>
    <row r="573" spans="2:20" s="51" customFormat="1" ht="16.5" customHeight="1" thickBot="1" x14ac:dyDescent="0.3">
      <c r="B573" s="1002" t="s">
        <v>347</v>
      </c>
      <c r="C573" s="1003"/>
      <c r="D573" s="1003"/>
      <c r="E573" s="1003"/>
      <c r="F573" s="1003"/>
      <c r="G573" s="1003"/>
      <c r="H573" s="1003"/>
      <c r="I573" s="1003"/>
      <c r="J573" s="1004"/>
      <c r="K573" s="253"/>
      <c r="L573" s="96"/>
      <c r="M573" s="96"/>
      <c r="N573" s="96"/>
      <c r="O573" s="96"/>
      <c r="P573" s="96"/>
      <c r="Q573" s="96"/>
      <c r="R573" s="96"/>
      <c r="S573" s="97"/>
    </row>
    <row r="574" spans="2:20" s="66" customFormat="1" ht="15" customHeight="1" x14ac:dyDescent="0.2">
      <c r="B574" s="254" t="s">
        <v>348</v>
      </c>
      <c r="C574" s="255"/>
      <c r="D574" s="255"/>
      <c r="E574" s="255"/>
      <c r="F574" s="255"/>
      <c r="G574" s="256"/>
      <c r="H574" s="257"/>
      <c r="I574" s="257"/>
      <c r="J574" s="258"/>
      <c r="K574" s="45"/>
      <c r="L574" s="12"/>
      <c r="M574" s="104"/>
      <c r="N574" s="105"/>
      <c r="O574" s="12"/>
      <c r="P574" s="105"/>
      <c r="Q574" s="106"/>
      <c r="R574" s="106"/>
      <c r="S574" s="107"/>
    </row>
    <row r="575" spans="2:20" s="109" customFormat="1" x14ac:dyDescent="0.2">
      <c r="B575" s="110" t="s">
        <v>40</v>
      </c>
      <c r="C575" s="111"/>
      <c r="D575" s="111"/>
      <c r="E575" s="111"/>
      <c r="F575" s="111"/>
      <c r="G575" s="34"/>
      <c r="H575" s="112"/>
      <c r="I575" s="113"/>
      <c r="J575" s="259"/>
      <c r="K575" s="260"/>
      <c r="L575" s="116"/>
      <c r="M575" s="117"/>
      <c r="N575" s="118"/>
      <c r="O575" s="117"/>
      <c r="P575" s="117"/>
      <c r="Q575" s="117"/>
      <c r="R575" s="119"/>
      <c r="S575" s="120"/>
      <c r="T575" s="95"/>
    </row>
    <row r="576" spans="2:20" s="64" customFormat="1" x14ac:dyDescent="0.2">
      <c r="B576" s="261" t="s">
        <v>81</v>
      </c>
      <c r="C576" s="262" t="s">
        <v>23</v>
      </c>
      <c r="D576" s="263" t="s">
        <v>349</v>
      </c>
      <c r="E576" s="263">
        <v>8</v>
      </c>
      <c r="F576" s="263">
        <v>3</v>
      </c>
      <c r="G576" s="264">
        <v>1093</v>
      </c>
      <c r="H576" s="265">
        <v>740</v>
      </c>
      <c r="I576" s="265">
        <v>148</v>
      </c>
      <c r="J576" s="266">
        <v>0.4</v>
      </c>
      <c r="K576" s="8">
        <f t="shared" ref="K576" si="372">H576*1.27</f>
        <v>939.80000000000007</v>
      </c>
      <c r="L576" s="5">
        <f t="shared" ref="L576" si="373">IF(K576&lt;=G576,K576,G576)</f>
        <v>939.80000000000007</v>
      </c>
      <c r="M576" s="267">
        <f t="shared" ref="M576" si="374">N576-I576</f>
        <v>39.960000000000036</v>
      </c>
      <c r="N576" s="268">
        <f>I576/H576*L576</f>
        <v>187.96000000000004</v>
      </c>
      <c r="O576" s="46">
        <f>L576-H576+M576</f>
        <v>239.7600000000001</v>
      </c>
      <c r="P576" s="123">
        <f t="shared" ref="P576" si="375">O576*J576</f>
        <v>95.904000000000053</v>
      </c>
      <c r="Q576" s="124">
        <f t="shared" ref="Q576" si="376">P576*12</f>
        <v>1150.8480000000006</v>
      </c>
      <c r="R576" s="124">
        <f t="shared" ref="R576" si="377">Q576*0.2409</f>
        <v>277.23928320000016</v>
      </c>
      <c r="S576" s="125">
        <f t="shared" ref="S576" si="378">Q576+R576</f>
        <v>1428.0872832000009</v>
      </c>
    </row>
    <row r="577" spans="2:20" s="64" customFormat="1" x14ac:dyDescent="0.2">
      <c r="B577" s="269" t="s">
        <v>39</v>
      </c>
      <c r="C577" s="270"/>
      <c r="D577" s="270"/>
      <c r="E577" s="270"/>
      <c r="F577" s="270"/>
      <c r="G577" s="271"/>
      <c r="H577" s="7"/>
      <c r="I577" s="7"/>
      <c r="J577" s="272">
        <f>SUM(J576)</f>
        <v>0.4</v>
      </c>
      <c r="K577" s="65"/>
      <c r="L577" s="7"/>
      <c r="M577" s="59"/>
      <c r="N577" s="57"/>
      <c r="O577" s="7"/>
      <c r="P577" s="57"/>
      <c r="Q577" s="60">
        <f>Q576</f>
        <v>1150.8480000000006</v>
      </c>
      <c r="R577" s="60">
        <f>R576</f>
        <v>277.23928320000016</v>
      </c>
      <c r="S577" s="61">
        <f>S576</f>
        <v>1428.0872832000009</v>
      </c>
    </row>
    <row r="578" spans="2:20" s="273" customFormat="1" ht="15" customHeight="1" x14ac:dyDescent="0.2">
      <c r="B578" s="274" t="s">
        <v>350</v>
      </c>
      <c r="C578" s="275"/>
      <c r="D578" s="275"/>
      <c r="E578" s="275"/>
      <c r="F578" s="275"/>
      <c r="G578" s="276"/>
      <c r="H578" s="277"/>
      <c r="I578" s="277"/>
      <c r="J578" s="278"/>
      <c r="K578" s="279"/>
      <c r="L578" s="280"/>
      <c r="M578" s="280"/>
      <c r="N578" s="280"/>
      <c r="O578" s="280"/>
      <c r="P578" s="280"/>
      <c r="Q578" s="280"/>
      <c r="R578" s="280"/>
      <c r="S578" s="281"/>
    </row>
    <row r="579" spans="2:20" s="109" customFormat="1" x14ac:dyDescent="0.2">
      <c r="B579" s="110" t="s">
        <v>19</v>
      </c>
      <c r="C579" s="111"/>
      <c r="D579" s="111"/>
      <c r="E579" s="111"/>
      <c r="F579" s="111"/>
      <c r="G579" s="34"/>
      <c r="H579" s="112"/>
      <c r="I579" s="113"/>
      <c r="J579" s="259"/>
      <c r="K579" s="282"/>
      <c r="L579" s="483"/>
      <c r="M579" s="283"/>
      <c r="N579" s="284"/>
      <c r="O579" s="283"/>
      <c r="P579" s="285"/>
      <c r="Q579" s="285"/>
      <c r="R579" s="286"/>
      <c r="S579" s="287"/>
      <c r="T579" s="95"/>
    </row>
    <row r="580" spans="2:20" s="66" customFormat="1" x14ac:dyDescent="0.2">
      <c r="B580" s="261" t="s">
        <v>261</v>
      </c>
      <c r="C580" s="262" t="s">
        <v>23</v>
      </c>
      <c r="D580" s="263" t="s">
        <v>24</v>
      </c>
      <c r="E580" s="263">
        <v>10</v>
      </c>
      <c r="F580" s="263">
        <v>3</v>
      </c>
      <c r="G580" s="264">
        <v>1287</v>
      </c>
      <c r="H580" s="265">
        <v>980</v>
      </c>
      <c r="I580" s="265">
        <v>98</v>
      </c>
      <c r="J580" s="266">
        <v>0.15</v>
      </c>
      <c r="K580" s="8">
        <f t="shared" ref="K580:K581" si="379">H580*1.27</f>
        <v>1244.5999999999999</v>
      </c>
      <c r="L580" s="5">
        <f t="shared" ref="L580:L581" si="380">IF(K580&lt;=G580,K580,G580)</f>
        <v>1244.5999999999999</v>
      </c>
      <c r="M580" s="267">
        <f t="shared" ref="M580:M581" si="381">N580-I580</f>
        <v>26.459999999999994</v>
      </c>
      <c r="N580" s="268">
        <f>I580/H580*L580</f>
        <v>124.46</v>
      </c>
      <c r="O580" s="46">
        <f t="shared" ref="O580:O581" si="382">L580-H580+M580</f>
        <v>291.05999999999989</v>
      </c>
      <c r="P580" s="123">
        <f t="shared" ref="P580:P581" si="383">O580*J580</f>
        <v>43.658999999999985</v>
      </c>
      <c r="Q580" s="124">
        <f t="shared" ref="Q580:Q581" si="384">P580*12</f>
        <v>523.90799999999979</v>
      </c>
      <c r="R580" s="124">
        <f t="shared" ref="R580:R581" si="385">Q580*0.2409</f>
        <v>126.20943719999995</v>
      </c>
      <c r="S580" s="125">
        <f t="shared" ref="S580:S581" si="386">Q580+R580</f>
        <v>650.1174371999997</v>
      </c>
    </row>
    <row r="581" spans="2:20" s="66" customFormat="1" x14ac:dyDescent="0.2">
      <c r="B581" s="288" t="s">
        <v>261</v>
      </c>
      <c r="C581" s="262" t="s">
        <v>23</v>
      </c>
      <c r="D581" s="263" t="s">
        <v>24</v>
      </c>
      <c r="E581" s="289">
        <v>10</v>
      </c>
      <c r="F581" s="289">
        <v>3</v>
      </c>
      <c r="G581" s="290">
        <v>1287</v>
      </c>
      <c r="H581" s="291">
        <v>650</v>
      </c>
      <c r="I581" s="291">
        <v>0</v>
      </c>
      <c r="J581" s="292">
        <v>1</v>
      </c>
      <c r="K581" s="8">
        <f t="shared" si="379"/>
        <v>825.5</v>
      </c>
      <c r="L581" s="5">
        <f t="shared" si="380"/>
        <v>825.5</v>
      </c>
      <c r="M581" s="267">
        <f t="shared" si="381"/>
        <v>0</v>
      </c>
      <c r="N581" s="268">
        <f t="shared" ref="N581" si="387">I581/H581*L581</f>
        <v>0</v>
      </c>
      <c r="O581" s="46">
        <f t="shared" si="382"/>
        <v>175.5</v>
      </c>
      <c r="P581" s="123">
        <f t="shared" si="383"/>
        <v>175.5</v>
      </c>
      <c r="Q581" s="124">
        <f t="shared" si="384"/>
        <v>2106</v>
      </c>
      <c r="R581" s="124">
        <f t="shared" si="385"/>
        <v>507.33539999999999</v>
      </c>
      <c r="S581" s="125">
        <f t="shared" si="386"/>
        <v>2613.3353999999999</v>
      </c>
    </row>
    <row r="582" spans="2:20" s="64" customFormat="1" x14ac:dyDescent="0.2">
      <c r="B582" s="269" t="s">
        <v>39</v>
      </c>
      <c r="C582" s="270"/>
      <c r="D582" s="270"/>
      <c r="E582" s="270"/>
      <c r="F582" s="270"/>
      <c r="G582" s="271"/>
      <c r="H582" s="7"/>
      <c r="I582" s="7"/>
      <c r="J582" s="272">
        <f>J580+J581</f>
        <v>1.1499999999999999</v>
      </c>
      <c r="K582" s="65"/>
      <c r="L582" s="7"/>
      <c r="M582" s="59"/>
      <c r="N582" s="57"/>
      <c r="O582" s="7"/>
      <c r="P582" s="57"/>
      <c r="Q582" s="60">
        <f>Q580+Q581</f>
        <v>2629.9079999999999</v>
      </c>
      <c r="R582" s="60">
        <f t="shared" ref="R582:S582" si="388">R580+R581</f>
        <v>633.54483719999996</v>
      </c>
      <c r="S582" s="61">
        <f t="shared" si="388"/>
        <v>3263.4528371999995</v>
      </c>
    </row>
    <row r="583" spans="2:20" s="109" customFormat="1" x14ac:dyDescent="0.2">
      <c r="B583" s="110" t="s">
        <v>40</v>
      </c>
      <c r="C583" s="111"/>
      <c r="D583" s="111"/>
      <c r="E583" s="111"/>
      <c r="F583" s="111"/>
      <c r="G583" s="34"/>
      <c r="H583" s="112"/>
      <c r="I583" s="113"/>
      <c r="J583" s="259"/>
      <c r="K583" s="293"/>
      <c r="L583" s="294"/>
      <c r="M583" s="117"/>
      <c r="N583" s="294"/>
      <c r="O583" s="117"/>
      <c r="P583" s="117"/>
      <c r="Q583" s="117"/>
      <c r="R583" s="119"/>
      <c r="S583" s="120"/>
      <c r="T583" s="95"/>
    </row>
    <row r="584" spans="2:20" s="66" customFormat="1" x14ac:dyDescent="0.2">
      <c r="B584" s="288" t="s">
        <v>81</v>
      </c>
      <c r="C584" s="295" t="s">
        <v>23</v>
      </c>
      <c r="D584" s="289" t="s">
        <v>349</v>
      </c>
      <c r="E584" s="289">
        <v>8</v>
      </c>
      <c r="F584" s="289">
        <v>3</v>
      </c>
      <c r="G584" s="290">
        <v>1093</v>
      </c>
      <c r="H584" s="291">
        <v>850</v>
      </c>
      <c r="I584" s="291">
        <v>0</v>
      </c>
      <c r="J584" s="292">
        <v>0.5</v>
      </c>
      <c r="K584" s="8">
        <f t="shared" ref="K584:K601" si="389">H584*1.27</f>
        <v>1079.5</v>
      </c>
      <c r="L584" s="5">
        <f t="shared" ref="L584:L601" si="390">IF(K584&lt;=G584,K584,G584)</f>
        <v>1079.5</v>
      </c>
      <c r="M584" s="267">
        <f t="shared" ref="M584:M601" si="391">N584-I584</f>
        <v>0</v>
      </c>
      <c r="N584" s="268">
        <f t="shared" ref="N584:N601" si="392">I584/H584*L584</f>
        <v>0</v>
      </c>
      <c r="O584" s="46">
        <f t="shared" ref="O584:O600" si="393">L584-H584+M584</f>
        <v>229.5</v>
      </c>
      <c r="P584" s="123">
        <f t="shared" ref="P584:P600" si="394">O584*J584</f>
        <v>114.75</v>
      </c>
      <c r="Q584" s="124">
        <f t="shared" ref="Q584:Q601" si="395">P584*12</f>
        <v>1377</v>
      </c>
      <c r="R584" s="124">
        <f t="shared" ref="R584:R601" si="396">Q584*0.2409</f>
        <v>331.71930000000003</v>
      </c>
      <c r="S584" s="125">
        <f t="shared" ref="S584:S601" si="397">Q584+R584</f>
        <v>1708.7193</v>
      </c>
    </row>
    <row r="585" spans="2:20" s="66" customFormat="1" x14ac:dyDescent="0.2">
      <c r="B585" s="288" t="s">
        <v>81</v>
      </c>
      <c r="C585" s="295" t="s">
        <v>23</v>
      </c>
      <c r="D585" s="289" t="s">
        <v>349</v>
      </c>
      <c r="E585" s="289">
        <v>8</v>
      </c>
      <c r="F585" s="289">
        <v>3</v>
      </c>
      <c r="G585" s="290">
        <v>1093</v>
      </c>
      <c r="H585" s="291">
        <v>824</v>
      </c>
      <c r="I585" s="291">
        <v>0</v>
      </c>
      <c r="J585" s="292">
        <v>0.75</v>
      </c>
      <c r="K585" s="8">
        <f t="shared" si="389"/>
        <v>1046.48</v>
      </c>
      <c r="L585" s="5">
        <f t="shared" si="390"/>
        <v>1046.48</v>
      </c>
      <c r="M585" s="267">
        <f t="shared" si="391"/>
        <v>0</v>
      </c>
      <c r="N585" s="268">
        <f t="shared" si="392"/>
        <v>0</v>
      </c>
      <c r="O585" s="46">
        <f t="shared" si="393"/>
        <v>222.48000000000002</v>
      </c>
      <c r="P585" s="123">
        <f t="shared" si="394"/>
        <v>166.86</v>
      </c>
      <c r="Q585" s="124">
        <f t="shared" si="395"/>
        <v>2002.3200000000002</v>
      </c>
      <c r="R585" s="124">
        <f t="shared" si="396"/>
        <v>482.35888800000004</v>
      </c>
      <c r="S585" s="125">
        <f t="shared" si="397"/>
        <v>2484.6788880000004</v>
      </c>
    </row>
    <row r="586" spans="2:20" s="66" customFormat="1" x14ac:dyDescent="0.2">
      <c r="B586" s="288" t="s">
        <v>81</v>
      </c>
      <c r="C586" s="295" t="s">
        <v>23</v>
      </c>
      <c r="D586" s="289" t="s">
        <v>349</v>
      </c>
      <c r="E586" s="289">
        <v>8</v>
      </c>
      <c r="F586" s="289">
        <v>3</v>
      </c>
      <c r="G586" s="290">
        <v>1093</v>
      </c>
      <c r="H586" s="291">
        <v>700</v>
      </c>
      <c r="I586" s="291">
        <v>0</v>
      </c>
      <c r="J586" s="292">
        <v>1</v>
      </c>
      <c r="K586" s="8">
        <f t="shared" si="389"/>
        <v>889</v>
      </c>
      <c r="L586" s="5">
        <f t="shared" si="390"/>
        <v>889</v>
      </c>
      <c r="M586" s="267">
        <f t="shared" si="391"/>
        <v>0</v>
      </c>
      <c r="N586" s="268">
        <f t="shared" si="392"/>
        <v>0</v>
      </c>
      <c r="O586" s="46">
        <f t="shared" si="393"/>
        <v>189</v>
      </c>
      <c r="P586" s="123">
        <f t="shared" si="394"/>
        <v>189</v>
      </c>
      <c r="Q586" s="124">
        <f t="shared" si="395"/>
        <v>2268</v>
      </c>
      <c r="R586" s="124">
        <f t="shared" si="396"/>
        <v>546.36120000000005</v>
      </c>
      <c r="S586" s="125">
        <f t="shared" si="397"/>
        <v>2814.3612000000003</v>
      </c>
    </row>
    <row r="587" spans="2:20" s="66" customFormat="1" x14ac:dyDescent="0.2">
      <c r="B587" s="288" t="s">
        <v>81</v>
      </c>
      <c r="C587" s="295" t="s">
        <v>23</v>
      </c>
      <c r="D587" s="289" t="s">
        <v>349</v>
      </c>
      <c r="E587" s="289">
        <v>8</v>
      </c>
      <c r="F587" s="289">
        <v>3</v>
      </c>
      <c r="G587" s="290">
        <v>1093</v>
      </c>
      <c r="H587" s="291">
        <v>590</v>
      </c>
      <c r="I587" s="291">
        <v>0</v>
      </c>
      <c r="J587" s="292">
        <v>1</v>
      </c>
      <c r="K587" s="8">
        <f t="shared" si="389"/>
        <v>749.3</v>
      </c>
      <c r="L587" s="5">
        <f t="shared" si="390"/>
        <v>749.3</v>
      </c>
      <c r="M587" s="267">
        <f t="shared" si="391"/>
        <v>0</v>
      </c>
      <c r="N587" s="268">
        <f t="shared" si="392"/>
        <v>0</v>
      </c>
      <c r="O587" s="46">
        <f t="shared" si="393"/>
        <v>159.29999999999995</v>
      </c>
      <c r="P587" s="123">
        <f t="shared" si="394"/>
        <v>159.29999999999995</v>
      </c>
      <c r="Q587" s="124">
        <f t="shared" si="395"/>
        <v>1911.5999999999995</v>
      </c>
      <c r="R587" s="124">
        <f t="shared" si="396"/>
        <v>460.50443999999987</v>
      </c>
      <c r="S587" s="125">
        <f t="shared" si="397"/>
        <v>2372.1044399999992</v>
      </c>
    </row>
    <row r="588" spans="2:20" s="66" customFormat="1" x14ac:dyDescent="0.2">
      <c r="B588" s="288" t="s">
        <v>81</v>
      </c>
      <c r="C588" s="295" t="s">
        <v>23</v>
      </c>
      <c r="D588" s="289" t="s">
        <v>349</v>
      </c>
      <c r="E588" s="289">
        <v>8</v>
      </c>
      <c r="F588" s="289">
        <v>3</v>
      </c>
      <c r="G588" s="290">
        <v>1093</v>
      </c>
      <c r="H588" s="291">
        <v>550</v>
      </c>
      <c r="I588" s="291">
        <v>0</v>
      </c>
      <c r="J588" s="292">
        <v>0.25</v>
      </c>
      <c r="K588" s="8">
        <f t="shared" si="389"/>
        <v>698.5</v>
      </c>
      <c r="L588" s="5">
        <f t="shared" si="390"/>
        <v>698.5</v>
      </c>
      <c r="M588" s="267">
        <f t="shared" si="391"/>
        <v>0</v>
      </c>
      <c r="N588" s="268">
        <f t="shared" si="392"/>
        <v>0</v>
      </c>
      <c r="O588" s="46">
        <f t="shared" si="393"/>
        <v>148.5</v>
      </c>
      <c r="P588" s="123">
        <f t="shared" si="394"/>
        <v>37.125</v>
      </c>
      <c r="Q588" s="124">
        <f t="shared" si="395"/>
        <v>445.5</v>
      </c>
      <c r="R588" s="124">
        <f t="shared" si="396"/>
        <v>107.32095</v>
      </c>
      <c r="S588" s="125">
        <f t="shared" si="397"/>
        <v>552.82095000000004</v>
      </c>
    </row>
    <row r="589" spans="2:20" s="66" customFormat="1" x14ac:dyDescent="0.2">
      <c r="B589" s="288" t="s">
        <v>310</v>
      </c>
      <c r="C589" s="295" t="s">
        <v>23</v>
      </c>
      <c r="D589" s="289" t="s">
        <v>351</v>
      </c>
      <c r="E589" s="289">
        <v>8</v>
      </c>
      <c r="F589" s="289">
        <v>1</v>
      </c>
      <c r="G589" s="290">
        <v>745</v>
      </c>
      <c r="H589" s="291">
        <v>745</v>
      </c>
      <c r="I589" s="291">
        <v>0</v>
      </c>
      <c r="J589" s="292">
        <v>0.25</v>
      </c>
      <c r="K589" s="8">
        <f t="shared" si="389"/>
        <v>946.15</v>
      </c>
      <c r="L589" s="5">
        <f t="shared" si="390"/>
        <v>745</v>
      </c>
      <c r="M589" s="267">
        <f t="shared" si="391"/>
        <v>0</v>
      </c>
      <c r="N589" s="268">
        <f t="shared" si="392"/>
        <v>0</v>
      </c>
      <c r="O589" s="46">
        <f t="shared" si="393"/>
        <v>0</v>
      </c>
      <c r="P589" s="123">
        <f t="shared" si="394"/>
        <v>0</v>
      </c>
      <c r="Q589" s="124">
        <f t="shared" si="395"/>
        <v>0</v>
      </c>
      <c r="R589" s="124">
        <f t="shared" si="396"/>
        <v>0</v>
      </c>
      <c r="S589" s="125">
        <f t="shared" si="397"/>
        <v>0</v>
      </c>
    </row>
    <row r="590" spans="2:20" s="66" customFormat="1" x14ac:dyDescent="0.2">
      <c r="B590" s="288" t="s">
        <v>288</v>
      </c>
      <c r="C590" s="295" t="s">
        <v>23</v>
      </c>
      <c r="D590" s="289" t="s">
        <v>351</v>
      </c>
      <c r="E590" s="289">
        <v>8</v>
      </c>
      <c r="F590" s="289">
        <v>3</v>
      </c>
      <c r="G590" s="290">
        <v>1093</v>
      </c>
      <c r="H590" s="291">
        <v>780</v>
      </c>
      <c r="I590" s="291">
        <v>117</v>
      </c>
      <c r="J590" s="292">
        <v>0.2</v>
      </c>
      <c r="K590" s="8">
        <f t="shared" si="389"/>
        <v>990.6</v>
      </c>
      <c r="L590" s="5">
        <f t="shared" si="390"/>
        <v>990.6</v>
      </c>
      <c r="M590" s="267">
        <f t="shared" si="391"/>
        <v>31.590000000000003</v>
      </c>
      <c r="N590" s="268">
        <f t="shared" si="392"/>
        <v>148.59</v>
      </c>
      <c r="O590" s="46">
        <f t="shared" si="393"/>
        <v>242.19000000000003</v>
      </c>
      <c r="P590" s="123">
        <f t="shared" si="394"/>
        <v>48.438000000000009</v>
      </c>
      <c r="Q590" s="124">
        <f t="shared" si="395"/>
        <v>581.25600000000009</v>
      </c>
      <c r="R590" s="124">
        <f t="shared" si="396"/>
        <v>140.02457040000002</v>
      </c>
      <c r="S590" s="125">
        <f t="shared" si="397"/>
        <v>721.2805704000001</v>
      </c>
    </row>
    <row r="591" spans="2:20" s="66" customFormat="1" x14ac:dyDescent="0.2">
      <c r="B591" s="288" t="s">
        <v>285</v>
      </c>
      <c r="C591" s="295" t="s">
        <v>42</v>
      </c>
      <c r="D591" s="289" t="s">
        <v>45</v>
      </c>
      <c r="E591" s="289">
        <v>8</v>
      </c>
      <c r="F591" s="289">
        <v>3</v>
      </c>
      <c r="G591" s="290">
        <v>1093</v>
      </c>
      <c r="H591" s="291">
        <v>580</v>
      </c>
      <c r="I591" s="291">
        <v>145</v>
      </c>
      <c r="J591" s="292">
        <v>0.5</v>
      </c>
      <c r="K591" s="8">
        <f>H591*1.27</f>
        <v>736.6</v>
      </c>
      <c r="L591" s="5">
        <f t="shared" si="390"/>
        <v>736.6</v>
      </c>
      <c r="M591" s="267">
        <f t="shared" si="391"/>
        <v>39.150000000000006</v>
      </c>
      <c r="N591" s="268">
        <f>I591/H591*L591</f>
        <v>184.15</v>
      </c>
      <c r="O591" s="46">
        <f t="shared" si="393"/>
        <v>195.75000000000003</v>
      </c>
      <c r="P591" s="123">
        <f t="shared" si="394"/>
        <v>97.875000000000014</v>
      </c>
      <c r="Q591" s="124">
        <f t="shared" si="395"/>
        <v>1174.5000000000002</v>
      </c>
      <c r="R591" s="124">
        <f t="shared" si="396"/>
        <v>282.93705000000006</v>
      </c>
      <c r="S591" s="125">
        <f t="shared" si="397"/>
        <v>1457.4370500000002</v>
      </c>
    </row>
    <row r="592" spans="2:20" s="66" customFormat="1" x14ac:dyDescent="0.2">
      <c r="B592" s="288" t="s">
        <v>86</v>
      </c>
      <c r="C592" s="295" t="s">
        <v>42</v>
      </c>
      <c r="D592" s="289" t="s">
        <v>24</v>
      </c>
      <c r="E592" s="289">
        <v>7</v>
      </c>
      <c r="F592" s="289">
        <v>3</v>
      </c>
      <c r="G592" s="290">
        <v>996</v>
      </c>
      <c r="H592" s="291">
        <v>510</v>
      </c>
      <c r="I592" s="291">
        <v>51</v>
      </c>
      <c r="J592" s="292">
        <v>3</v>
      </c>
      <c r="K592" s="8">
        <f t="shared" si="389"/>
        <v>647.70000000000005</v>
      </c>
      <c r="L592" s="5">
        <f t="shared" si="390"/>
        <v>647.70000000000005</v>
      </c>
      <c r="M592" s="267">
        <f t="shared" si="391"/>
        <v>13.77000000000001</v>
      </c>
      <c r="N592" s="268">
        <f t="shared" si="392"/>
        <v>64.77000000000001</v>
      </c>
      <c r="O592" s="46">
        <f t="shared" si="393"/>
        <v>151.47000000000006</v>
      </c>
      <c r="P592" s="123">
        <f t="shared" si="394"/>
        <v>454.4100000000002</v>
      </c>
      <c r="Q592" s="124">
        <f t="shared" si="395"/>
        <v>5452.9200000000019</v>
      </c>
      <c r="R592" s="124">
        <f t="shared" si="396"/>
        <v>1313.6084280000005</v>
      </c>
      <c r="S592" s="125">
        <f t="shared" si="397"/>
        <v>6766.5284280000024</v>
      </c>
    </row>
    <row r="593" spans="2:21" s="66" customFormat="1" x14ac:dyDescent="0.2">
      <c r="B593" s="288" t="s">
        <v>86</v>
      </c>
      <c r="C593" s="295" t="s">
        <v>42</v>
      </c>
      <c r="D593" s="289" t="s">
        <v>24</v>
      </c>
      <c r="E593" s="289">
        <v>7</v>
      </c>
      <c r="F593" s="289">
        <v>3</v>
      </c>
      <c r="G593" s="290">
        <v>996</v>
      </c>
      <c r="H593" s="291">
        <v>670</v>
      </c>
      <c r="I593" s="291">
        <v>0</v>
      </c>
      <c r="J593" s="292">
        <v>0.5</v>
      </c>
      <c r="K593" s="8">
        <f t="shared" si="389"/>
        <v>850.9</v>
      </c>
      <c r="L593" s="5">
        <f t="shared" si="390"/>
        <v>850.9</v>
      </c>
      <c r="M593" s="267">
        <f t="shared" si="391"/>
        <v>0</v>
      </c>
      <c r="N593" s="268">
        <f t="shared" si="392"/>
        <v>0</v>
      </c>
      <c r="O593" s="46">
        <f t="shared" si="393"/>
        <v>180.89999999999998</v>
      </c>
      <c r="P593" s="123">
        <f t="shared" si="394"/>
        <v>90.449999999999989</v>
      </c>
      <c r="Q593" s="124">
        <f t="shared" si="395"/>
        <v>1085.3999999999999</v>
      </c>
      <c r="R593" s="124">
        <f t="shared" si="396"/>
        <v>261.47285999999997</v>
      </c>
      <c r="S593" s="125">
        <f t="shared" si="397"/>
        <v>1346.8728599999999</v>
      </c>
    </row>
    <row r="594" spans="2:21" s="66" customFormat="1" x14ac:dyDescent="0.2">
      <c r="B594" s="288" t="s">
        <v>86</v>
      </c>
      <c r="C594" s="295" t="s">
        <v>42</v>
      </c>
      <c r="D594" s="289" t="s">
        <v>24</v>
      </c>
      <c r="E594" s="289">
        <v>7</v>
      </c>
      <c r="F594" s="289">
        <v>2</v>
      </c>
      <c r="G594" s="290">
        <v>835</v>
      </c>
      <c r="H594" s="291">
        <v>600</v>
      </c>
      <c r="I594" s="291">
        <v>0</v>
      </c>
      <c r="J594" s="292">
        <v>0.5</v>
      </c>
      <c r="K594" s="8">
        <f t="shared" si="389"/>
        <v>762</v>
      </c>
      <c r="L594" s="5">
        <f t="shared" si="390"/>
        <v>762</v>
      </c>
      <c r="M594" s="267">
        <f t="shared" si="391"/>
        <v>0</v>
      </c>
      <c r="N594" s="268">
        <f t="shared" si="392"/>
        <v>0</v>
      </c>
      <c r="O594" s="46">
        <f t="shared" si="393"/>
        <v>162</v>
      </c>
      <c r="P594" s="123">
        <f t="shared" si="394"/>
        <v>81</v>
      </c>
      <c r="Q594" s="124">
        <f t="shared" si="395"/>
        <v>972</v>
      </c>
      <c r="R594" s="124">
        <f t="shared" si="396"/>
        <v>234.15479999999999</v>
      </c>
      <c r="S594" s="125">
        <f t="shared" si="397"/>
        <v>1206.1548</v>
      </c>
    </row>
    <row r="595" spans="2:21" s="66" customFormat="1" x14ac:dyDescent="0.2">
      <c r="B595" s="288" t="s">
        <v>86</v>
      </c>
      <c r="C595" s="295" t="s">
        <v>42</v>
      </c>
      <c r="D595" s="289" t="s">
        <v>24</v>
      </c>
      <c r="E595" s="289">
        <v>7</v>
      </c>
      <c r="F595" s="289">
        <v>3</v>
      </c>
      <c r="G595" s="290">
        <v>996</v>
      </c>
      <c r="H595" s="291">
        <v>570</v>
      </c>
      <c r="I595" s="291">
        <v>0</v>
      </c>
      <c r="J595" s="292">
        <v>1.25</v>
      </c>
      <c r="K595" s="8">
        <f t="shared" si="389"/>
        <v>723.9</v>
      </c>
      <c r="L595" s="5">
        <f t="shared" si="390"/>
        <v>723.9</v>
      </c>
      <c r="M595" s="267">
        <f t="shared" si="391"/>
        <v>0</v>
      </c>
      <c r="N595" s="268">
        <f t="shared" si="392"/>
        <v>0</v>
      </c>
      <c r="O595" s="46">
        <f t="shared" si="393"/>
        <v>153.89999999999998</v>
      </c>
      <c r="P595" s="123">
        <f t="shared" si="394"/>
        <v>192.37499999999997</v>
      </c>
      <c r="Q595" s="124">
        <f t="shared" si="395"/>
        <v>2308.4999999999995</v>
      </c>
      <c r="R595" s="124">
        <f t="shared" si="396"/>
        <v>556.11764999999991</v>
      </c>
      <c r="S595" s="125">
        <f t="shared" si="397"/>
        <v>2864.6176499999992</v>
      </c>
    </row>
    <row r="596" spans="2:21" s="66" customFormat="1" x14ac:dyDescent="0.2">
      <c r="B596" s="288" t="s">
        <v>86</v>
      </c>
      <c r="C596" s="295" t="s">
        <v>42</v>
      </c>
      <c r="D596" s="289" t="s">
        <v>24</v>
      </c>
      <c r="E596" s="289">
        <v>7</v>
      </c>
      <c r="F596" s="289">
        <v>3</v>
      </c>
      <c r="G596" s="290">
        <v>996</v>
      </c>
      <c r="H596" s="291">
        <v>550</v>
      </c>
      <c r="I596" s="291">
        <v>0</v>
      </c>
      <c r="J596" s="292">
        <v>1.75</v>
      </c>
      <c r="K596" s="8">
        <f t="shared" si="389"/>
        <v>698.5</v>
      </c>
      <c r="L596" s="5">
        <f t="shared" si="390"/>
        <v>698.5</v>
      </c>
      <c r="M596" s="267">
        <f t="shared" si="391"/>
        <v>0</v>
      </c>
      <c r="N596" s="268">
        <f t="shared" si="392"/>
        <v>0</v>
      </c>
      <c r="O596" s="46">
        <f t="shared" si="393"/>
        <v>148.5</v>
      </c>
      <c r="P596" s="123">
        <f t="shared" si="394"/>
        <v>259.875</v>
      </c>
      <c r="Q596" s="124">
        <f t="shared" si="395"/>
        <v>3118.5</v>
      </c>
      <c r="R596" s="124">
        <f t="shared" si="396"/>
        <v>751.24665000000005</v>
      </c>
      <c r="S596" s="125">
        <f t="shared" si="397"/>
        <v>3869.74665</v>
      </c>
    </row>
    <row r="597" spans="2:21" s="66" customFormat="1" x14ac:dyDescent="0.2">
      <c r="B597" s="288" t="s">
        <v>86</v>
      </c>
      <c r="C597" s="295" t="s">
        <v>42</v>
      </c>
      <c r="D597" s="289" t="s">
        <v>24</v>
      </c>
      <c r="E597" s="289">
        <v>7</v>
      </c>
      <c r="F597" s="289">
        <v>3</v>
      </c>
      <c r="G597" s="290">
        <v>996</v>
      </c>
      <c r="H597" s="291">
        <v>520</v>
      </c>
      <c r="I597" s="291">
        <v>0</v>
      </c>
      <c r="J597" s="292">
        <v>0.7</v>
      </c>
      <c r="K597" s="8">
        <f t="shared" si="389"/>
        <v>660.4</v>
      </c>
      <c r="L597" s="5">
        <f t="shared" si="390"/>
        <v>660.4</v>
      </c>
      <c r="M597" s="267">
        <f t="shared" si="391"/>
        <v>0</v>
      </c>
      <c r="N597" s="268">
        <f t="shared" si="392"/>
        <v>0</v>
      </c>
      <c r="O597" s="46">
        <f t="shared" si="393"/>
        <v>140.39999999999998</v>
      </c>
      <c r="P597" s="123">
        <f t="shared" si="394"/>
        <v>98.279999999999973</v>
      </c>
      <c r="Q597" s="124">
        <f t="shared" si="395"/>
        <v>1179.3599999999997</v>
      </c>
      <c r="R597" s="124">
        <f t="shared" si="396"/>
        <v>284.10782399999994</v>
      </c>
      <c r="S597" s="125">
        <f t="shared" si="397"/>
        <v>1463.4678239999996</v>
      </c>
    </row>
    <row r="598" spans="2:21" s="66" customFormat="1" x14ac:dyDescent="0.2">
      <c r="B598" s="288" t="s">
        <v>86</v>
      </c>
      <c r="C598" s="295" t="s">
        <v>42</v>
      </c>
      <c r="D598" s="289" t="s">
        <v>24</v>
      </c>
      <c r="E598" s="289">
        <v>7</v>
      </c>
      <c r="F598" s="289">
        <v>1</v>
      </c>
      <c r="G598" s="290">
        <v>675</v>
      </c>
      <c r="H598" s="291">
        <v>500</v>
      </c>
      <c r="I598" s="291">
        <v>0</v>
      </c>
      <c r="J598" s="292">
        <v>1</v>
      </c>
      <c r="K598" s="8">
        <f t="shared" si="389"/>
        <v>635</v>
      </c>
      <c r="L598" s="5">
        <f t="shared" si="390"/>
        <v>635</v>
      </c>
      <c r="M598" s="267">
        <f t="shared" si="391"/>
        <v>0</v>
      </c>
      <c r="N598" s="268">
        <f t="shared" si="392"/>
        <v>0</v>
      </c>
      <c r="O598" s="46">
        <f t="shared" si="393"/>
        <v>135</v>
      </c>
      <c r="P598" s="123">
        <f t="shared" si="394"/>
        <v>135</v>
      </c>
      <c r="Q598" s="124">
        <f t="shared" si="395"/>
        <v>1620</v>
      </c>
      <c r="R598" s="124">
        <f t="shared" si="396"/>
        <v>390.25799999999998</v>
      </c>
      <c r="S598" s="125">
        <f t="shared" si="397"/>
        <v>2010.258</v>
      </c>
    </row>
    <row r="599" spans="2:21" s="66" customFormat="1" x14ac:dyDescent="0.2">
      <c r="B599" s="288" t="s">
        <v>86</v>
      </c>
      <c r="C599" s="295" t="s">
        <v>42</v>
      </c>
      <c r="D599" s="289" t="s">
        <v>24</v>
      </c>
      <c r="E599" s="289">
        <v>7</v>
      </c>
      <c r="F599" s="289">
        <v>3</v>
      </c>
      <c r="G599" s="290">
        <v>996</v>
      </c>
      <c r="H599" s="291">
        <v>500</v>
      </c>
      <c r="I599" s="291">
        <v>0</v>
      </c>
      <c r="J599" s="292">
        <v>0.8</v>
      </c>
      <c r="K599" s="8">
        <f t="shared" si="389"/>
        <v>635</v>
      </c>
      <c r="L599" s="5">
        <f t="shared" si="390"/>
        <v>635</v>
      </c>
      <c r="M599" s="267">
        <f t="shared" si="391"/>
        <v>0</v>
      </c>
      <c r="N599" s="268">
        <f t="shared" si="392"/>
        <v>0</v>
      </c>
      <c r="O599" s="46">
        <f t="shared" si="393"/>
        <v>135</v>
      </c>
      <c r="P599" s="123">
        <f t="shared" si="394"/>
        <v>108</v>
      </c>
      <c r="Q599" s="124">
        <f t="shared" si="395"/>
        <v>1296</v>
      </c>
      <c r="R599" s="124">
        <f t="shared" si="396"/>
        <v>312.20640000000003</v>
      </c>
      <c r="S599" s="125">
        <f t="shared" si="397"/>
        <v>1608.2064</v>
      </c>
    </row>
    <row r="600" spans="2:21" s="66" customFormat="1" x14ac:dyDescent="0.2">
      <c r="B600" s="288" t="s">
        <v>86</v>
      </c>
      <c r="C600" s="295" t="s">
        <v>42</v>
      </c>
      <c r="D600" s="289" t="s">
        <v>25</v>
      </c>
      <c r="E600" s="289">
        <v>6</v>
      </c>
      <c r="F600" s="289">
        <v>3</v>
      </c>
      <c r="G600" s="290">
        <v>899</v>
      </c>
      <c r="H600" s="291">
        <v>800</v>
      </c>
      <c r="I600" s="291">
        <v>0</v>
      </c>
      <c r="J600" s="292">
        <v>0.5</v>
      </c>
      <c r="K600" s="8">
        <f t="shared" si="389"/>
        <v>1016</v>
      </c>
      <c r="L600" s="5">
        <f t="shared" si="390"/>
        <v>899</v>
      </c>
      <c r="M600" s="267">
        <f t="shared" si="391"/>
        <v>0</v>
      </c>
      <c r="N600" s="268">
        <f t="shared" si="392"/>
        <v>0</v>
      </c>
      <c r="O600" s="46">
        <f t="shared" si="393"/>
        <v>99</v>
      </c>
      <c r="P600" s="123">
        <f t="shared" si="394"/>
        <v>49.5</v>
      </c>
      <c r="Q600" s="124">
        <f t="shared" si="395"/>
        <v>594</v>
      </c>
      <c r="R600" s="124">
        <f t="shared" si="396"/>
        <v>143.09460000000001</v>
      </c>
      <c r="S600" s="125">
        <f t="shared" si="397"/>
        <v>737.09460000000001</v>
      </c>
    </row>
    <row r="601" spans="2:21" s="66" customFormat="1" x14ac:dyDescent="0.2">
      <c r="B601" s="288" t="s">
        <v>86</v>
      </c>
      <c r="C601" s="295" t="s">
        <v>42</v>
      </c>
      <c r="D601" s="289" t="s">
        <v>25</v>
      </c>
      <c r="E601" s="289">
        <v>6</v>
      </c>
      <c r="F601" s="289">
        <v>3</v>
      </c>
      <c r="G601" s="290">
        <v>899</v>
      </c>
      <c r="H601" s="291">
        <v>504</v>
      </c>
      <c r="I601" s="291">
        <v>0</v>
      </c>
      <c r="J601" s="292">
        <v>0.1</v>
      </c>
      <c r="K601" s="8">
        <f t="shared" si="389"/>
        <v>640.08000000000004</v>
      </c>
      <c r="L601" s="5">
        <f t="shared" si="390"/>
        <v>640.08000000000004</v>
      </c>
      <c r="M601" s="267">
        <f t="shared" si="391"/>
        <v>0</v>
      </c>
      <c r="N601" s="268">
        <f t="shared" si="392"/>
        <v>0</v>
      </c>
      <c r="O601" s="46">
        <f>L601-H601+M601</f>
        <v>136.08000000000004</v>
      </c>
      <c r="P601" s="123">
        <f>O601*J601</f>
        <v>13.608000000000004</v>
      </c>
      <c r="Q601" s="124">
        <f t="shared" si="395"/>
        <v>163.29600000000005</v>
      </c>
      <c r="R601" s="124">
        <f t="shared" si="396"/>
        <v>39.338006400000012</v>
      </c>
      <c r="S601" s="125">
        <f t="shared" si="397"/>
        <v>202.63400640000006</v>
      </c>
    </row>
    <row r="602" spans="2:21" s="64" customFormat="1" x14ac:dyDescent="0.2">
      <c r="B602" s="269" t="s">
        <v>39</v>
      </c>
      <c r="C602" s="270"/>
      <c r="D602" s="270"/>
      <c r="E602" s="270"/>
      <c r="F602" s="270"/>
      <c r="G602" s="271"/>
      <c r="H602" s="7"/>
      <c r="I602" s="7"/>
      <c r="J602" s="272">
        <f>SUM(J584:J601)</f>
        <v>14.549999999999999</v>
      </c>
      <c r="K602" s="65"/>
      <c r="L602" s="7"/>
      <c r="M602" s="59"/>
      <c r="N602" s="57"/>
      <c r="O602" s="7"/>
      <c r="P602" s="57"/>
      <c r="Q602" s="60">
        <f t="shared" ref="Q602:S602" si="398">SUM(Q584:Q601)</f>
        <v>27550.151999999998</v>
      </c>
      <c r="R602" s="60">
        <f t="shared" si="398"/>
        <v>6636.831616800001</v>
      </c>
      <c r="S602" s="61">
        <f t="shared" si="398"/>
        <v>34186.983616800004</v>
      </c>
      <c r="U602" s="484"/>
    </row>
    <row r="603" spans="2:21" s="296" customFormat="1" ht="15" customHeight="1" x14ac:dyDescent="0.25">
      <c r="B603" s="297" t="s">
        <v>352</v>
      </c>
      <c r="C603" s="298"/>
      <c r="D603" s="298"/>
      <c r="E603" s="298"/>
      <c r="F603" s="298"/>
      <c r="G603" s="299"/>
      <c r="H603" s="300"/>
      <c r="I603" s="300"/>
      <c r="J603" s="301"/>
      <c r="K603" s="302"/>
      <c r="L603" s="303"/>
      <c r="M603" s="303"/>
      <c r="N603" s="303"/>
      <c r="O603" s="303"/>
      <c r="P603" s="303"/>
      <c r="Q603" s="303"/>
      <c r="R603" s="303"/>
      <c r="S603" s="304"/>
    </row>
    <row r="604" spans="2:21" s="109" customFormat="1" x14ac:dyDescent="0.2">
      <c r="B604" s="110" t="s">
        <v>19</v>
      </c>
      <c r="C604" s="111"/>
      <c r="D604" s="111"/>
      <c r="E604" s="111"/>
      <c r="F604" s="111"/>
      <c r="G604" s="34"/>
      <c r="H604" s="47"/>
      <c r="I604" s="47"/>
      <c r="J604" s="259"/>
      <c r="K604" s="305"/>
      <c r="L604" s="284"/>
      <c r="M604" s="283"/>
      <c r="N604" s="284"/>
      <c r="O604" s="283"/>
      <c r="P604" s="283"/>
      <c r="Q604" s="283"/>
      <c r="R604" s="306"/>
      <c r="S604" s="307"/>
      <c r="T604" s="95"/>
    </row>
    <row r="605" spans="2:21" s="64" customFormat="1" x14ac:dyDescent="0.2">
      <c r="B605" s="261" t="s">
        <v>72</v>
      </c>
      <c r="C605" s="308" t="s">
        <v>61</v>
      </c>
      <c r="D605" s="263" t="s">
        <v>24</v>
      </c>
      <c r="E605" s="263">
        <v>10</v>
      </c>
      <c r="F605" s="263">
        <v>3</v>
      </c>
      <c r="G605" s="264">
        <v>1287</v>
      </c>
      <c r="H605" s="265">
        <v>768</v>
      </c>
      <c r="I605" s="291">
        <v>0</v>
      </c>
      <c r="J605" s="266">
        <v>0.8</v>
      </c>
      <c r="K605" s="8">
        <f t="shared" ref="K605:K609" si="399">H605*1.27</f>
        <v>975.36</v>
      </c>
      <c r="L605" s="5">
        <f t="shared" ref="L605:L609" si="400">IF(K605&lt;=G605,K605,G605)</f>
        <v>975.36</v>
      </c>
      <c r="M605" s="267">
        <f t="shared" ref="M605:M609" si="401">N605-I605</f>
        <v>0</v>
      </c>
      <c r="N605" s="268">
        <f t="shared" ref="N605:N609" si="402">I605/H605*L605</f>
        <v>0</v>
      </c>
      <c r="O605" s="46">
        <f t="shared" ref="O605:O609" si="403">L605-H605+M605</f>
        <v>207.36</v>
      </c>
      <c r="P605" s="123">
        <f t="shared" ref="P605:P609" si="404">O605*J605</f>
        <v>165.88800000000003</v>
      </c>
      <c r="Q605" s="124">
        <f t="shared" ref="Q605:Q609" si="405">P605*12</f>
        <v>1990.6560000000004</v>
      </c>
      <c r="R605" s="124">
        <f t="shared" ref="R605:R609" si="406">Q605*0.2409</f>
        <v>479.54903040000011</v>
      </c>
      <c r="S605" s="125">
        <f t="shared" ref="S605:S609" si="407">Q605+R605</f>
        <v>2470.2050304000004</v>
      </c>
    </row>
    <row r="606" spans="2:21" s="64" customFormat="1" x14ac:dyDescent="0.2">
      <c r="B606" s="288" t="s">
        <v>72</v>
      </c>
      <c r="C606" s="309" t="s">
        <v>61</v>
      </c>
      <c r="D606" s="289" t="s">
        <v>38</v>
      </c>
      <c r="E606" s="289">
        <v>9</v>
      </c>
      <c r="F606" s="289">
        <v>3</v>
      </c>
      <c r="G606" s="290">
        <v>1190</v>
      </c>
      <c r="H606" s="291">
        <v>1033</v>
      </c>
      <c r="I606" s="291">
        <v>0</v>
      </c>
      <c r="J606" s="292">
        <v>0.4</v>
      </c>
      <c r="K606" s="8">
        <f t="shared" si="399"/>
        <v>1311.91</v>
      </c>
      <c r="L606" s="5">
        <f t="shared" si="400"/>
        <v>1190</v>
      </c>
      <c r="M606" s="267">
        <f t="shared" si="401"/>
        <v>0</v>
      </c>
      <c r="N606" s="268">
        <f t="shared" si="402"/>
        <v>0</v>
      </c>
      <c r="O606" s="46">
        <f t="shared" si="403"/>
        <v>157</v>
      </c>
      <c r="P606" s="123">
        <f t="shared" si="404"/>
        <v>62.800000000000004</v>
      </c>
      <c r="Q606" s="124">
        <f t="shared" si="405"/>
        <v>753.6</v>
      </c>
      <c r="R606" s="124">
        <f t="shared" si="406"/>
        <v>181.54224000000002</v>
      </c>
      <c r="S606" s="125">
        <f t="shared" si="407"/>
        <v>935.14224000000002</v>
      </c>
    </row>
    <row r="607" spans="2:21" s="64" customFormat="1" x14ac:dyDescent="0.2">
      <c r="B607" s="288" t="s">
        <v>72</v>
      </c>
      <c r="C607" s="309" t="s">
        <v>61</v>
      </c>
      <c r="D607" s="289" t="s">
        <v>193</v>
      </c>
      <c r="E607" s="289">
        <v>8</v>
      </c>
      <c r="F607" s="289">
        <v>3</v>
      </c>
      <c r="G607" s="290">
        <v>1093</v>
      </c>
      <c r="H607" s="291">
        <v>650</v>
      </c>
      <c r="I607" s="291">
        <v>0</v>
      </c>
      <c r="J607" s="292">
        <v>0.8</v>
      </c>
      <c r="K607" s="8">
        <f t="shared" si="399"/>
        <v>825.5</v>
      </c>
      <c r="L607" s="5">
        <f t="shared" si="400"/>
        <v>825.5</v>
      </c>
      <c r="M607" s="267">
        <f t="shared" si="401"/>
        <v>0</v>
      </c>
      <c r="N607" s="268">
        <f t="shared" si="402"/>
        <v>0</v>
      </c>
      <c r="O607" s="46">
        <f t="shared" si="403"/>
        <v>175.5</v>
      </c>
      <c r="P607" s="123">
        <f t="shared" si="404"/>
        <v>140.4</v>
      </c>
      <c r="Q607" s="124">
        <f t="shared" si="405"/>
        <v>1684.8000000000002</v>
      </c>
      <c r="R607" s="124">
        <f t="shared" si="406"/>
        <v>405.86832000000004</v>
      </c>
      <c r="S607" s="125">
        <f t="shared" si="407"/>
        <v>2090.6683200000002</v>
      </c>
    </row>
    <row r="608" spans="2:21" s="64" customFormat="1" x14ac:dyDescent="0.2">
      <c r="B608" s="288" t="s">
        <v>72</v>
      </c>
      <c r="C608" s="309" t="s">
        <v>61</v>
      </c>
      <c r="D608" s="289" t="s">
        <v>38</v>
      </c>
      <c r="E608" s="289">
        <v>9</v>
      </c>
      <c r="F608" s="289">
        <v>1</v>
      </c>
      <c r="G608" s="290">
        <v>835</v>
      </c>
      <c r="H608" s="291">
        <v>625</v>
      </c>
      <c r="I608" s="291">
        <v>0</v>
      </c>
      <c r="J608" s="292">
        <v>0.4</v>
      </c>
      <c r="K608" s="8">
        <f t="shared" si="399"/>
        <v>793.75</v>
      </c>
      <c r="L608" s="5">
        <f t="shared" si="400"/>
        <v>793.75</v>
      </c>
      <c r="M608" s="267">
        <f t="shared" si="401"/>
        <v>0</v>
      </c>
      <c r="N608" s="268">
        <f t="shared" si="402"/>
        <v>0</v>
      </c>
      <c r="O608" s="46">
        <f t="shared" si="403"/>
        <v>168.75</v>
      </c>
      <c r="P608" s="123">
        <f t="shared" si="404"/>
        <v>67.5</v>
      </c>
      <c r="Q608" s="124">
        <f t="shared" si="405"/>
        <v>810</v>
      </c>
      <c r="R608" s="124">
        <f t="shared" si="406"/>
        <v>195.12899999999999</v>
      </c>
      <c r="S608" s="125">
        <f t="shared" si="407"/>
        <v>1005.129</v>
      </c>
    </row>
    <row r="609" spans="2:22" s="64" customFormat="1" x14ac:dyDescent="0.2">
      <c r="B609" s="288" t="s">
        <v>72</v>
      </c>
      <c r="C609" s="309" t="s">
        <v>61</v>
      </c>
      <c r="D609" s="289" t="s">
        <v>38</v>
      </c>
      <c r="E609" s="289">
        <v>9</v>
      </c>
      <c r="F609" s="289">
        <v>2</v>
      </c>
      <c r="G609" s="290">
        <v>1015</v>
      </c>
      <c r="H609" s="291">
        <v>460</v>
      </c>
      <c r="I609" s="291">
        <v>0</v>
      </c>
      <c r="J609" s="292">
        <v>1</v>
      </c>
      <c r="K609" s="8">
        <f t="shared" si="399"/>
        <v>584.20000000000005</v>
      </c>
      <c r="L609" s="5">
        <f t="shared" si="400"/>
        <v>584.20000000000005</v>
      </c>
      <c r="M609" s="267">
        <f t="shared" si="401"/>
        <v>0</v>
      </c>
      <c r="N609" s="268">
        <f t="shared" si="402"/>
        <v>0</v>
      </c>
      <c r="O609" s="46">
        <f t="shared" si="403"/>
        <v>124.20000000000005</v>
      </c>
      <c r="P609" s="123">
        <f t="shared" si="404"/>
        <v>124.20000000000005</v>
      </c>
      <c r="Q609" s="124">
        <f t="shared" si="405"/>
        <v>1490.4000000000005</v>
      </c>
      <c r="R609" s="124">
        <f t="shared" si="406"/>
        <v>359.03736000000015</v>
      </c>
      <c r="S609" s="125">
        <f t="shared" si="407"/>
        <v>1849.4373600000008</v>
      </c>
    </row>
    <row r="610" spans="2:22" s="64" customFormat="1" x14ac:dyDescent="0.2">
      <c r="B610" s="269" t="s">
        <v>39</v>
      </c>
      <c r="C610" s="270"/>
      <c r="D610" s="270"/>
      <c r="E610" s="270"/>
      <c r="F610" s="270"/>
      <c r="G610" s="271"/>
      <c r="H610" s="7"/>
      <c r="I610" s="7"/>
      <c r="J610" s="272">
        <f>SUM(J605:J609)</f>
        <v>3.4</v>
      </c>
      <c r="K610" s="65"/>
      <c r="L610" s="7"/>
      <c r="M610" s="59"/>
      <c r="N610" s="57"/>
      <c r="O610" s="7"/>
      <c r="P610" s="57"/>
      <c r="Q610" s="60">
        <f t="shared" ref="Q610:S610" si="408">SUM(Q605:Q609)</f>
        <v>6729.456000000001</v>
      </c>
      <c r="R610" s="60">
        <f t="shared" si="408"/>
        <v>1621.1259504000004</v>
      </c>
      <c r="S610" s="61">
        <f t="shared" si="408"/>
        <v>8350.581950400001</v>
      </c>
    </row>
    <row r="611" spans="2:22" s="109" customFormat="1" x14ac:dyDescent="0.2">
      <c r="B611" s="110" t="s">
        <v>40</v>
      </c>
      <c r="C611" s="111"/>
      <c r="D611" s="111"/>
      <c r="E611" s="111"/>
      <c r="F611" s="111"/>
      <c r="G611" s="34"/>
      <c r="H611" s="112"/>
      <c r="I611" s="113"/>
      <c r="J611" s="259"/>
      <c r="K611" s="293"/>
      <c r="L611" s="294"/>
      <c r="M611" s="117"/>
      <c r="N611" s="294"/>
      <c r="O611" s="117"/>
      <c r="P611" s="117"/>
      <c r="Q611" s="117"/>
      <c r="R611" s="119"/>
      <c r="S611" s="120"/>
      <c r="T611" s="95"/>
    </row>
    <row r="612" spans="2:22" s="64" customFormat="1" x14ac:dyDescent="0.2">
      <c r="B612" s="288" t="s">
        <v>86</v>
      </c>
      <c r="C612" s="309" t="s">
        <v>69</v>
      </c>
      <c r="D612" s="289" t="s">
        <v>24</v>
      </c>
      <c r="E612" s="289">
        <v>7</v>
      </c>
      <c r="F612" s="289">
        <v>3</v>
      </c>
      <c r="G612" s="290">
        <v>996</v>
      </c>
      <c r="H612" s="291">
        <v>621</v>
      </c>
      <c r="I612" s="291">
        <v>0</v>
      </c>
      <c r="J612" s="292">
        <v>0.8</v>
      </c>
      <c r="K612" s="8">
        <f>H612*1.27</f>
        <v>788.67</v>
      </c>
      <c r="L612" s="5">
        <f t="shared" ref="L612:L613" si="409">IF(K612&lt;=G612,K612,G612)</f>
        <v>788.67</v>
      </c>
      <c r="M612" s="267">
        <f t="shared" ref="M612:M613" si="410">N612-I612</f>
        <v>0</v>
      </c>
      <c r="N612" s="268">
        <f t="shared" ref="N612:N613" si="411">I612/H612*L612</f>
        <v>0</v>
      </c>
      <c r="O612" s="46">
        <f>L612-H612+M612</f>
        <v>167.66999999999996</v>
      </c>
      <c r="P612" s="123">
        <f t="shared" ref="P612:P613" si="412">O612*J612</f>
        <v>134.13599999999997</v>
      </c>
      <c r="Q612" s="124">
        <f t="shared" ref="Q612:Q613" si="413">P612*12</f>
        <v>1609.6319999999996</v>
      </c>
      <c r="R612" s="124">
        <f t="shared" ref="R612:R613" si="414">Q612*0.2409</f>
        <v>387.76034879999992</v>
      </c>
      <c r="S612" s="125">
        <f t="shared" ref="S612:S613" si="415">Q612+R612</f>
        <v>1997.3923487999996</v>
      </c>
    </row>
    <row r="613" spans="2:22" s="64" customFormat="1" x14ac:dyDescent="0.2">
      <c r="B613" s="288" t="s">
        <v>86</v>
      </c>
      <c r="C613" s="309" t="s">
        <v>69</v>
      </c>
      <c r="D613" s="289" t="s">
        <v>24</v>
      </c>
      <c r="E613" s="289">
        <v>7</v>
      </c>
      <c r="F613" s="289">
        <v>2</v>
      </c>
      <c r="G613" s="290">
        <v>835</v>
      </c>
      <c r="H613" s="291">
        <v>472</v>
      </c>
      <c r="I613" s="291">
        <v>0</v>
      </c>
      <c r="J613" s="292">
        <v>1</v>
      </c>
      <c r="K613" s="8">
        <f t="shared" ref="K613" si="416">H613*1.27</f>
        <v>599.44000000000005</v>
      </c>
      <c r="L613" s="5">
        <f t="shared" si="409"/>
        <v>599.44000000000005</v>
      </c>
      <c r="M613" s="267">
        <f t="shared" si="410"/>
        <v>0</v>
      </c>
      <c r="N613" s="268">
        <f t="shared" si="411"/>
        <v>0</v>
      </c>
      <c r="O613" s="46">
        <f t="shared" ref="O613" si="417">L613-H613+M613</f>
        <v>127.44000000000005</v>
      </c>
      <c r="P613" s="123">
        <f t="shared" si="412"/>
        <v>127.44000000000005</v>
      </c>
      <c r="Q613" s="124">
        <f t="shared" si="413"/>
        <v>1529.2800000000007</v>
      </c>
      <c r="R613" s="124">
        <f t="shared" si="414"/>
        <v>368.40355200000016</v>
      </c>
      <c r="S613" s="125">
        <f t="shared" si="415"/>
        <v>1897.6835520000009</v>
      </c>
      <c r="V613" s="484"/>
    </row>
    <row r="614" spans="2:22" s="64" customFormat="1" x14ac:dyDescent="0.2">
      <c r="B614" s="269" t="s">
        <v>39</v>
      </c>
      <c r="C614" s="270"/>
      <c r="D614" s="270"/>
      <c r="E614" s="270"/>
      <c r="F614" s="270"/>
      <c r="G614" s="271"/>
      <c r="H614" s="7"/>
      <c r="I614" s="7"/>
      <c r="J614" s="272">
        <f>SUM(J612:J613)</f>
        <v>1.8</v>
      </c>
      <c r="K614" s="65"/>
      <c r="L614" s="7"/>
      <c r="M614" s="59"/>
      <c r="N614" s="57"/>
      <c r="O614" s="7"/>
      <c r="P614" s="57"/>
      <c r="Q614" s="60">
        <f t="shared" ref="Q614:S614" si="418">SUM(Q612:Q613)</f>
        <v>3138.9120000000003</v>
      </c>
      <c r="R614" s="60">
        <f t="shared" si="418"/>
        <v>756.16390080000008</v>
      </c>
      <c r="S614" s="61">
        <f t="shared" si="418"/>
        <v>3895.0759008000005</v>
      </c>
    </row>
    <row r="615" spans="2:22" s="64" customFormat="1" ht="15" customHeight="1" thickBot="1" x14ac:dyDescent="0.25">
      <c r="B615" s="310" t="s">
        <v>353</v>
      </c>
      <c r="C615" s="311"/>
      <c r="D615" s="311"/>
      <c r="E615" s="311"/>
      <c r="F615" s="311"/>
      <c r="G615" s="312"/>
      <c r="H615" s="313"/>
      <c r="I615" s="313"/>
      <c r="J615" s="314">
        <f>J577+J602+J614</f>
        <v>16.75</v>
      </c>
      <c r="K615" s="310"/>
      <c r="L615" s="311"/>
      <c r="M615" s="311"/>
      <c r="N615" s="311"/>
      <c r="O615" s="311"/>
      <c r="P615" s="311"/>
      <c r="Q615" s="315">
        <f>Q577+Q582+Q602+Q610+Q614</f>
        <v>41199.275999999998</v>
      </c>
      <c r="R615" s="315">
        <f t="shared" ref="R615:S615" si="419">R577+R582+R602+R610+R614</f>
        <v>9924.9055884000027</v>
      </c>
      <c r="S615" s="316">
        <f t="shared" si="419"/>
        <v>51124.18158840001</v>
      </c>
      <c r="T615" s="82"/>
    </row>
    <row r="616" spans="2:22" s="64" customFormat="1" ht="13.5" thickBot="1" x14ac:dyDescent="0.25">
      <c r="B616" s="50"/>
      <c r="C616" s="50"/>
      <c r="D616" s="50"/>
      <c r="E616" s="50"/>
      <c r="F616" s="50"/>
      <c r="G616" s="79"/>
      <c r="H616" s="80"/>
      <c r="I616" s="80"/>
      <c r="J616" s="81"/>
      <c r="T616" s="82"/>
    </row>
    <row r="617" spans="2:22" s="51" customFormat="1" ht="16.5" customHeight="1" thickBot="1" x14ac:dyDescent="0.3">
      <c r="B617" s="1002" t="s">
        <v>539</v>
      </c>
      <c r="C617" s="1003"/>
      <c r="D617" s="1003"/>
      <c r="E617" s="1003"/>
      <c r="F617" s="1003"/>
      <c r="G617" s="1003"/>
      <c r="H617" s="1003"/>
      <c r="I617" s="1003"/>
      <c r="J617" s="1003"/>
      <c r="K617" s="96"/>
      <c r="L617" s="96"/>
      <c r="M617" s="96"/>
      <c r="N617" s="96"/>
      <c r="O617" s="96"/>
      <c r="P617" s="96"/>
      <c r="Q617" s="96"/>
      <c r="R617" s="96"/>
      <c r="S617" s="97"/>
      <c r="T617" s="132"/>
    </row>
    <row r="618" spans="2:22" s="144" customFormat="1" ht="3" customHeight="1" x14ac:dyDescent="0.2">
      <c r="B618" s="988"/>
      <c r="C618" s="989"/>
      <c r="D618" s="989"/>
      <c r="E618" s="989"/>
      <c r="F618" s="989"/>
      <c r="G618" s="989"/>
      <c r="H618" s="989"/>
      <c r="I618" s="989"/>
      <c r="J618" s="990"/>
      <c r="K618" s="991"/>
      <c r="L618" s="992"/>
      <c r="M618" s="992"/>
      <c r="N618" s="992"/>
      <c r="O618" s="992"/>
      <c r="P618" s="992"/>
      <c r="Q618" s="992"/>
      <c r="R618" s="992"/>
      <c r="S618" s="993"/>
      <c r="T618" s="82"/>
    </row>
    <row r="619" spans="2:22" s="52" customFormat="1" x14ac:dyDescent="0.25">
      <c r="B619" s="239" t="s">
        <v>19</v>
      </c>
      <c r="C619" s="68"/>
      <c r="D619" s="68"/>
      <c r="E619" s="68"/>
      <c r="F619" s="240"/>
      <c r="G619" s="69"/>
      <c r="H619" s="9"/>
      <c r="I619" s="10"/>
      <c r="J619" s="241">
        <v>4.5</v>
      </c>
      <c r="K619" s="71"/>
      <c r="L619" s="10"/>
      <c r="M619" s="72"/>
      <c r="N619" s="70"/>
      <c r="O619" s="10"/>
      <c r="P619" s="70"/>
      <c r="Q619" s="73">
        <v>15785.280000000002</v>
      </c>
      <c r="R619" s="73">
        <f>ROUND(Q619*0.2409,0)</f>
        <v>3803</v>
      </c>
      <c r="S619" s="74">
        <f>Q619+R619</f>
        <v>19588.280000000002</v>
      </c>
      <c r="T619" s="127"/>
    </row>
    <row r="620" spans="2:22" s="52" customFormat="1" ht="13.5" thickBot="1" x14ac:dyDescent="0.3">
      <c r="B620" s="317" t="s">
        <v>40</v>
      </c>
      <c r="C620" s="318"/>
      <c r="D620" s="318"/>
      <c r="E620" s="318"/>
      <c r="F620" s="319"/>
      <c r="G620" s="320"/>
      <c r="H620" s="48"/>
      <c r="I620" s="49"/>
      <c r="J620" s="321">
        <f>151.1-4.5</f>
        <v>146.6</v>
      </c>
      <c r="K620" s="322"/>
      <c r="L620" s="49"/>
      <c r="M620" s="323"/>
      <c r="N620" s="324"/>
      <c r="O620" s="49"/>
      <c r="P620" s="324"/>
      <c r="Q620" s="325">
        <v>306749.85281999985</v>
      </c>
      <c r="R620" s="325">
        <f>ROUND(Q620*0.2409,0)</f>
        <v>73896</v>
      </c>
      <c r="S620" s="326">
        <f>Q620+R620</f>
        <v>380645.85281999985</v>
      </c>
      <c r="T620" s="127"/>
    </row>
    <row r="621" spans="2:22" s="64" customFormat="1" ht="15" customHeight="1" thickBot="1" x14ac:dyDescent="0.25">
      <c r="B621" s="327" t="s">
        <v>354</v>
      </c>
      <c r="C621" s="328"/>
      <c r="D621" s="328"/>
      <c r="E621" s="328"/>
      <c r="F621" s="328"/>
      <c r="G621" s="329"/>
      <c r="H621" s="330"/>
      <c r="I621" s="330"/>
      <c r="J621" s="331">
        <f>J619+J620</f>
        <v>151.1</v>
      </c>
      <c r="K621" s="327"/>
      <c r="L621" s="328"/>
      <c r="M621" s="328"/>
      <c r="N621" s="328"/>
      <c r="O621" s="328"/>
      <c r="P621" s="328"/>
      <c r="Q621" s="332">
        <f>Q619+Q620</f>
        <v>322535.13281999988</v>
      </c>
      <c r="R621" s="332">
        <f>R619+R620</f>
        <v>77699</v>
      </c>
      <c r="S621" s="333">
        <f>S619+S620</f>
        <v>400234.13281999988</v>
      </c>
      <c r="T621" s="82"/>
    </row>
    <row r="622" spans="2:22" s="64" customFormat="1" ht="13.5" thickBot="1" x14ac:dyDescent="0.25">
      <c r="B622" s="50"/>
      <c r="C622" s="50"/>
      <c r="D622" s="50"/>
      <c r="E622" s="50"/>
      <c r="F622" s="50"/>
      <c r="G622" s="79"/>
      <c r="H622" s="80"/>
      <c r="I622" s="80"/>
      <c r="J622" s="81"/>
      <c r="T622" s="82"/>
    </row>
    <row r="623" spans="2:22" s="52" customFormat="1" ht="14.25" x14ac:dyDescent="0.25">
      <c r="B623" s="334" t="s">
        <v>19</v>
      </c>
      <c r="C623" s="335"/>
      <c r="D623" s="335"/>
      <c r="E623" s="335"/>
      <c r="F623" s="335"/>
      <c r="G623" s="336"/>
      <c r="H623" s="337"/>
      <c r="I623" s="338"/>
      <c r="J623" s="339">
        <f>J369+J546+J559+J582+J610+J619</f>
        <v>241.37500000000003</v>
      </c>
      <c r="K623" s="340"/>
      <c r="L623" s="341"/>
      <c r="M623" s="335"/>
      <c r="N623" s="341"/>
      <c r="O623" s="341"/>
      <c r="P623" s="341"/>
      <c r="Q623" s="342">
        <f>Q369+Q546+Q559+Q582+Q610+Q619</f>
        <v>707503.5378315791</v>
      </c>
      <c r="R623" s="342">
        <f>R369+R546+R559+R582+R610+R619</f>
        <v>170437.92831162736</v>
      </c>
      <c r="S623" s="343">
        <f>S369+S546+S559+S582+S610+S619</f>
        <v>877940.41031780641</v>
      </c>
      <c r="T623" s="127"/>
    </row>
    <row r="624" spans="2:22" s="52" customFormat="1" ht="14.25" x14ac:dyDescent="0.25">
      <c r="B624" s="344" t="s">
        <v>40</v>
      </c>
      <c r="C624" s="345"/>
      <c r="D624" s="345"/>
      <c r="E624" s="345"/>
      <c r="F624" s="345"/>
      <c r="G624" s="346"/>
      <c r="H624" s="347"/>
      <c r="I624" s="348"/>
      <c r="J624" s="349">
        <f>J370+J547+J567+J577+J602+J614+J620</f>
        <v>544.69999999999993</v>
      </c>
      <c r="K624" s="350"/>
      <c r="L624" s="351"/>
      <c r="M624" s="345"/>
      <c r="N624" s="351"/>
      <c r="O624" s="351"/>
      <c r="P624" s="351"/>
      <c r="Q624" s="352">
        <f>Q370+Q547+Q567+Q577+Q602+Q614+Q620</f>
        <v>1182532.6497599999</v>
      </c>
      <c r="R624" s="352">
        <f>R370+R547+R567+R577+R602+R614+R620</f>
        <v>284872.07578284596</v>
      </c>
      <c r="S624" s="353">
        <f>S370+S547+S567+S577+S602+S614+S620</f>
        <v>1467405.0688608461</v>
      </c>
      <c r="T624" s="127"/>
    </row>
    <row r="625" spans="2:21" s="52" customFormat="1" ht="14.25" x14ac:dyDescent="0.25">
      <c r="B625" s="344" t="s">
        <v>94</v>
      </c>
      <c r="C625" s="345"/>
      <c r="D625" s="345"/>
      <c r="E625" s="345"/>
      <c r="F625" s="345"/>
      <c r="G625" s="346"/>
      <c r="H625" s="347"/>
      <c r="I625" s="348"/>
      <c r="J625" s="349">
        <f>J548+J570</f>
        <v>23.5</v>
      </c>
      <c r="K625" s="350"/>
      <c r="L625" s="351"/>
      <c r="M625" s="345"/>
      <c r="N625" s="351"/>
      <c r="O625" s="351"/>
      <c r="P625" s="351"/>
      <c r="Q625" s="352">
        <f>Q548+Q570</f>
        <v>41486.528400000003</v>
      </c>
      <c r="R625" s="352">
        <f>R548+R570</f>
        <v>9994.1046915600018</v>
      </c>
      <c r="S625" s="353">
        <f>S548+S570</f>
        <v>51480.633091560005</v>
      </c>
      <c r="T625" s="127"/>
    </row>
    <row r="626" spans="2:21" s="2" customFormat="1" ht="15" thickBot="1" x14ac:dyDescent="0.3">
      <c r="B626" s="354" t="s">
        <v>355</v>
      </c>
      <c r="C626" s="355"/>
      <c r="D626" s="355"/>
      <c r="E626" s="355"/>
      <c r="F626" s="355"/>
      <c r="G626" s="356"/>
      <c r="H626" s="357"/>
      <c r="I626" s="357"/>
      <c r="J626" s="358">
        <f>SUM(J623:J625)</f>
        <v>809.57499999999993</v>
      </c>
      <c r="K626" s="359"/>
      <c r="L626" s="360"/>
      <c r="M626" s="360"/>
      <c r="N626" s="360"/>
      <c r="O626" s="360"/>
      <c r="P626" s="360"/>
      <c r="Q626" s="361">
        <f t="shared" ref="Q626:R626" si="420">SUM(Q623:Q625)</f>
        <v>1931522.715991579</v>
      </c>
      <c r="R626" s="361">
        <f t="shared" si="420"/>
        <v>465304.10878603335</v>
      </c>
      <c r="S626" s="362">
        <f>SUM(S623:S625)</f>
        <v>2396826.1122702127</v>
      </c>
      <c r="T626" s="363"/>
    </row>
    <row r="627" spans="2:21" s="64" customFormat="1" ht="13.5" thickBot="1" x14ac:dyDescent="0.25">
      <c r="B627" s="50"/>
      <c r="C627" s="50"/>
      <c r="D627" s="50"/>
      <c r="E627" s="50"/>
      <c r="F627" s="50"/>
      <c r="G627" s="79"/>
      <c r="H627" s="80"/>
      <c r="I627" s="80"/>
      <c r="J627" s="81"/>
      <c r="T627" s="82"/>
    </row>
    <row r="628" spans="2:21" s="2" customFormat="1" ht="15.75" thickBot="1" x14ac:dyDescent="0.3">
      <c r="B628" s="994" t="s">
        <v>361</v>
      </c>
      <c r="C628" s="995"/>
      <c r="D628" s="995"/>
      <c r="E628" s="995"/>
      <c r="F628" s="995"/>
      <c r="G628" s="995"/>
      <c r="H628" s="995"/>
      <c r="I628" s="995"/>
      <c r="J628" s="995"/>
      <c r="K628" s="995"/>
      <c r="L628" s="995"/>
      <c r="M628" s="995"/>
      <c r="N628" s="995"/>
      <c r="O628" s="995"/>
      <c r="P628" s="995"/>
      <c r="Q628" s="995"/>
      <c r="R628" s="995"/>
      <c r="S628" s="364">
        <f>S626</f>
        <v>2396826.1122702127</v>
      </c>
      <c r="T628" s="3"/>
      <c r="U628" s="4"/>
    </row>
    <row r="629" spans="2:21" s="379" customFormat="1" ht="15.75" x14ac:dyDescent="0.25">
      <c r="B629" s="898"/>
      <c r="C629" s="899"/>
      <c r="D629" s="899"/>
      <c r="E629" s="899"/>
      <c r="F629" s="899"/>
      <c r="G629" s="900"/>
      <c r="H629" s="901"/>
      <c r="I629" s="395"/>
      <c r="J629" s="901"/>
      <c r="K629" s="899"/>
      <c r="L629" s="395"/>
      <c r="M629" s="899"/>
      <c r="N629" s="395"/>
      <c r="O629" s="395"/>
      <c r="P629" s="395"/>
      <c r="Q629" s="902"/>
      <c r="R629" s="902"/>
      <c r="S629" s="902"/>
      <c r="T629" s="744"/>
      <c r="U629" s="744"/>
    </row>
  </sheetData>
  <mergeCells count="24">
    <mergeCell ref="P1:S1"/>
    <mergeCell ref="H2:S2"/>
    <mergeCell ref="B618:J618"/>
    <mergeCell ref="K618:S618"/>
    <mergeCell ref="B628:R628"/>
    <mergeCell ref="B346:J346"/>
    <mergeCell ref="K346:S346"/>
    <mergeCell ref="B348:J348"/>
    <mergeCell ref="B373:J373"/>
    <mergeCell ref="B551:J551"/>
    <mergeCell ref="B573:J573"/>
    <mergeCell ref="B617:J617"/>
    <mergeCell ref="B344:S344"/>
    <mergeCell ref="B4:S4"/>
    <mergeCell ref="B6:J6"/>
    <mergeCell ref="K6:S6"/>
    <mergeCell ref="B332:R332"/>
    <mergeCell ref="B334:R334"/>
    <mergeCell ref="B341:R341"/>
    <mergeCell ref="B342:R342"/>
    <mergeCell ref="B340:R340"/>
    <mergeCell ref="B336:R336"/>
    <mergeCell ref="B338:R338"/>
    <mergeCell ref="B339:R339"/>
  </mergeCells>
  <pageMargins left="0.23622047244094491" right="0" top="0" bottom="0.74803149606299213" header="0.31496062992125984" footer="0.31496062992125984"/>
  <pageSetup paperSize="9" scale="71" orientation="landscape" verticalDpi="0" r:id="rId1"/>
  <headerFooter>
    <oddFooter>&amp;L&amp;F&amp;C&amp;P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tabSelected="1" zoomScale="90" zoomScaleNormal="90" workbookViewId="0">
      <selection activeCell="Y332" sqref="Y332"/>
    </sheetView>
  </sheetViews>
  <sheetFormatPr defaultRowHeight="15" x14ac:dyDescent="0.25"/>
  <cols>
    <col min="1" max="1" width="10.28515625" style="948" customWidth="1"/>
    <col min="2" max="2" width="11.28515625" style="948" customWidth="1"/>
    <col min="3" max="3" width="11.5703125" style="948" customWidth="1"/>
    <col min="4" max="4" width="10.28515625" style="948" customWidth="1"/>
    <col min="5" max="5" width="11.85546875" style="970" customWidth="1"/>
    <col min="6" max="6" width="10.85546875" style="948" customWidth="1"/>
    <col min="7" max="7" width="12" style="948" customWidth="1"/>
    <col min="8" max="8" width="12.7109375" style="948" customWidth="1"/>
    <col min="9" max="16384" width="9.140625" style="948"/>
  </cols>
  <sheetData>
    <row r="1" spans="1:8" x14ac:dyDescent="0.25">
      <c r="H1" s="971" t="s">
        <v>540</v>
      </c>
    </row>
    <row r="2" spans="1:8" s="934" customFormat="1" ht="68.25" customHeight="1" x14ac:dyDescent="0.25">
      <c r="A2" s="1009" t="s">
        <v>537</v>
      </c>
      <c r="B2" s="1009"/>
      <c r="C2" s="1009"/>
      <c r="D2" s="1009"/>
      <c r="E2" s="1009"/>
      <c r="F2" s="1009"/>
      <c r="G2" s="1009"/>
      <c r="H2" s="1009"/>
    </row>
    <row r="3" spans="1:8" s="934" customFormat="1" ht="16.5" customHeight="1" thickBot="1" x14ac:dyDescent="0.3">
      <c r="A3" s="972"/>
      <c r="B3" s="972"/>
      <c r="C3" s="972"/>
      <c r="D3" s="972"/>
      <c r="E3" s="972"/>
    </row>
    <row r="4" spans="1:8" s="934" customFormat="1" ht="16.5" customHeight="1" thickBot="1" x14ac:dyDescent="0.3">
      <c r="A4" s="1010" t="s">
        <v>529</v>
      </c>
      <c r="B4" s="1011"/>
      <c r="C4" s="1011"/>
      <c r="D4" s="1011"/>
      <c r="E4" s="1011"/>
      <c r="F4" s="1010" t="s">
        <v>417</v>
      </c>
      <c r="G4" s="1011"/>
      <c r="H4" s="1012"/>
    </row>
    <row r="5" spans="1:8" s="935" customFormat="1" ht="12.75" customHeight="1" x14ac:dyDescent="0.25">
      <c r="A5" s="1013" t="s">
        <v>423</v>
      </c>
      <c r="B5" s="1015" t="s">
        <v>530</v>
      </c>
      <c r="C5" s="1015" t="s">
        <v>531</v>
      </c>
      <c r="D5" s="1015" t="s">
        <v>532</v>
      </c>
      <c r="E5" s="1017" t="s">
        <v>533</v>
      </c>
      <c r="F5" s="1018" t="s">
        <v>538</v>
      </c>
      <c r="G5" s="1019" t="s">
        <v>534</v>
      </c>
      <c r="H5" s="1007" t="s">
        <v>535</v>
      </c>
    </row>
    <row r="6" spans="1:8" s="935" customFormat="1" ht="65.25" customHeight="1" x14ac:dyDescent="0.25">
      <c r="A6" s="1014"/>
      <c r="B6" s="1016"/>
      <c r="C6" s="1016"/>
      <c r="D6" s="1016"/>
      <c r="E6" s="1008"/>
      <c r="F6" s="1014"/>
      <c r="G6" s="1016"/>
      <c r="H6" s="1008"/>
    </row>
    <row r="7" spans="1:8" s="1" customFormat="1" ht="3.75" customHeight="1" x14ac:dyDescent="0.25">
      <c r="A7" s="936"/>
      <c r="B7" s="937"/>
      <c r="C7" s="937"/>
      <c r="D7" s="937"/>
      <c r="E7" s="938"/>
      <c r="F7" s="939"/>
      <c r="G7" s="940"/>
      <c r="H7" s="941"/>
    </row>
    <row r="8" spans="1:8" x14ac:dyDescent="0.25">
      <c r="A8" s="942"/>
      <c r="B8" s="943">
        <v>5</v>
      </c>
      <c r="C8" s="944">
        <v>380</v>
      </c>
      <c r="D8" s="944">
        <v>76</v>
      </c>
      <c r="E8" s="945">
        <f t="shared" ref="E8:E71" si="0">+C8+D8</f>
        <v>456</v>
      </c>
      <c r="F8" s="946">
        <f>E8*0.27</f>
        <v>123.12</v>
      </c>
      <c r="G8" s="947">
        <f>F8*12*B8</f>
        <v>7387.2000000000007</v>
      </c>
      <c r="H8" s="945">
        <f>G8*1.2409</f>
        <v>9166.7764800000004</v>
      </c>
    </row>
    <row r="9" spans="1:8" ht="15" customHeight="1" x14ac:dyDescent="0.25">
      <c r="A9" s="942"/>
      <c r="B9" s="943">
        <v>3</v>
      </c>
      <c r="C9" s="944">
        <v>390</v>
      </c>
      <c r="D9" s="944">
        <v>78</v>
      </c>
      <c r="E9" s="945">
        <f t="shared" si="0"/>
        <v>468</v>
      </c>
      <c r="F9" s="946">
        <f t="shared" ref="F9:F72" si="1">E9*0.27</f>
        <v>126.36000000000001</v>
      </c>
      <c r="G9" s="947">
        <f t="shared" ref="G9:G72" si="2">F9*12*B9</f>
        <v>4548.9600000000009</v>
      </c>
      <c r="H9" s="945">
        <f t="shared" ref="H9:H72" si="3">G9*1.2409</f>
        <v>5644.8044640000007</v>
      </c>
    </row>
    <row r="10" spans="1:8" x14ac:dyDescent="0.25">
      <c r="A10" s="942"/>
      <c r="B10" s="943">
        <v>0</v>
      </c>
      <c r="C10" s="944">
        <v>393</v>
      </c>
      <c r="D10" s="944">
        <v>0</v>
      </c>
      <c r="E10" s="945">
        <f t="shared" si="0"/>
        <v>393</v>
      </c>
      <c r="F10" s="946">
        <f t="shared" si="1"/>
        <v>106.11000000000001</v>
      </c>
      <c r="G10" s="947">
        <f t="shared" si="2"/>
        <v>0</v>
      </c>
      <c r="H10" s="945">
        <f t="shared" si="3"/>
        <v>0</v>
      </c>
    </row>
    <row r="11" spans="1:8" x14ac:dyDescent="0.25">
      <c r="A11" s="942"/>
      <c r="B11" s="943">
        <v>3</v>
      </c>
      <c r="C11" s="944">
        <v>394</v>
      </c>
      <c r="D11" s="944">
        <v>78.8</v>
      </c>
      <c r="E11" s="945">
        <f t="shared" si="0"/>
        <v>472.8</v>
      </c>
      <c r="F11" s="946">
        <f t="shared" si="1"/>
        <v>127.65600000000001</v>
      </c>
      <c r="G11" s="947">
        <f t="shared" si="2"/>
        <v>4595.616</v>
      </c>
      <c r="H11" s="945">
        <f t="shared" si="3"/>
        <v>5702.6998943999997</v>
      </c>
    </row>
    <row r="12" spans="1:8" x14ac:dyDescent="0.25">
      <c r="A12" s="942"/>
      <c r="B12" s="943">
        <v>0</v>
      </c>
      <c r="C12" s="944">
        <v>398.4</v>
      </c>
      <c r="D12" s="944">
        <v>79.680000000000007</v>
      </c>
      <c r="E12" s="945">
        <f t="shared" si="0"/>
        <v>478.08</v>
      </c>
      <c r="F12" s="946">
        <f t="shared" si="1"/>
        <v>129.08160000000001</v>
      </c>
      <c r="G12" s="947">
        <f t="shared" si="2"/>
        <v>0</v>
      </c>
      <c r="H12" s="945">
        <f t="shared" si="3"/>
        <v>0</v>
      </c>
    </row>
    <row r="13" spans="1:8" x14ac:dyDescent="0.25">
      <c r="A13" s="942"/>
      <c r="B13" s="943">
        <v>0.3</v>
      </c>
      <c r="C13" s="944">
        <v>405.03</v>
      </c>
      <c r="D13" s="944">
        <v>81.010000000000005</v>
      </c>
      <c r="E13" s="945">
        <f t="shared" si="0"/>
        <v>486.03999999999996</v>
      </c>
      <c r="F13" s="946">
        <f t="shared" si="1"/>
        <v>131.23079999999999</v>
      </c>
      <c r="G13" s="947">
        <f t="shared" si="2"/>
        <v>472.43087999999995</v>
      </c>
      <c r="H13" s="945">
        <f t="shared" si="3"/>
        <v>586.23947899199993</v>
      </c>
    </row>
    <row r="14" spans="1:8" x14ac:dyDescent="0.25">
      <c r="A14" s="942"/>
      <c r="B14" s="943">
        <v>0.15</v>
      </c>
      <c r="C14" s="944">
        <v>406</v>
      </c>
      <c r="D14" s="944">
        <v>81.2</v>
      </c>
      <c r="E14" s="945">
        <f t="shared" si="0"/>
        <v>487.2</v>
      </c>
      <c r="F14" s="946">
        <f t="shared" si="1"/>
        <v>131.54400000000001</v>
      </c>
      <c r="G14" s="947">
        <f t="shared" si="2"/>
        <v>236.77920000000003</v>
      </c>
      <c r="H14" s="945">
        <f t="shared" si="3"/>
        <v>293.81930928000003</v>
      </c>
    </row>
    <row r="15" spans="1:8" x14ac:dyDescent="0.25">
      <c r="A15" s="942"/>
      <c r="B15" s="943">
        <v>0.5</v>
      </c>
      <c r="C15" s="944">
        <v>414</v>
      </c>
      <c r="D15" s="944">
        <v>82.8</v>
      </c>
      <c r="E15" s="945">
        <f t="shared" si="0"/>
        <v>496.8</v>
      </c>
      <c r="F15" s="946">
        <f t="shared" si="1"/>
        <v>134.13600000000002</v>
      </c>
      <c r="G15" s="947">
        <f t="shared" si="2"/>
        <v>804.81600000000014</v>
      </c>
      <c r="H15" s="945">
        <f t="shared" si="3"/>
        <v>998.69617440000013</v>
      </c>
    </row>
    <row r="16" spans="1:8" x14ac:dyDescent="0.25">
      <c r="A16" s="942"/>
      <c r="B16" s="943">
        <v>0.5</v>
      </c>
      <c r="C16" s="944">
        <v>416</v>
      </c>
      <c r="D16" s="944">
        <v>83.2</v>
      </c>
      <c r="E16" s="945">
        <f t="shared" si="0"/>
        <v>499.2</v>
      </c>
      <c r="F16" s="946">
        <f t="shared" si="1"/>
        <v>134.78399999999999</v>
      </c>
      <c r="G16" s="947">
        <f t="shared" si="2"/>
        <v>808.70399999999995</v>
      </c>
      <c r="H16" s="945">
        <f t="shared" si="3"/>
        <v>1003.5207935999998</v>
      </c>
    </row>
    <row r="17" spans="1:8" x14ac:dyDescent="0.25">
      <c r="A17" s="942"/>
      <c r="B17" s="943">
        <v>0</v>
      </c>
      <c r="C17" s="944">
        <v>418</v>
      </c>
      <c r="D17" s="944">
        <v>83.6</v>
      </c>
      <c r="E17" s="945">
        <f t="shared" si="0"/>
        <v>501.6</v>
      </c>
      <c r="F17" s="946">
        <f t="shared" si="1"/>
        <v>135.43200000000002</v>
      </c>
      <c r="G17" s="947">
        <f t="shared" si="2"/>
        <v>0</v>
      </c>
      <c r="H17" s="945">
        <f t="shared" si="3"/>
        <v>0</v>
      </c>
    </row>
    <row r="18" spans="1:8" x14ac:dyDescent="0.25">
      <c r="A18" s="942"/>
      <c r="B18" s="943">
        <v>0</v>
      </c>
      <c r="C18" s="944">
        <v>418</v>
      </c>
      <c r="D18" s="944">
        <v>0</v>
      </c>
      <c r="E18" s="945">
        <f t="shared" si="0"/>
        <v>418</v>
      </c>
      <c r="F18" s="946">
        <f t="shared" si="1"/>
        <v>112.86000000000001</v>
      </c>
      <c r="G18" s="947">
        <f t="shared" si="2"/>
        <v>0</v>
      </c>
      <c r="H18" s="945">
        <f t="shared" si="3"/>
        <v>0</v>
      </c>
    </row>
    <row r="19" spans="1:8" x14ac:dyDescent="0.25">
      <c r="A19" s="942"/>
      <c r="B19" s="943">
        <v>4.3</v>
      </c>
      <c r="C19" s="944">
        <v>424</v>
      </c>
      <c r="D19" s="944">
        <v>84.8</v>
      </c>
      <c r="E19" s="945">
        <f t="shared" si="0"/>
        <v>508.8</v>
      </c>
      <c r="F19" s="946">
        <f t="shared" si="1"/>
        <v>137.376</v>
      </c>
      <c r="G19" s="947">
        <f t="shared" si="2"/>
        <v>7088.6016000000009</v>
      </c>
      <c r="H19" s="945">
        <f t="shared" si="3"/>
        <v>8796.2457254399997</v>
      </c>
    </row>
    <row r="20" spans="1:8" x14ac:dyDescent="0.25">
      <c r="A20" s="942"/>
      <c r="B20" s="943">
        <v>2</v>
      </c>
      <c r="C20" s="944">
        <v>426.86</v>
      </c>
      <c r="D20" s="944">
        <v>85.37</v>
      </c>
      <c r="E20" s="945">
        <f t="shared" si="0"/>
        <v>512.23</v>
      </c>
      <c r="F20" s="946">
        <f t="shared" si="1"/>
        <v>138.30210000000002</v>
      </c>
      <c r="G20" s="947">
        <f t="shared" si="2"/>
        <v>3319.2504000000008</v>
      </c>
      <c r="H20" s="945">
        <f t="shared" si="3"/>
        <v>4118.8578213600003</v>
      </c>
    </row>
    <row r="21" spans="1:8" x14ac:dyDescent="0.25">
      <c r="A21" s="942"/>
      <c r="B21" s="943">
        <v>0.9</v>
      </c>
      <c r="C21" s="944">
        <v>434</v>
      </c>
      <c r="D21" s="944">
        <v>86.8</v>
      </c>
      <c r="E21" s="945">
        <f t="shared" si="0"/>
        <v>520.79999999999995</v>
      </c>
      <c r="F21" s="946">
        <f t="shared" si="1"/>
        <v>140.61599999999999</v>
      </c>
      <c r="G21" s="947">
        <f t="shared" si="2"/>
        <v>1518.6527999999998</v>
      </c>
      <c r="H21" s="945">
        <f t="shared" si="3"/>
        <v>1884.4962595199997</v>
      </c>
    </row>
    <row r="22" spans="1:8" x14ac:dyDescent="0.25">
      <c r="A22" s="942"/>
      <c r="B22" s="943">
        <v>1</v>
      </c>
      <c r="C22" s="944">
        <v>435</v>
      </c>
      <c r="D22" s="944">
        <v>87</v>
      </c>
      <c r="E22" s="945">
        <f t="shared" si="0"/>
        <v>522</v>
      </c>
      <c r="F22" s="946">
        <f t="shared" si="1"/>
        <v>140.94</v>
      </c>
      <c r="G22" s="947">
        <f t="shared" si="2"/>
        <v>1691.28</v>
      </c>
      <c r="H22" s="945">
        <f t="shared" si="3"/>
        <v>2098.7093519999999</v>
      </c>
    </row>
    <row r="23" spans="1:8" x14ac:dyDescent="0.25">
      <c r="A23" s="942"/>
      <c r="B23" s="943">
        <v>4</v>
      </c>
      <c r="C23" s="944">
        <v>439.67</v>
      </c>
      <c r="D23" s="944">
        <v>87.93</v>
      </c>
      <c r="E23" s="945">
        <f t="shared" si="0"/>
        <v>527.6</v>
      </c>
      <c r="F23" s="946">
        <f t="shared" si="1"/>
        <v>142.45200000000003</v>
      </c>
      <c r="G23" s="947">
        <f t="shared" si="2"/>
        <v>6837.6960000000017</v>
      </c>
      <c r="H23" s="945">
        <f t="shared" si="3"/>
        <v>8484.8969664000015</v>
      </c>
    </row>
    <row r="24" spans="1:8" x14ac:dyDescent="0.25">
      <c r="A24" s="942"/>
      <c r="B24" s="943">
        <v>0</v>
      </c>
      <c r="C24" s="944">
        <v>440</v>
      </c>
      <c r="D24" s="944">
        <v>88</v>
      </c>
      <c r="E24" s="945">
        <f t="shared" si="0"/>
        <v>528</v>
      </c>
      <c r="F24" s="946">
        <f t="shared" si="1"/>
        <v>142.56</v>
      </c>
      <c r="G24" s="947">
        <f t="shared" si="2"/>
        <v>0</v>
      </c>
      <c r="H24" s="945">
        <f t="shared" si="3"/>
        <v>0</v>
      </c>
    </row>
    <row r="25" spans="1:8" x14ac:dyDescent="0.25">
      <c r="A25" s="942"/>
      <c r="B25" s="943">
        <v>1</v>
      </c>
      <c r="C25" s="944">
        <v>442</v>
      </c>
      <c r="D25" s="944">
        <v>88.4</v>
      </c>
      <c r="E25" s="945">
        <f t="shared" si="0"/>
        <v>530.4</v>
      </c>
      <c r="F25" s="946">
        <f t="shared" si="1"/>
        <v>143.208</v>
      </c>
      <c r="G25" s="947">
        <f t="shared" si="2"/>
        <v>1718.4960000000001</v>
      </c>
      <c r="H25" s="945">
        <f t="shared" si="3"/>
        <v>2132.4816863999999</v>
      </c>
    </row>
    <row r="26" spans="1:8" x14ac:dyDescent="0.25">
      <c r="A26" s="942"/>
      <c r="B26" s="943">
        <v>1.8</v>
      </c>
      <c r="C26" s="944">
        <v>443</v>
      </c>
      <c r="D26" s="944">
        <v>88.6</v>
      </c>
      <c r="E26" s="945">
        <f t="shared" si="0"/>
        <v>531.6</v>
      </c>
      <c r="F26" s="946">
        <f t="shared" si="1"/>
        <v>143.53200000000001</v>
      </c>
      <c r="G26" s="947">
        <f t="shared" si="2"/>
        <v>3100.2912000000001</v>
      </c>
      <c r="H26" s="945">
        <f t="shared" si="3"/>
        <v>3847.1513500799997</v>
      </c>
    </row>
    <row r="27" spans="1:8" x14ac:dyDescent="0.25">
      <c r="A27" s="942"/>
      <c r="B27" s="943">
        <v>0</v>
      </c>
      <c r="C27" s="944">
        <v>450</v>
      </c>
      <c r="D27" s="944">
        <v>90</v>
      </c>
      <c r="E27" s="945">
        <f t="shared" si="0"/>
        <v>540</v>
      </c>
      <c r="F27" s="946">
        <f t="shared" si="1"/>
        <v>145.80000000000001</v>
      </c>
      <c r="G27" s="947">
        <f t="shared" si="2"/>
        <v>0</v>
      </c>
      <c r="H27" s="945">
        <f t="shared" si="3"/>
        <v>0</v>
      </c>
    </row>
    <row r="28" spans="1:8" x14ac:dyDescent="0.25">
      <c r="A28" s="942"/>
      <c r="B28" s="943">
        <v>2</v>
      </c>
      <c r="C28" s="944">
        <v>451</v>
      </c>
      <c r="D28" s="944">
        <v>90.2</v>
      </c>
      <c r="E28" s="945">
        <f t="shared" si="0"/>
        <v>541.20000000000005</v>
      </c>
      <c r="F28" s="946">
        <f t="shared" si="1"/>
        <v>146.12400000000002</v>
      </c>
      <c r="G28" s="947">
        <f t="shared" si="2"/>
        <v>3506.9760000000006</v>
      </c>
      <c r="H28" s="945">
        <f t="shared" si="3"/>
        <v>4351.8065184000006</v>
      </c>
    </row>
    <row r="29" spans="1:8" x14ac:dyDescent="0.25">
      <c r="A29" s="942"/>
      <c r="B29" s="943">
        <v>0</v>
      </c>
      <c r="C29" s="944">
        <v>455</v>
      </c>
      <c r="D29" s="944">
        <v>91</v>
      </c>
      <c r="E29" s="945">
        <f t="shared" si="0"/>
        <v>546</v>
      </c>
      <c r="F29" s="946">
        <f t="shared" si="1"/>
        <v>147.42000000000002</v>
      </c>
      <c r="G29" s="947">
        <f t="shared" si="2"/>
        <v>0</v>
      </c>
      <c r="H29" s="945">
        <f t="shared" si="3"/>
        <v>0</v>
      </c>
    </row>
    <row r="30" spans="1:8" x14ac:dyDescent="0.25">
      <c r="A30" s="942"/>
      <c r="B30" s="943">
        <v>1.5</v>
      </c>
      <c r="C30" s="944">
        <v>456</v>
      </c>
      <c r="D30" s="944">
        <v>91.2</v>
      </c>
      <c r="E30" s="945">
        <f t="shared" si="0"/>
        <v>547.20000000000005</v>
      </c>
      <c r="F30" s="946">
        <f t="shared" si="1"/>
        <v>147.74400000000003</v>
      </c>
      <c r="G30" s="947">
        <f t="shared" si="2"/>
        <v>2659.3920000000007</v>
      </c>
      <c r="H30" s="945">
        <f t="shared" si="3"/>
        <v>3300.0395328000004</v>
      </c>
    </row>
    <row r="31" spans="1:8" x14ac:dyDescent="0.25">
      <c r="A31" s="942"/>
      <c r="B31" s="943">
        <v>0</v>
      </c>
      <c r="C31" s="944">
        <v>457</v>
      </c>
      <c r="D31" s="944">
        <v>91.4</v>
      </c>
      <c r="E31" s="945">
        <f t="shared" si="0"/>
        <v>548.4</v>
      </c>
      <c r="F31" s="946">
        <f t="shared" si="1"/>
        <v>148.06800000000001</v>
      </c>
      <c r="G31" s="947">
        <f t="shared" si="2"/>
        <v>0</v>
      </c>
      <c r="H31" s="945">
        <f t="shared" si="3"/>
        <v>0</v>
      </c>
    </row>
    <row r="32" spans="1:8" x14ac:dyDescent="0.25">
      <c r="A32" s="942"/>
      <c r="B32" s="943">
        <v>0.5</v>
      </c>
      <c r="C32" s="944">
        <v>459.8</v>
      </c>
      <c r="D32" s="944">
        <v>91.96</v>
      </c>
      <c r="E32" s="945">
        <f t="shared" si="0"/>
        <v>551.76</v>
      </c>
      <c r="F32" s="946">
        <f t="shared" si="1"/>
        <v>148.9752</v>
      </c>
      <c r="G32" s="947">
        <f t="shared" si="2"/>
        <v>893.85120000000006</v>
      </c>
      <c r="H32" s="945">
        <f t="shared" si="3"/>
        <v>1109.17995408</v>
      </c>
    </row>
    <row r="33" spans="1:8" x14ac:dyDescent="0.25">
      <c r="A33" s="942"/>
      <c r="B33" s="943">
        <v>0</v>
      </c>
      <c r="C33" s="944">
        <v>460</v>
      </c>
      <c r="D33" s="944">
        <v>92</v>
      </c>
      <c r="E33" s="945">
        <f t="shared" si="0"/>
        <v>552</v>
      </c>
      <c r="F33" s="946">
        <f t="shared" si="1"/>
        <v>149.04000000000002</v>
      </c>
      <c r="G33" s="947">
        <f t="shared" si="2"/>
        <v>0</v>
      </c>
      <c r="H33" s="945">
        <f t="shared" si="3"/>
        <v>0</v>
      </c>
    </row>
    <row r="34" spans="1:8" x14ac:dyDescent="0.25">
      <c r="A34" s="942"/>
      <c r="B34" s="943">
        <v>0.5</v>
      </c>
      <c r="C34" s="944">
        <v>460.98</v>
      </c>
      <c r="D34" s="944">
        <v>92.2</v>
      </c>
      <c r="E34" s="945">
        <f t="shared" si="0"/>
        <v>553.18000000000006</v>
      </c>
      <c r="F34" s="946">
        <f t="shared" si="1"/>
        <v>149.35860000000002</v>
      </c>
      <c r="G34" s="947">
        <f t="shared" si="2"/>
        <v>896.15160000000014</v>
      </c>
      <c r="H34" s="945">
        <f t="shared" si="3"/>
        <v>1112.0345204400001</v>
      </c>
    </row>
    <row r="35" spans="1:8" x14ac:dyDescent="0.25">
      <c r="A35" s="942"/>
      <c r="B35" s="943">
        <v>0.4</v>
      </c>
      <c r="C35" s="944">
        <v>462.5</v>
      </c>
      <c r="D35" s="944">
        <v>92.5</v>
      </c>
      <c r="E35" s="945">
        <f t="shared" si="0"/>
        <v>555</v>
      </c>
      <c r="F35" s="946">
        <f t="shared" si="1"/>
        <v>149.85000000000002</v>
      </c>
      <c r="G35" s="947">
        <f t="shared" si="2"/>
        <v>719.2800000000002</v>
      </c>
      <c r="H35" s="945">
        <f t="shared" si="3"/>
        <v>892.55455200000017</v>
      </c>
    </row>
    <row r="36" spans="1:8" x14ac:dyDescent="0.25">
      <c r="A36" s="942"/>
      <c r="B36" s="943">
        <v>0</v>
      </c>
      <c r="C36" s="944">
        <v>465</v>
      </c>
      <c r="D36" s="944">
        <v>0</v>
      </c>
      <c r="E36" s="945">
        <f t="shared" si="0"/>
        <v>465</v>
      </c>
      <c r="F36" s="946">
        <f t="shared" si="1"/>
        <v>125.55000000000001</v>
      </c>
      <c r="G36" s="947">
        <f t="shared" si="2"/>
        <v>0</v>
      </c>
      <c r="H36" s="945">
        <f t="shared" si="3"/>
        <v>0</v>
      </c>
    </row>
    <row r="37" spans="1:8" x14ac:dyDescent="0.25">
      <c r="A37" s="942"/>
      <c r="B37" s="943">
        <v>0</v>
      </c>
      <c r="C37" s="944">
        <v>466</v>
      </c>
      <c r="D37" s="944">
        <v>0</v>
      </c>
      <c r="E37" s="945">
        <f t="shared" si="0"/>
        <v>466</v>
      </c>
      <c r="F37" s="946">
        <f t="shared" si="1"/>
        <v>125.82000000000001</v>
      </c>
      <c r="G37" s="947">
        <f t="shared" si="2"/>
        <v>0</v>
      </c>
      <c r="H37" s="945">
        <f t="shared" si="3"/>
        <v>0</v>
      </c>
    </row>
    <row r="38" spans="1:8" x14ac:dyDescent="0.25">
      <c r="A38" s="942"/>
      <c r="B38" s="943">
        <v>1</v>
      </c>
      <c r="C38" s="944">
        <v>467.59</v>
      </c>
      <c r="D38" s="944">
        <v>93.52</v>
      </c>
      <c r="E38" s="945">
        <f t="shared" si="0"/>
        <v>561.11</v>
      </c>
      <c r="F38" s="946">
        <f t="shared" si="1"/>
        <v>151.49970000000002</v>
      </c>
      <c r="G38" s="947">
        <f t="shared" si="2"/>
        <v>1817.9964000000002</v>
      </c>
      <c r="H38" s="945">
        <f t="shared" si="3"/>
        <v>2255.9517327600001</v>
      </c>
    </row>
    <row r="39" spans="1:8" x14ac:dyDescent="0.25">
      <c r="A39" s="942"/>
      <c r="B39" s="943">
        <v>1.5</v>
      </c>
      <c r="C39" s="944">
        <v>470</v>
      </c>
      <c r="D39" s="944">
        <v>94</v>
      </c>
      <c r="E39" s="945">
        <f t="shared" si="0"/>
        <v>564</v>
      </c>
      <c r="F39" s="946">
        <f t="shared" si="1"/>
        <v>152.28</v>
      </c>
      <c r="G39" s="947">
        <f t="shared" si="2"/>
        <v>2741.04</v>
      </c>
      <c r="H39" s="945">
        <f t="shared" si="3"/>
        <v>3401.3565359999998</v>
      </c>
    </row>
    <row r="40" spans="1:8" x14ac:dyDescent="0.25">
      <c r="A40" s="942"/>
      <c r="B40" s="943">
        <v>7</v>
      </c>
      <c r="C40" s="944">
        <v>471</v>
      </c>
      <c r="D40" s="944">
        <v>94.2</v>
      </c>
      <c r="E40" s="945">
        <f t="shared" si="0"/>
        <v>565.20000000000005</v>
      </c>
      <c r="F40" s="946">
        <f t="shared" si="1"/>
        <v>152.60400000000001</v>
      </c>
      <c r="G40" s="947">
        <f t="shared" si="2"/>
        <v>12818.736000000001</v>
      </c>
      <c r="H40" s="945">
        <f t="shared" si="3"/>
        <v>15906.7695024</v>
      </c>
    </row>
    <row r="41" spans="1:8" x14ac:dyDescent="0.25">
      <c r="A41" s="942"/>
      <c r="B41" s="943">
        <v>0</v>
      </c>
      <c r="C41" s="944">
        <v>475</v>
      </c>
      <c r="D41" s="944">
        <v>95</v>
      </c>
      <c r="E41" s="945">
        <f t="shared" si="0"/>
        <v>570</v>
      </c>
      <c r="F41" s="946">
        <f t="shared" si="1"/>
        <v>153.9</v>
      </c>
      <c r="G41" s="947">
        <f t="shared" si="2"/>
        <v>0</v>
      </c>
      <c r="H41" s="945">
        <f t="shared" si="3"/>
        <v>0</v>
      </c>
    </row>
    <row r="42" spans="1:8" x14ac:dyDescent="0.25">
      <c r="A42" s="942"/>
      <c r="B42" s="943">
        <v>3.5</v>
      </c>
      <c r="C42" s="944">
        <v>480</v>
      </c>
      <c r="D42" s="944">
        <v>96</v>
      </c>
      <c r="E42" s="945">
        <f t="shared" si="0"/>
        <v>576</v>
      </c>
      <c r="F42" s="946">
        <f t="shared" si="1"/>
        <v>155.52000000000001</v>
      </c>
      <c r="G42" s="947">
        <f t="shared" si="2"/>
        <v>6531.8400000000011</v>
      </c>
      <c r="H42" s="945">
        <f t="shared" si="3"/>
        <v>8105.3602560000008</v>
      </c>
    </row>
    <row r="43" spans="1:8" x14ac:dyDescent="0.25">
      <c r="A43" s="942"/>
      <c r="B43" s="943">
        <v>0.5</v>
      </c>
      <c r="C43" s="944">
        <v>482</v>
      </c>
      <c r="D43" s="944">
        <v>96.4</v>
      </c>
      <c r="E43" s="945">
        <f t="shared" si="0"/>
        <v>578.4</v>
      </c>
      <c r="F43" s="946">
        <f t="shared" si="1"/>
        <v>156.16800000000001</v>
      </c>
      <c r="G43" s="947">
        <f t="shared" si="2"/>
        <v>937.00800000000004</v>
      </c>
      <c r="H43" s="945">
        <f t="shared" si="3"/>
        <v>1162.7332271999999</v>
      </c>
    </row>
    <row r="44" spans="1:8" x14ac:dyDescent="0.25">
      <c r="A44" s="942"/>
      <c r="B44" s="943">
        <v>0.75</v>
      </c>
      <c r="C44" s="944">
        <v>484</v>
      </c>
      <c r="D44" s="944">
        <v>96.8</v>
      </c>
      <c r="E44" s="945">
        <f t="shared" si="0"/>
        <v>580.79999999999995</v>
      </c>
      <c r="F44" s="946">
        <f t="shared" si="1"/>
        <v>156.816</v>
      </c>
      <c r="G44" s="947">
        <f t="shared" si="2"/>
        <v>1411.3440000000001</v>
      </c>
      <c r="H44" s="945">
        <f t="shared" si="3"/>
        <v>1751.3367695999998</v>
      </c>
    </row>
    <row r="45" spans="1:8" x14ac:dyDescent="0.25">
      <c r="A45" s="942"/>
      <c r="B45" s="943">
        <v>0</v>
      </c>
      <c r="C45" s="944">
        <v>485.4</v>
      </c>
      <c r="D45" s="944">
        <v>97.08</v>
      </c>
      <c r="E45" s="945">
        <f t="shared" si="0"/>
        <v>582.48</v>
      </c>
      <c r="F45" s="946">
        <f t="shared" si="1"/>
        <v>157.26960000000003</v>
      </c>
      <c r="G45" s="947">
        <f t="shared" si="2"/>
        <v>0</v>
      </c>
      <c r="H45" s="945">
        <f t="shared" si="3"/>
        <v>0</v>
      </c>
    </row>
    <row r="46" spans="1:8" x14ac:dyDescent="0.25">
      <c r="A46" s="942"/>
      <c r="B46" s="943">
        <v>0</v>
      </c>
      <c r="C46" s="944">
        <v>486</v>
      </c>
      <c r="D46" s="944">
        <v>97.2</v>
      </c>
      <c r="E46" s="945">
        <f t="shared" si="0"/>
        <v>583.20000000000005</v>
      </c>
      <c r="F46" s="946">
        <f t="shared" si="1"/>
        <v>157.46400000000003</v>
      </c>
      <c r="G46" s="947">
        <f t="shared" si="2"/>
        <v>0</v>
      </c>
      <c r="H46" s="945">
        <f t="shared" si="3"/>
        <v>0</v>
      </c>
    </row>
    <row r="47" spans="1:8" x14ac:dyDescent="0.25">
      <c r="A47" s="942"/>
      <c r="B47" s="943">
        <v>3</v>
      </c>
      <c r="C47" s="944">
        <v>490</v>
      </c>
      <c r="D47" s="944">
        <v>98</v>
      </c>
      <c r="E47" s="945">
        <f t="shared" si="0"/>
        <v>588</v>
      </c>
      <c r="F47" s="946">
        <f t="shared" si="1"/>
        <v>158.76000000000002</v>
      </c>
      <c r="G47" s="947">
        <f t="shared" si="2"/>
        <v>5715.3600000000006</v>
      </c>
      <c r="H47" s="945">
        <f t="shared" si="3"/>
        <v>7092.1902239999999</v>
      </c>
    </row>
    <row r="48" spans="1:8" x14ac:dyDescent="0.25">
      <c r="A48" s="942"/>
      <c r="B48" s="943">
        <v>0</v>
      </c>
      <c r="C48" s="944">
        <v>492</v>
      </c>
      <c r="D48" s="944">
        <v>98.4</v>
      </c>
      <c r="E48" s="945">
        <f t="shared" si="0"/>
        <v>590.4</v>
      </c>
      <c r="F48" s="946">
        <f t="shared" si="1"/>
        <v>159.40800000000002</v>
      </c>
      <c r="G48" s="947">
        <f t="shared" si="2"/>
        <v>0</v>
      </c>
      <c r="H48" s="945">
        <f t="shared" si="3"/>
        <v>0</v>
      </c>
    </row>
    <row r="49" spans="1:8" x14ac:dyDescent="0.25">
      <c r="A49" s="942"/>
      <c r="B49" s="943">
        <v>0.5</v>
      </c>
      <c r="C49" s="944">
        <v>493</v>
      </c>
      <c r="D49" s="944">
        <v>98.6</v>
      </c>
      <c r="E49" s="945">
        <f t="shared" si="0"/>
        <v>591.6</v>
      </c>
      <c r="F49" s="946">
        <f t="shared" si="1"/>
        <v>159.73200000000003</v>
      </c>
      <c r="G49" s="947">
        <f t="shared" si="2"/>
        <v>958.39200000000017</v>
      </c>
      <c r="H49" s="945">
        <f t="shared" si="3"/>
        <v>1189.2686328000002</v>
      </c>
    </row>
    <row r="50" spans="1:8" x14ac:dyDescent="0.25">
      <c r="A50" s="942"/>
      <c r="B50" s="943">
        <v>1</v>
      </c>
      <c r="C50" s="944">
        <v>494</v>
      </c>
      <c r="D50" s="944">
        <v>98.8</v>
      </c>
      <c r="E50" s="945">
        <f t="shared" si="0"/>
        <v>592.79999999999995</v>
      </c>
      <c r="F50" s="946">
        <f t="shared" si="1"/>
        <v>160.05600000000001</v>
      </c>
      <c r="G50" s="947">
        <f t="shared" si="2"/>
        <v>1920.672</v>
      </c>
      <c r="H50" s="945">
        <f t="shared" si="3"/>
        <v>2383.3618847999996</v>
      </c>
    </row>
    <row r="51" spans="1:8" x14ac:dyDescent="0.25">
      <c r="A51" s="942"/>
      <c r="B51" s="943">
        <v>0</v>
      </c>
      <c r="C51" s="944">
        <v>496</v>
      </c>
      <c r="D51" s="944">
        <v>99.2</v>
      </c>
      <c r="E51" s="945">
        <f t="shared" si="0"/>
        <v>595.20000000000005</v>
      </c>
      <c r="F51" s="946">
        <f t="shared" si="1"/>
        <v>160.70400000000004</v>
      </c>
      <c r="G51" s="947">
        <f t="shared" si="2"/>
        <v>0</v>
      </c>
      <c r="H51" s="945">
        <f t="shared" si="3"/>
        <v>0</v>
      </c>
    </row>
    <row r="52" spans="1:8" x14ac:dyDescent="0.25">
      <c r="A52" s="942"/>
      <c r="B52" s="943">
        <v>1.8</v>
      </c>
      <c r="C52" s="944">
        <v>497</v>
      </c>
      <c r="D52" s="944">
        <v>99.4</v>
      </c>
      <c r="E52" s="945">
        <f t="shared" si="0"/>
        <v>596.4</v>
      </c>
      <c r="F52" s="946">
        <f t="shared" si="1"/>
        <v>161.02799999999999</v>
      </c>
      <c r="G52" s="947">
        <f t="shared" si="2"/>
        <v>3478.2047999999995</v>
      </c>
      <c r="H52" s="945">
        <f t="shared" si="3"/>
        <v>4316.1043363199988</v>
      </c>
    </row>
    <row r="53" spans="1:8" x14ac:dyDescent="0.25">
      <c r="A53" s="942"/>
      <c r="B53" s="943">
        <v>2.5</v>
      </c>
      <c r="C53" s="944">
        <v>498</v>
      </c>
      <c r="D53" s="944">
        <v>99.6</v>
      </c>
      <c r="E53" s="945">
        <f t="shared" si="0"/>
        <v>597.6</v>
      </c>
      <c r="F53" s="946">
        <f t="shared" si="1"/>
        <v>161.352</v>
      </c>
      <c r="G53" s="947">
        <f t="shared" si="2"/>
        <v>4840.5600000000004</v>
      </c>
      <c r="H53" s="945">
        <f t="shared" si="3"/>
        <v>6006.6509040000001</v>
      </c>
    </row>
    <row r="54" spans="1:8" x14ac:dyDescent="0.25">
      <c r="A54" s="942"/>
      <c r="B54" s="943">
        <v>0</v>
      </c>
      <c r="C54" s="944">
        <v>498</v>
      </c>
      <c r="D54" s="944">
        <v>0</v>
      </c>
      <c r="E54" s="945">
        <f t="shared" si="0"/>
        <v>498</v>
      </c>
      <c r="F54" s="946">
        <f t="shared" si="1"/>
        <v>134.46</v>
      </c>
      <c r="G54" s="947">
        <f t="shared" si="2"/>
        <v>0</v>
      </c>
      <c r="H54" s="945">
        <f t="shared" si="3"/>
        <v>0</v>
      </c>
    </row>
    <row r="55" spans="1:8" x14ac:dyDescent="0.25">
      <c r="A55" s="942"/>
      <c r="B55" s="943">
        <v>0.3</v>
      </c>
      <c r="C55" s="944">
        <v>499</v>
      </c>
      <c r="D55" s="944">
        <v>99.8</v>
      </c>
      <c r="E55" s="945">
        <f t="shared" si="0"/>
        <v>598.79999999999995</v>
      </c>
      <c r="F55" s="946">
        <f t="shared" si="1"/>
        <v>161.67599999999999</v>
      </c>
      <c r="G55" s="947">
        <f t="shared" si="2"/>
        <v>582.03359999999998</v>
      </c>
      <c r="H55" s="945">
        <f t="shared" si="3"/>
        <v>722.24549423999986</v>
      </c>
    </row>
    <row r="56" spans="1:8" x14ac:dyDescent="0.25">
      <c r="A56" s="942"/>
      <c r="B56" s="943">
        <v>4.75</v>
      </c>
      <c r="C56" s="944">
        <v>500</v>
      </c>
      <c r="D56" s="944">
        <v>100</v>
      </c>
      <c r="E56" s="945">
        <f t="shared" si="0"/>
        <v>600</v>
      </c>
      <c r="F56" s="946">
        <f t="shared" si="1"/>
        <v>162</v>
      </c>
      <c r="G56" s="947">
        <f t="shared" si="2"/>
        <v>9234</v>
      </c>
      <c r="H56" s="945">
        <f t="shared" si="3"/>
        <v>11458.470599999999</v>
      </c>
    </row>
    <row r="57" spans="1:8" x14ac:dyDescent="0.25">
      <c r="A57" s="942"/>
      <c r="B57" s="943">
        <v>3.5</v>
      </c>
      <c r="C57" s="944">
        <v>506</v>
      </c>
      <c r="D57" s="944">
        <v>101.2</v>
      </c>
      <c r="E57" s="945">
        <f t="shared" si="0"/>
        <v>607.20000000000005</v>
      </c>
      <c r="F57" s="946">
        <f t="shared" si="1"/>
        <v>163.94400000000002</v>
      </c>
      <c r="G57" s="947">
        <f t="shared" si="2"/>
        <v>6885.648000000001</v>
      </c>
      <c r="H57" s="945">
        <f t="shared" si="3"/>
        <v>8544.4006031999998</v>
      </c>
    </row>
    <row r="58" spans="1:8" x14ac:dyDescent="0.25">
      <c r="A58" s="942"/>
      <c r="B58" s="943">
        <v>0</v>
      </c>
      <c r="C58" s="944">
        <v>508</v>
      </c>
      <c r="D58" s="944">
        <v>101.6</v>
      </c>
      <c r="E58" s="945">
        <f t="shared" si="0"/>
        <v>609.6</v>
      </c>
      <c r="F58" s="946">
        <f t="shared" si="1"/>
        <v>164.59200000000001</v>
      </c>
      <c r="G58" s="947">
        <f t="shared" si="2"/>
        <v>0</v>
      </c>
      <c r="H58" s="945">
        <f t="shared" si="3"/>
        <v>0</v>
      </c>
    </row>
    <row r="59" spans="1:8" x14ac:dyDescent="0.25">
      <c r="A59" s="942"/>
      <c r="B59" s="943">
        <v>0</v>
      </c>
      <c r="C59" s="944">
        <v>510</v>
      </c>
      <c r="D59" s="944">
        <v>102</v>
      </c>
      <c r="E59" s="945">
        <f t="shared" si="0"/>
        <v>612</v>
      </c>
      <c r="F59" s="946">
        <f t="shared" si="1"/>
        <v>165.24</v>
      </c>
      <c r="G59" s="947">
        <f t="shared" si="2"/>
        <v>0</v>
      </c>
      <c r="H59" s="945">
        <f t="shared" si="3"/>
        <v>0</v>
      </c>
    </row>
    <row r="60" spans="1:8" x14ac:dyDescent="0.25">
      <c r="A60" s="942"/>
      <c r="B60" s="943">
        <v>1.125</v>
      </c>
      <c r="C60" s="944">
        <v>512</v>
      </c>
      <c r="D60" s="944">
        <v>102.4</v>
      </c>
      <c r="E60" s="945">
        <f t="shared" si="0"/>
        <v>614.4</v>
      </c>
      <c r="F60" s="946">
        <f t="shared" si="1"/>
        <v>165.88800000000001</v>
      </c>
      <c r="G60" s="947">
        <f t="shared" si="2"/>
        <v>2239.4879999999998</v>
      </c>
      <c r="H60" s="945">
        <f t="shared" si="3"/>
        <v>2778.9806591999995</v>
      </c>
    </row>
    <row r="61" spans="1:8" x14ac:dyDescent="0.25">
      <c r="A61" s="942"/>
      <c r="B61" s="943">
        <v>0.5</v>
      </c>
      <c r="C61" s="944">
        <v>512.24</v>
      </c>
      <c r="D61" s="944">
        <v>102.45</v>
      </c>
      <c r="E61" s="945">
        <f t="shared" si="0"/>
        <v>614.69000000000005</v>
      </c>
      <c r="F61" s="946">
        <f t="shared" si="1"/>
        <v>165.96630000000002</v>
      </c>
      <c r="G61" s="947">
        <f t="shared" si="2"/>
        <v>995.79780000000005</v>
      </c>
      <c r="H61" s="945">
        <f t="shared" si="3"/>
        <v>1235.6854900199999</v>
      </c>
    </row>
    <row r="62" spans="1:8" x14ac:dyDescent="0.25">
      <c r="A62" s="942"/>
      <c r="B62" s="943">
        <v>0</v>
      </c>
      <c r="C62" s="944">
        <v>514</v>
      </c>
      <c r="D62" s="944">
        <v>102.8</v>
      </c>
      <c r="E62" s="945">
        <f t="shared" si="0"/>
        <v>616.79999999999995</v>
      </c>
      <c r="F62" s="946">
        <f t="shared" si="1"/>
        <v>166.536</v>
      </c>
      <c r="G62" s="947">
        <f t="shared" si="2"/>
        <v>0</v>
      </c>
      <c r="H62" s="945">
        <f t="shared" si="3"/>
        <v>0</v>
      </c>
    </row>
    <row r="63" spans="1:8" x14ac:dyDescent="0.25">
      <c r="A63" s="942"/>
      <c r="B63" s="943">
        <v>0</v>
      </c>
      <c r="C63" s="944">
        <v>514</v>
      </c>
      <c r="D63" s="944">
        <v>0</v>
      </c>
      <c r="E63" s="945">
        <f t="shared" si="0"/>
        <v>514</v>
      </c>
      <c r="F63" s="946">
        <f t="shared" si="1"/>
        <v>138.78</v>
      </c>
      <c r="G63" s="947">
        <f t="shared" si="2"/>
        <v>0</v>
      </c>
      <c r="H63" s="945">
        <f t="shared" si="3"/>
        <v>0</v>
      </c>
    </row>
    <row r="64" spans="1:8" x14ac:dyDescent="0.25">
      <c r="A64" s="942"/>
      <c r="B64" s="943">
        <v>0</v>
      </c>
      <c r="C64" s="944">
        <v>516</v>
      </c>
      <c r="D64" s="944">
        <v>103.2</v>
      </c>
      <c r="E64" s="945">
        <f t="shared" si="0"/>
        <v>619.20000000000005</v>
      </c>
      <c r="F64" s="946">
        <f t="shared" si="1"/>
        <v>167.18400000000003</v>
      </c>
      <c r="G64" s="947">
        <f t="shared" si="2"/>
        <v>0</v>
      </c>
      <c r="H64" s="945">
        <f t="shared" si="3"/>
        <v>0</v>
      </c>
    </row>
    <row r="65" spans="1:8" x14ac:dyDescent="0.25">
      <c r="A65" s="942"/>
      <c r="B65" s="943">
        <v>0</v>
      </c>
      <c r="C65" s="944">
        <v>518</v>
      </c>
      <c r="D65" s="944">
        <v>0</v>
      </c>
      <c r="E65" s="945">
        <f t="shared" si="0"/>
        <v>518</v>
      </c>
      <c r="F65" s="946">
        <f t="shared" si="1"/>
        <v>139.86000000000001</v>
      </c>
      <c r="G65" s="947">
        <f t="shared" si="2"/>
        <v>0</v>
      </c>
      <c r="H65" s="945">
        <f t="shared" si="3"/>
        <v>0</v>
      </c>
    </row>
    <row r="66" spans="1:8" x14ac:dyDescent="0.25">
      <c r="A66" s="942"/>
      <c r="B66" s="943">
        <v>2</v>
      </c>
      <c r="C66" s="944">
        <v>520</v>
      </c>
      <c r="D66" s="944">
        <v>104</v>
      </c>
      <c r="E66" s="945">
        <f t="shared" si="0"/>
        <v>624</v>
      </c>
      <c r="F66" s="946">
        <f t="shared" si="1"/>
        <v>168.48000000000002</v>
      </c>
      <c r="G66" s="947">
        <f t="shared" si="2"/>
        <v>4043.5200000000004</v>
      </c>
      <c r="H66" s="945">
        <f t="shared" si="3"/>
        <v>5017.6039680000004</v>
      </c>
    </row>
    <row r="67" spans="1:8" x14ac:dyDescent="0.25">
      <c r="A67" s="942"/>
      <c r="B67" s="943">
        <v>1.5</v>
      </c>
      <c r="C67" s="944">
        <v>521</v>
      </c>
      <c r="D67" s="944">
        <v>104.2</v>
      </c>
      <c r="E67" s="945">
        <f t="shared" si="0"/>
        <v>625.20000000000005</v>
      </c>
      <c r="F67" s="946">
        <f t="shared" si="1"/>
        <v>168.80400000000003</v>
      </c>
      <c r="G67" s="947">
        <f t="shared" si="2"/>
        <v>3038.4720000000007</v>
      </c>
      <c r="H67" s="945">
        <f t="shared" si="3"/>
        <v>3770.4399048000005</v>
      </c>
    </row>
    <row r="68" spans="1:8" x14ac:dyDescent="0.25">
      <c r="A68" s="942"/>
      <c r="B68" s="943">
        <v>0</v>
      </c>
      <c r="C68" s="944">
        <v>522</v>
      </c>
      <c r="D68" s="944">
        <v>104.4</v>
      </c>
      <c r="E68" s="945">
        <f t="shared" si="0"/>
        <v>626.4</v>
      </c>
      <c r="F68" s="946">
        <f t="shared" si="1"/>
        <v>169.12800000000001</v>
      </c>
      <c r="G68" s="947">
        <f t="shared" si="2"/>
        <v>0</v>
      </c>
      <c r="H68" s="945">
        <f t="shared" si="3"/>
        <v>0</v>
      </c>
    </row>
    <row r="69" spans="1:8" x14ac:dyDescent="0.25">
      <c r="A69" s="942"/>
      <c r="B69" s="943">
        <v>0</v>
      </c>
      <c r="C69" s="944">
        <v>522.5</v>
      </c>
      <c r="D69" s="944">
        <v>104.5</v>
      </c>
      <c r="E69" s="945">
        <f t="shared" si="0"/>
        <v>627</v>
      </c>
      <c r="F69" s="946">
        <f t="shared" si="1"/>
        <v>169.29000000000002</v>
      </c>
      <c r="G69" s="947">
        <f t="shared" si="2"/>
        <v>0</v>
      </c>
      <c r="H69" s="945">
        <f t="shared" si="3"/>
        <v>0</v>
      </c>
    </row>
    <row r="70" spans="1:8" x14ac:dyDescent="0.25">
      <c r="A70" s="942"/>
      <c r="B70" s="943">
        <v>0</v>
      </c>
      <c r="C70" s="944">
        <v>527</v>
      </c>
      <c r="D70" s="944">
        <v>105.4</v>
      </c>
      <c r="E70" s="945">
        <f t="shared" si="0"/>
        <v>632.4</v>
      </c>
      <c r="F70" s="946">
        <f t="shared" si="1"/>
        <v>170.74800000000002</v>
      </c>
      <c r="G70" s="947">
        <f t="shared" si="2"/>
        <v>0</v>
      </c>
      <c r="H70" s="945">
        <f t="shared" si="3"/>
        <v>0</v>
      </c>
    </row>
    <row r="71" spans="1:8" x14ac:dyDescent="0.25">
      <c r="A71" s="942"/>
      <c r="B71" s="943">
        <v>1.6</v>
      </c>
      <c r="C71" s="944">
        <v>528</v>
      </c>
      <c r="D71" s="944">
        <v>105.6</v>
      </c>
      <c r="E71" s="945">
        <f t="shared" si="0"/>
        <v>633.6</v>
      </c>
      <c r="F71" s="946">
        <f t="shared" si="1"/>
        <v>171.07200000000003</v>
      </c>
      <c r="G71" s="947">
        <f t="shared" si="2"/>
        <v>3284.5824000000011</v>
      </c>
      <c r="H71" s="945">
        <f t="shared" si="3"/>
        <v>4075.8383001600009</v>
      </c>
    </row>
    <row r="72" spans="1:8" x14ac:dyDescent="0.25">
      <c r="A72" s="942"/>
      <c r="B72" s="943">
        <v>0</v>
      </c>
      <c r="C72" s="944">
        <v>528</v>
      </c>
      <c r="D72" s="944">
        <v>0</v>
      </c>
      <c r="E72" s="945">
        <f t="shared" ref="E72:E135" si="4">+C72+D72</f>
        <v>528</v>
      </c>
      <c r="F72" s="946">
        <f t="shared" si="1"/>
        <v>142.56</v>
      </c>
      <c r="G72" s="947">
        <f t="shared" si="2"/>
        <v>0</v>
      </c>
      <c r="H72" s="945">
        <f t="shared" si="3"/>
        <v>0</v>
      </c>
    </row>
    <row r="73" spans="1:8" x14ac:dyDescent="0.25">
      <c r="A73" s="942"/>
      <c r="B73" s="943">
        <v>0</v>
      </c>
      <c r="C73" s="944">
        <v>532</v>
      </c>
      <c r="D73" s="944">
        <v>106.4</v>
      </c>
      <c r="E73" s="945">
        <f t="shared" si="4"/>
        <v>638.4</v>
      </c>
      <c r="F73" s="946">
        <f t="shared" ref="F73:F136" si="5">E73*0.27</f>
        <v>172.36799999999999</v>
      </c>
      <c r="G73" s="947">
        <f t="shared" ref="G73:G136" si="6">F73*12*B73</f>
        <v>0</v>
      </c>
      <c r="H73" s="945">
        <f t="shared" ref="H73:H136" si="7">G73*1.2409</f>
        <v>0</v>
      </c>
    </row>
    <row r="74" spans="1:8" x14ac:dyDescent="0.25">
      <c r="A74" s="942"/>
      <c r="B74" s="943">
        <v>0</v>
      </c>
      <c r="C74" s="944">
        <v>533</v>
      </c>
      <c r="D74" s="944">
        <v>106.6</v>
      </c>
      <c r="E74" s="945">
        <f t="shared" si="4"/>
        <v>639.6</v>
      </c>
      <c r="F74" s="946">
        <f t="shared" si="5"/>
        <v>172.69200000000001</v>
      </c>
      <c r="G74" s="947">
        <f t="shared" si="6"/>
        <v>0</v>
      </c>
      <c r="H74" s="945">
        <f t="shared" si="7"/>
        <v>0</v>
      </c>
    </row>
    <row r="75" spans="1:8" x14ac:dyDescent="0.25">
      <c r="A75" s="942"/>
      <c r="B75" s="943">
        <v>2.6</v>
      </c>
      <c r="C75" s="944">
        <v>533.59</v>
      </c>
      <c r="D75" s="944">
        <v>106.72</v>
      </c>
      <c r="E75" s="945">
        <f t="shared" si="4"/>
        <v>640.31000000000006</v>
      </c>
      <c r="F75" s="946">
        <f t="shared" si="5"/>
        <v>172.88370000000003</v>
      </c>
      <c r="G75" s="947">
        <f t="shared" si="6"/>
        <v>5393.9714400000003</v>
      </c>
      <c r="H75" s="945">
        <f t="shared" si="7"/>
        <v>6693.3791598959997</v>
      </c>
    </row>
    <row r="76" spans="1:8" x14ac:dyDescent="0.25">
      <c r="A76" s="942"/>
      <c r="B76" s="943">
        <v>1.5</v>
      </c>
      <c r="C76" s="944">
        <v>534</v>
      </c>
      <c r="D76" s="944">
        <v>106.8</v>
      </c>
      <c r="E76" s="945">
        <f t="shared" si="4"/>
        <v>640.79999999999995</v>
      </c>
      <c r="F76" s="946">
        <f t="shared" si="5"/>
        <v>173.01599999999999</v>
      </c>
      <c r="G76" s="947">
        <f t="shared" si="6"/>
        <v>3114.288</v>
      </c>
      <c r="H76" s="945">
        <f t="shared" si="7"/>
        <v>3864.5199791999999</v>
      </c>
    </row>
    <row r="77" spans="1:8" x14ac:dyDescent="0.25">
      <c r="A77" s="942"/>
      <c r="B77" s="943">
        <v>1</v>
      </c>
      <c r="C77" s="944">
        <v>538</v>
      </c>
      <c r="D77" s="944">
        <v>107.6</v>
      </c>
      <c r="E77" s="945">
        <f t="shared" si="4"/>
        <v>645.6</v>
      </c>
      <c r="F77" s="946">
        <f t="shared" si="5"/>
        <v>174.31200000000001</v>
      </c>
      <c r="G77" s="947">
        <f t="shared" si="6"/>
        <v>2091.7440000000001</v>
      </c>
      <c r="H77" s="945">
        <f t="shared" si="7"/>
        <v>2595.6451296</v>
      </c>
    </row>
    <row r="78" spans="1:8" x14ac:dyDescent="0.25">
      <c r="A78" s="942"/>
      <c r="B78" s="943">
        <v>2</v>
      </c>
      <c r="C78" s="944">
        <v>540.69000000000005</v>
      </c>
      <c r="D78" s="944">
        <v>108.14</v>
      </c>
      <c r="E78" s="945">
        <f t="shared" si="4"/>
        <v>648.83000000000004</v>
      </c>
      <c r="F78" s="946">
        <f t="shared" si="5"/>
        <v>175.18410000000003</v>
      </c>
      <c r="G78" s="947">
        <f t="shared" si="6"/>
        <v>4204.4184000000005</v>
      </c>
      <c r="H78" s="945">
        <f t="shared" si="7"/>
        <v>5217.26279256</v>
      </c>
    </row>
    <row r="79" spans="1:8" x14ac:dyDescent="0.25">
      <c r="A79" s="942"/>
      <c r="B79" s="943">
        <v>1</v>
      </c>
      <c r="C79" s="944">
        <v>541</v>
      </c>
      <c r="D79" s="944">
        <v>108.2</v>
      </c>
      <c r="E79" s="945">
        <f t="shared" si="4"/>
        <v>649.20000000000005</v>
      </c>
      <c r="F79" s="946">
        <f t="shared" si="5"/>
        <v>175.28400000000002</v>
      </c>
      <c r="G79" s="947">
        <f t="shared" si="6"/>
        <v>2103.4080000000004</v>
      </c>
      <c r="H79" s="945">
        <f t="shared" si="7"/>
        <v>2610.1189872</v>
      </c>
    </row>
    <row r="80" spans="1:8" x14ac:dyDescent="0.25">
      <c r="A80" s="942"/>
      <c r="B80" s="943">
        <v>1</v>
      </c>
      <c r="C80" s="944">
        <v>544</v>
      </c>
      <c r="D80" s="944">
        <v>108.8</v>
      </c>
      <c r="E80" s="945">
        <f t="shared" si="4"/>
        <v>652.79999999999995</v>
      </c>
      <c r="F80" s="946">
        <f t="shared" si="5"/>
        <v>176.256</v>
      </c>
      <c r="G80" s="947">
        <f t="shared" si="6"/>
        <v>2115.0720000000001</v>
      </c>
      <c r="H80" s="945">
        <f t="shared" si="7"/>
        <v>2624.5928448</v>
      </c>
    </row>
    <row r="81" spans="1:8" x14ac:dyDescent="0.25">
      <c r="A81" s="942"/>
      <c r="B81" s="943">
        <v>1.5</v>
      </c>
      <c r="C81" s="944">
        <v>545</v>
      </c>
      <c r="D81" s="944">
        <v>109</v>
      </c>
      <c r="E81" s="945">
        <f t="shared" si="4"/>
        <v>654</v>
      </c>
      <c r="F81" s="946">
        <f t="shared" si="5"/>
        <v>176.58</v>
      </c>
      <c r="G81" s="947">
        <f t="shared" si="6"/>
        <v>3178.44</v>
      </c>
      <c r="H81" s="945">
        <f t="shared" si="7"/>
        <v>3944.1261959999997</v>
      </c>
    </row>
    <row r="82" spans="1:8" x14ac:dyDescent="0.25">
      <c r="A82" s="942"/>
      <c r="B82" s="943">
        <v>0</v>
      </c>
      <c r="C82" s="944">
        <v>547</v>
      </c>
      <c r="D82" s="944">
        <v>0</v>
      </c>
      <c r="E82" s="945">
        <f t="shared" si="4"/>
        <v>547</v>
      </c>
      <c r="F82" s="946">
        <f t="shared" si="5"/>
        <v>147.69</v>
      </c>
      <c r="G82" s="947">
        <f t="shared" si="6"/>
        <v>0</v>
      </c>
      <c r="H82" s="945">
        <f t="shared" si="7"/>
        <v>0</v>
      </c>
    </row>
    <row r="83" spans="1:8" x14ac:dyDescent="0.25">
      <c r="A83" s="942"/>
      <c r="B83" s="943">
        <v>1</v>
      </c>
      <c r="C83" s="944">
        <v>547.80999999999995</v>
      </c>
      <c r="D83" s="944">
        <v>109.56</v>
      </c>
      <c r="E83" s="945">
        <f t="shared" si="4"/>
        <v>657.36999999999989</v>
      </c>
      <c r="F83" s="946">
        <f t="shared" si="5"/>
        <v>177.48989999999998</v>
      </c>
      <c r="G83" s="947">
        <f t="shared" si="6"/>
        <v>2129.8787999999995</v>
      </c>
      <c r="H83" s="945">
        <f t="shared" si="7"/>
        <v>2642.9666029199993</v>
      </c>
    </row>
    <row r="84" spans="1:8" x14ac:dyDescent="0.25">
      <c r="A84" s="942"/>
      <c r="B84" s="943">
        <v>0.8</v>
      </c>
      <c r="C84" s="944">
        <v>548</v>
      </c>
      <c r="D84" s="944">
        <v>109.6</v>
      </c>
      <c r="E84" s="945">
        <f t="shared" si="4"/>
        <v>657.6</v>
      </c>
      <c r="F84" s="946">
        <f t="shared" si="5"/>
        <v>177.55200000000002</v>
      </c>
      <c r="G84" s="947">
        <f t="shared" si="6"/>
        <v>1704.4992000000002</v>
      </c>
      <c r="H84" s="945">
        <f t="shared" si="7"/>
        <v>2115.1130572800002</v>
      </c>
    </row>
    <row r="85" spans="1:8" x14ac:dyDescent="0.25">
      <c r="A85" s="942"/>
      <c r="B85" s="943">
        <v>6</v>
      </c>
      <c r="C85" s="944">
        <v>550</v>
      </c>
      <c r="D85" s="944">
        <v>110</v>
      </c>
      <c r="E85" s="945">
        <f t="shared" si="4"/>
        <v>660</v>
      </c>
      <c r="F85" s="946">
        <f t="shared" si="5"/>
        <v>178.20000000000002</v>
      </c>
      <c r="G85" s="947">
        <f t="shared" si="6"/>
        <v>12830.400000000001</v>
      </c>
      <c r="H85" s="945">
        <f t="shared" si="7"/>
        <v>15921.24336</v>
      </c>
    </row>
    <row r="86" spans="1:8" x14ac:dyDescent="0.25">
      <c r="A86" s="942"/>
      <c r="B86" s="943">
        <v>0.1</v>
      </c>
      <c r="C86" s="944">
        <v>552</v>
      </c>
      <c r="D86" s="944">
        <v>110.4</v>
      </c>
      <c r="E86" s="945">
        <f t="shared" si="4"/>
        <v>662.4</v>
      </c>
      <c r="F86" s="946">
        <f t="shared" si="5"/>
        <v>178.84800000000001</v>
      </c>
      <c r="G86" s="947">
        <f t="shared" si="6"/>
        <v>214.61760000000004</v>
      </c>
      <c r="H86" s="945">
        <f t="shared" si="7"/>
        <v>266.31897984</v>
      </c>
    </row>
    <row r="87" spans="1:8" x14ac:dyDescent="0.25">
      <c r="A87" s="942"/>
      <c r="B87" s="943">
        <v>0.75</v>
      </c>
      <c r="C87" s="944">
        <v>553.01</v>
      </c>
      <c r="D87" s="944">
        <v>110.6</v>
      </c>
      <c r="E87" s="945">
        <f t="shared" si="4"/>
        <v>663.61</v>
      </c>
      <c r="F87" s="946">
        <f t="shared" si="5"/>
        <v>179.1747</v>
      </c>
      <c r="G87" s="947">
        <f t="shared" si="6"/>
        <v>1612.5722999999998</v>
      </c>
      <c r="H87" s="945">
        <f t="shared" si="7"/>
        <v>2001.0409670699996</v>
      </c>
    </row>
    <row r="88" spans="1:8" x14ac:dyDescent="0.25">
      <c r="A88" s="942"/>
      <c r="B88" s="943">
        <v>2</v>
      </c>
      <c r="C88" s="944">
        <v>554</v>
      </c>
      <c r="D88" s="944">
        <v>110.8</v>
      </c>
      <c r="E88" s="945">
        <f t="shared" si="4"/>
        <v>664.8</v>
      </c>
      <c r="F88" s="946">
        <f t="shared" si="5"/>
        <v>179.49600000000001</v>
      </c>
      <c r="G88" s="947">
        <f t="shared" si="6"/>
        <v>4307.9040000000005</v>
      </c>
      <c r="H88" s="945">
        <f t="shared" si="7"/>
        <v>5345.6780736000001</v>
      </c>
    </row>
    <row r="89" spans="1:8" x14ac:dyDescent="0.25">
      <c r="A89" s="942"/>
      <c r="B89" s="943">
        <v>3</v>
      </c>
      <c r="C89" s="944">
        <v>559</v>
      </c>
      <c r="D89" s="944">
        <v>111.8</v>
      </c>
      <c r="E89" s="945">
        <f t="shared" si="4"/>
        <v>670.8</v>
      </c>
      <c r="F89" s="946">
        <f t="shared" si="5"/>
        <v>181.11599999999999</v>
      </c>
      <c r="G89" s="947">
        <f t="shared" si="6"/>
        <v>6520.1759999999995</v>
      </c>
      <c r="H89" s="945">
        <f t="shared" si="7"/>
        <v>8090.8863983999991</v>
      </c>
    </row>
    <row r="90" spans="1:8" x14ac:dyDescent="0.25">
      <c r="A90" s="942"/>
      <c r="B90" s="943">
        <v>3.8</v>
      </c>
      <c r="C90" s="944">
        <v>560</v>
      </c>
      <c r="D90" s="944">
        <v>112</v>
      </c>
      <c r="E90" s="945">
        <f t="shared" si="4"/>
        <v>672</v>
      </c>
      <c r="F90" s="946">
        <f t="shared" si="5"/>
        <v>181.44</v>
      </c>
      <c r="G90" s="947">
        <f t="shared" si="6"/>
        <v>8273.6639999999989</v>
      </c>
      <c r="H90" s="945">
        <f t="shared" si="7"/>
        <v>10266.789657599998</v>
      </c>
    </row>
    <row r="91" spans="1:8" x14ac:dyDescent="0.25">
      <c r="A91" s="942"/>
      <c r="B91" s="943">
        <v>1</v>
      </c>
      <c r="C91" s="944">
        <v>562</v>
      </c>
      <c r="D91" s="944">
        <v>112.4</v>
      </c>
      <c r="E91" s="945">
        <f t="shared" si="4"/>
        <v>674.4</v>
      </c>
      <c r="F91" s="946">
        <f t="shared" si="5"/>
        <v>182.08799999999999</v>
      </c>
      <c r="G91" s="947">
        <f t="shared" si="6"/>
        <v>2185.056</v>
      </c>
      <c r="H91" s="945">
        <f t="shared" si="7"/>
        <v>2711.4359903999998</v>
      </c>
    </row>
    <row r="92" spans="1:8" x14ac:dyDescent="0.25">
      <c r="A92" s="942"/>
      <c r="B92" s="943">
        <v>0.75</v>
      </c>
      <c r="C92" s="944">
        <v>563</v>
      </c>
      <c r="D92" s="944">
        <v>112.6</v>
      </c>
      <c r="E92" s="945">
        <f t="shared" si="4"/>
        <v>675.6</v>
      </c>
      <c r="F92" s="946">
        <f t="shared" si="5"/>
        <v>182.41200000000001</v>
      </c>
      <c r="G92" s="947">
        <f t="shared" si="6"/>
        <v>1641.7080000000001</v>
      </c>
      <c r="H92" s="945">
        <f t="shared" si="7"/>
        <v>2037.1954572</v>
      </c>
    </row>
    <row r="93" spans="1:8" x14ac:dyDescent="0.25">
      <c r="A93" s="942"/>
      <c r="B93" s="943">
        <v>0</v>
      </c>
      <c r="C93" s="944">
        <v>568</v>
      </c>
      <c r="D93" s="944">
        <v>113.6</v>
      </c>
      <c r="E93" s="945">
        <f t="shared" si="4"/>
        <v>681.6</v>
      </c>
      <c r="F93" s="946">
        <f t="shared" si="5"/>
        <v>184.03200000000001</v>
      </c>
      <c r="G93" s="947">
        <f t="shared" si="6"/>
        <v>0</v>
      </c>
      <c r="H93" s="945">
        <f t="shared" si="7"/>
        <v>0</v>
      </c>
    </row>
    <row r="94" spans="1:8" x14ac:dyDescent="0.25">
      <c r="A94" s="942"/>
      <c r="B94" s="943">
        <v>0</v>
      </c>
      <c r="C94" s="944">
        <v>568</v>
      </c>
      <c r="D94" s="944">
        <v>0</v>
      </c>
      <c r="E94" s="945">
        <f t="shared" si="4"/>
        <v>568</v>
      </c>
      <c r="F94" s="946">
        <f t="shared" si="5"/>
        <v>153.36000000000001</v>
      </c>
      <c r="G94" s="947">
        <f t="shared" si="6"/>
        <v>0</v>
      </c>
      <c r="H94" s="945">
        <f t="shared" si="7"/>
        <v>0</v>
      </c>
    </row>
    <row r="95" spans="1:8" x14ac:dyDescent="0.25">
      <c r="A95" s="942"/>
      <c r="B95" s="943">
        <v>1.1499999999999999</v>
      </c>
      <c r="C95" s="944">
        <v>569</v>
      </c>
      <c r="D95" s="944">
        <v>113.8</v>
      </c>
      <c r="E95" s="945">
        <f t="shared" si="4"/>
        <v>682.8</v>
      </c>
      <c r="F95" s="946">
        <f t="shared" si="5"/>
        <v>184.35599999999999</v>
      </c>
      <c r="G95" s="947">
        <f t="shared" si="6"/>
        <v>2544.1127999999999</v>
      </c>
      <c r="H95" s="945">
        <f t="shared" si="7"/>
        <v>3156.9895735199998</v>
      </c>
    </row>
    <row r="96" spans="1:8" x14ac:dyDescent="0.25">
      <c r="A96" s="942"/>
      <c r="B96" s="943">
        <v>1.5</v>
      </c>
      <c r="C96" s="944">
        <v>570</v>
      </c>
      <c r="D96" s="944">
        <v>114</v>
      </c>
      <c r="E96" s="945">
        <f t="shared" si="4"/>
        <v>684</v>
      </c>
      <c r="F96" s="946">
        <f t="shared" si="5"/>
        <v>184.68</v>
      </c>
      <c r="G96" s="947">
        <f t="shared" si="6"/>
        <v>3324.24</v>
      </c>
      <c r="H96" s="945">
        <f t="shared" si="7"/>
        <v>4125.0494159999989</v>
      </c>
    </row>
    <row r="97" spans="1:8" x14ac:dyDescent="0.25">
      <c r="A97" s="942"/>
      <c r="B97" s="943">
        <v>0</v>
      </c>
      <c r="C97" s="944">
        <v>570</v>
      </c>
      <c r="D97" s="944">
        <v>0</v>
      </c>
      <c r="E97" s="945">
        <f t="shared" si="4"/>
        <v>570</v>
      </c>
      <c r="F97" s="946">
        <f t="shared" si="5"/>
        <v>153.9</v>
      </c>
      <c r="G97" s="947">
        <f t="shared" si="6"/>
        <v>0</v>
      </c>
      <c r="H97" s="945">
        <f t="shared" si="7"/>
        <v>0</v>
      </c>
    </row>
    <row r="98" spans="1:8" x14ac:dyDescent="0.25">
      <c r="A98" s="942"/>
      <c r="B98" s="943">
        <v>1</v>
      </c>
      <c r="C98" s="944">
        <v>573.41999999999996</v>
      </c>
      <c r="D98" s="944">
        <v>114.68</v>
      </c>
      <c r="E98" s="945">
        <f t="shared" si="4"/>
        <v>688.09999999999991</v>
      </c>
      <c r="F98" s="946">
        <f t="shared" si="5"/>
        <v>185.78699999999998</v>
      </c>
      <c r="G98" s="947">
        <f t="shared" si="6"/>
        <v>2229.4439999999995</v>
      </c>
      <c r="H98" s="945">
        <f t="shared" si="7"/>
        <v>2766.5170595999994</v>
      </c>
    </row>
    <row r="99" spans="1:8" x14ac:dyDescent="0.25">
      <c r="A99" s="942"/>
      <c r="B99" s="943">
        <v>0</v>
      </c>
      <c r="C99" s="944">
        <v>574</v>
      </c>
      <c r="D99" s="944">
        <v>114.8</v>
      </c>
      <c r="E99" s="945">
        <f t="shared" si="4"/>
        <v>688.8</v>
      </c>
      <c r="F99" s="946">
        <f t="shared" si="5"/>
        <v>185.976</v>
      </c>
      <c r="G99" s="947">
        <f t="shared" si="6"/>
        <v>0</v>
      </c>
      <c r="H99" s="945">
        <f t="shared" si="7"/>
        <v>0</v>
      </c>
    </row>
    <row r="100" spans="1:8" x14ac:dyDescent="0.25">
      <c r="A100" s="942"/>
      <c r="B100" s="943">
        <v>0.5</v>
      </c>
      <c r="C100" s="944">
        <v>575</v>
      </c>
      <c r="D100" s="944">
        <v>115</v>
      </c>
      <c r="E100" s="945">
        <f t="shared" si="4"/>
        <v>690</v>
      </c>
      <c r="F100" s="946">
        <f t="shared" si="5"/>
        <v>186.3</v>
      </c>
      <c r="G100" s="947">
        <f t="shared" si="6"/>
        <v>1117.8000000000002</v>
      </c>
      <c r="H100" s="945">
        <f t="shared" si="7"/>
        <v>1387.0780200000002</v>
      </c>
    </row>
    <row r="101" spans="1:8" x14ac:dyDescent="0.25">
      <c r="A101" s="942"/>
      <c r="B101" s="943">
        <v>1</v>
      </c>
      <c r="C101" s="944">
        <v>576.26</v>
      </c>
      <c r="D101" s="944">
        <v>115.25</v>
      </c>
      <c r="E101" s="945">
        <f t="shared" si="4"/>
        <v>691.51</v>
      </c>
      <c r="F101" s="946">
        <f t="shared" si="5"/>
        <v>186.70770000000002</v>
      </c>
      <c r="G101" s="947">
        <f t="shared" si="6"/>
        <v>2240.4924000000001</v>
      </c>
      <c r="H101" s="945">
        <f t="shared" si="7"/>
        <v>2780.2270191600001</v>
      </c>
    </row>
    <row r="102" spans="1:8" x14ac:dyDescent="0.25">
      <c r="A102" s="942"/>
      <c r="B102" s="943">
        <v>1</v>
      </c>
      <c r="C102" s="944">
        <v>578</v>
      </c>
      <c r="D102" s="944">
        <v>115.6</v>
      </c>
      <c r="E102" s="945">
        <f t="shared" si="4"/>
        <v>693.6</v>
      </c>
      <c r="F102" s="946">
        <f t="shared" si="5"/>
        <v>187.27200000000002</v>
      </c>
      <c r="G102" s="947">
        <f t="shared" si="6"/>
        <v>2247.2640000000001</v>
      </c>
      <c r="H102" s="945">
        <f t="shared" si="7"/>
        <v>2788.6298975999998</v>
      </c>
    </row>
    <row r="103" spans="1:8" x14ac:dyDescent="0.25">
      <c r="A103" s="942"/>
      <c r="B103" s="943">
        <v>2.5</v>
      </c>
      <c r="C103" s="944">
        <v>580</v>
      </c>
      <c r="D103" s="944">
        <v>116</v>
      </c>
      <c r="E103" s="945">
        <f t="shared" si="4"/>
        <v>696</v>
      </c>
      <c r="F103" s="946">
        <f t="shared" si="5"/>
        <v>187.92000000000002</v>
      </c>
      <c r="G103" s="947">
        <f t="shared" si="6"/>
        <v>5637.6</v>
      </c>
      <c r="H103" s="945">
        <f t="shared" si="7"/>
        <v>6995.6978399999998</v>
      </c>
    </row>
    <row r="104" spans="1:8" x14ac:dyDescent="0.25">
      <c r="A104" s="942"/>
      <c r="B104" s="943">
        <v>1.5</v>
      </c>
      <c r="C104" s="944">
        <v>586</v>
      </c>
      <c r="D104" s="944">
        <v>117.2</v>
      </c>
      <c r="E104" s="945">
        <f t="shared" si="4"/>
        <v>703.2</v>
      </c>
      <c r="F104" s="946">
        <f t="shared" si="5"/>
        <v>189.86400000000003</v>
      </c>
      <c r="G104" s="947">
        <f t="shared" si="6"/>
        <v>3417.5520000000006</v>
      </c>
      <c r="H104" s="945">
        <f t="shared" si="7"/>
        <v>4240.8402768000005</v>
      </c>
    </row>
    <row r="105" spans="1:8" x14ac:dyDescent="0.25">
      <c r="A105" s="942"/>
      <c r="B105" s="943">
        <v>0.25</v>
      </c>
      <c r="C105" s="944">
        <v>587</v>
      </c>
      <c r="D105" s="944">
        <v>117.4</v>
      </c>
      <c r="E105" s="945">
        <f t="shared" si="4"/>
        <v>704.4</v>
      </c>
      <c r="F105" s="946">
        <f t="shared" si="5"/>
        <v>190.18800000000002</v>
      </c>
      <c r="G105" s="947">
        <f t="shared" si="6"/>
        <v>570.56400000000008</v>
      </c>
      <c r="H105" s="945">
        <f t="shared" si="7"/>
        <v>708.01286760000005</v>
      </c>
    </row>
    <row r="106" spans="1:8" x14ac:dyDescent="0.25">
      <c r="A106" s="942"/>
      <c r="B106" s="943">
        <v>1</v>
      </c>
      <c r="C106" s="944">
        <v>588</v>
      </c>
      <c r="D106" s="944">
        <v>117.6</v>
      </c>
      <c r="E106" s="945">
        <f t="shared" si="4"/>
        <v>705.6</v>
      </c>
      <c r="F106" s="946">
        <f t="shared" si="5"/>
        <v>190.51200000000003</v>
      </c>
      <c r="G106" s="947">
        <f t="shared" si="6"/>
        <v>2286.1440000000002</v>
      </c>
      <c r="H106" s="945">
        <f t="shared" si="7"/>
        <v>2836.8760895999999</v>
      </c>
    </row>
    <row r="107" spans="1:8" x14ac:dyDescent="0.25">
      <c r="A107" s="942"/>
      <c r="B107" s="943">
        <v>0</v>
      </c>
      <c r="C107" s="944">
        <v>589</v>
      </c>
      <c r="D107" s="944">
        <v>0</v>
      </c>
      <c r="E107" s="945">
        <f t="shared" si="4"/>
        <v>589</v>
      </c>
      <c r="F107" s="946">
        <f t="shared" si="5"/>
        <v>159.03</v>
      </c>
      <c r="G107" s="947">
        <f t="shared" si="6"/>
        <v>0</v>
      </c>
      <c r="H107" s="945">
        <f t="shared" si="7"/>
        <v>0</v>
      </c>
    </row>
    <row r="108" spans="1:8" x14ac:dyDescent="0.25">
      <c r="A108" s="942"/>
      <c r="B108" s="943">
        <v>0</v>
      </c>
      <c r="C108" s="944">
        <v>595</v>
      </c>
      <c r="D108" s="944">
        <v>119</v>
      </c>
      <c r="E108" s="945">
        <f t="shared" si="4"/>
        <v>714</v>
      </c>
      <c r="F108" s="946">
        <f t="shared" si="5"/>
        <v>192.78</v>
      </c>
      <c r="G108" s="947">
        <f t="shared" si="6"/>
        <v>0</v>
      </c>
      <c r="H108" s="945">
        <f t="shared" si="7"/>
        <v>0</v>
      </c>
    </row>
    <row r="109" spans="1:8" x14ac:dyDescent="0.25">
      <c r="A109" s="942"/>
      <c r="B109" s="943">
        <v>0</v>
      </c>
      <c r="C109" s="944">
        <v>597.29999999999995</v>
      </c>
      <c r="D109" s="944">
        <v>119.46</v>
      </c>
      <c r="E109" s="945">
        <f t="shared" si="4"/>
        <v>716.76</v>
      </c>
      <c r="F109" s="946">
        <f>E109*0.27</f>
        <v>193.52520000000001</v>
      </c>
      <c r="G109" s="947">
        <f t="shared" si="6"/>
        <v>0</v>
      </c>
      <c r="H109" s="945">
        <f t="shared" si="7"/>
        <v>0</v>
      </c>
    </row>
    <row r="110" spans="1:8" x14ac:dyDescent="0.25">
      <c r="A110" s="942"/>
      <c r="B110" s="943">
        <v>1.6</v>
      </c>
      <c r="C110" s="944">
        <v>598</v>
      </c>
      <c r="D110" s="944">
        <v>119.6</v>
      </c>
      <c r="E110" s="945">
        <f t="shared" si="4"/>
        <v>717.6</v>
      </c>
      <c r="F110" s="946">
        <f t="shared" si="5"/>
        <v>193.75200000000001</v>
      </c>
      <c r="G110" s="947">
        <f t="shared" si="6"/>
        <v>3720.0384000000008</v>
      </c>
      <c r="H110" s="945">
        <f t="shared" si="7"/>
        <v>4616.195650560001</v>
      </c>
    </row>
    <row r="111" spans="1:8" x14ac:dyDescent="0.25">
      <c r="A111" s="942"/>
      <c r="B111" s="943">
        <v>1.25</v>
      </c>
      <c r="C111" s="944">
        <v>600</v>
      </c>
      <c r="D111" s="944">
        <v>120</v>
      </c>
      <c r="E111" s="945">
        <f t="shared" si="4"/>
        <v>720</v>
      </c>
      <c r="F111" s="946">
        <f t="shared" si="5"/>
        <v>194.4</v>
      </c>
      <c r="G111" s="947">
        <f t="shared" si="6"/>
        <v>2916</v>
      </c>
      <c r="H111" s="945">
        <f t="shared" si="7"/>
        <v>3618.4643999999998</v>
      </c>
    </row>
    <row r="112" spans="1:8" x14ac:dyDescent="0.25">
      <c r="A112" s="942"/>
      <c r="B112" s="943">
        <v>0.5</v>
      </c>
      <c r="C112" s="944">
        <v>606</v>
      </c>
      <c r="D112" s="944">
        <v>121.2</v>
      </c>
      <c r="E112" s="945">
        <f t="shared" si="4"/>
        <v>727.2</v>
      </c>
      <c r="F112" s="946">
        <f t="shared" si="5"/>
        <v>196.34400000000002</v>
      </c>
      <c r="G112" s="947">
        <f t="shared" si="6"/>
        <v>1178.0640000000001</v>
      </c>
      <c r="H112" s="945">
        <f t="shared" si="7"/>
        <v>1461.8596175999999</v>
      </c>
    </row>
    <row r="113" spans="1:8" x14ac:dyDescent="0.25">
      <c r="A113" s="942"/>
      <c r="B113" s="943">
        <v>1</v>
      </c>
      <c r="C113" s="944">
        <v>607</v>
      </c>
      <c r="D113" s="944">
        <v>121.4</v>
      </c>
      <c r="E113" s="945">
        <f t="shared" si="4"/>
        <v>728.4</v>
      </c>
      <c r="F113" s="946">
        <f t="shared" si="5"/>
        <v>196.66800000000001</v>
      </c>
      <c r="G113" s="947">
        <f t="shared" si="6"/>
        <v>2360.0160000000001</v>
      </c>
      <c r="H113" s="945">
        <f t="shared" si="7"/>
        <v>2928.5438543999999</v>
      </c>
    </row>
    <row r="114" spans="1:8" x14ac:dyDescent="0.25">
      <c r="A114" s="942"/>
      <c r="B114" s="943">
        <v>0</v>
      </c>
      <c r="C114" s="944">
        <v>609</v>
      </c>
      <c r="D114" s="944">
        <v>0</v>
      </c>
      <c r="E114" s="945">
        <f t="shared" si="4"/>
        <v>609</v>
      </c>
      <c r="F114" s="946">
        <f t="shared" si="5"/>
        <v>164.43</v>
      </c>
      <c r="G114" s="947">
        <f t="shared" si="6"/>
        <v>0</v>
      </c>
      <c r="H114" s="945">
        <f t="shared" si="7"/>
        <v>0</v>
      </c>
    </row>
    <row r="115" spans="1:8" x14ac:dyDescent="0.25">
      <c r="A115" s="942"/>
      <c r="B115" s="943">
        <v>0.6</v>
      </c>
      <c r="C115" s="944">
        <v>610</v>
      </c>
      <c r="D115" s="944">
        <v>122</v>
      </c>
      <c r="E115" s="945">
        <f t="shared" si="4"/>
        <v>732</v>
      </c>
      <c r="F115" s="946">
        <f t="shared" si="5"/>
        <v>197.64000000000001</v>
      </c>
      <c r="G115" s="947">
        <f t="shared" si="6"/>
        <v>1423.008</v>
      </c>
      <c r="H115" s="945">
        <f t="shared" si="7"/>
        <v>1765.8106272</v>
      </c>
    </row>
    <row r="116" spans="1:8" x14ac:dyDescent="0.25">
      <c r="A116" s="942"/>
      <c r="B116" s="943">
        <v>0</v>
      </c>
      <c r="C116" s="944">
        <v>613</v>
      </c>
      <c r="D116" s="944">
        <v>122.6</v>
      </c>
      <c r="E116" s="945">
        <f t="shared" si="4"/>
        <v>735.6</v>
      </c>
      <c r="F116" s="946">
        <f t="shared" si="5"/>
        <v>198.61200000000002</v>
      </c>
      <c r="G116" s="947">
        <f t="shared" si="6"/>
        <v>0</v>
      </c>
      <c r="H116" s="945">
        <f t="shared" si="7"/>
        <v>0</v>
      </c>
    </row>
    <row r="117" spans="1:8" x14ac:dyDescent="0.25">
      <c r="A117" s="942"/>
      <c r="B117" s="943">
        <v>1</v>
      </c>
      <c r="C117" s="944">
        <v>613.26</v>
      </c>
      <c r="D117" s="944">
        <v>122.65</v>
      </c>
      <c r="E117" s="945">
        <f t="shared" si="4"/>
        <v>735.91</v>
      </c>
      <c r="F117" s="946">
        <f t="shared" si="5"/>
        <v>198.69570000000002</v>
      </c>
      <c r="G117" s="947">
        <f t="shared" si="6"/>
        <v>2384.3484000000003</v>
      </c>
      <c r="H117" s="945">
        <f t="shared" si="7"/>
        <v>2958.7379295600003</v>
      </c>
    </row>
    <row r="118" spans="1:8" x14ac:dyDescent="0.25">
      <c r="A118" s="942"/>
      <c r="B118" s="943">
        <v>0</v>
      </c>
      <c r="C118" s="944">
        <v>615</v>
      </c>
      <c r="D118" s="944">
        <v>0</v>
      </c>
      <c r="E118" s="945">
        <f t="shared" si="4"/>
        <v>615</v>
      </c>
      <c r="F118" s="946">
        <f t="shared" si="5"/>
        <v>166.05</v>
      </c>
      <c r="G118" s="947">
        <f t="shared" si="6"/>
        <v>0</v>
      </c>
      <c r="H118" s="945">
        <f t="shared" si="7"/>
        <v>0</v>
      </c>
    </row>
    <row r="119" spans="1:8" x14ac:dyDescent="0.25">
      <c r="A119" s="942"/>
      <c r="B119" s="943">
        <v>5</v>
      </c>
      <c r="C119" s="944">
        <v>618</v>
      </c>
      <c r="D119" s="944">
        <v>123.6</v>
      </c>
      <c r="E119" s="945">
        <f t="shared" si="4"/>
        <v>741.6</v>
      </c>
      <c r="F119" s="946">
        <f t="shared" si="5"/>
        <v>200.23200000000003</v>
      </c>
      <c r="G119" s="947">
        <f t="shared" si="6"/>
        <v>12013.920000000002</v>
      </c>
      <c r="H119" s="945">
        <f t="shared" si="7"/>
        <v>14908.073328</v>
      </c>
    </row>
    <row r="120" spans="1:8" x14ac:dyDescent="0.25">
      <c r="A120" s="942"/>
      <c r="B120" s="943">
        <v>0</v>
      </c>
      <c r="C120" s="944">
        <v>618</v>
      </c>
      <c r="D120" s="944">
        <v>0</v>
      </c>
      <c r="E120" s="945">
        <f t="shared" si="4"/>
        <v>618</v>
      </c>
      <c r="F120" s="946">
        <f t="shared" si="5"/>
        <v>166.86</v>
      </c>
      <c r="G120" s="947">
        <f t="shared" si="6"/>
        <v>0</v>
      </c>
      <c r="H120" s="945">
        <f t="shared" si="7"/>
        <v>0</v>
      </c>
    </row>
    <row r="121" spans="1:8" x14ac:dyDescent="0.25">
      <c r="A121" s="942"/>
      <c r="B121" s="943">
        <v>1</v>
      </c>
      <c r="C121" s="944">
        <v>619</v>
      </c>
      <c r="D121" s="944">
        <v>123.8</v>
      </c>
      <c r="E121" s="945">
        <f t="shared" si="4"/>
        <v>742.8</v>
      </c>
      <c r="F121" s="946">
        <f t="shared" si="5"/>
        <v>200.55600000000001</v>
      </c>
      <c r="G121" s="947">
        <f t="shared" si="6"/>
        <v>2406.672</v>
      </c>
      <c r="H121" s="945">
        <f t="shared" si="7"/>
        <v>2986.4392847999998</v>
      </c>
    </row>
    <row r="122" spans="1:8" x14ac:dyDescent="0.25">
      <c r="A122" s="942"/>
      <c r="B122" s="943">
        <v>1</v>
      </c>
      <c r="C122" s="944">
        <v>620</v>
      </c>
      <c r="D122" s="944">
        <v>124</v>
      </c>
      <c r="E122" s="945">
        <f t="shared" si="4"/>
        <v>744</v>
      </c>
      <c r="F122" s="946">
        <f t="shared" si="5"/>
        <v>200.88000000000002</v>
      </c>
      <c r="G122" s="947">
        <f t="shared" si="6"/>
        <v>2410.5600000000004</v>
      </c>
      <c r="H122" s="945">
        <f t="shared" si="7"/>
        <v>2991.2639040000004</v>
      </c>
    </row>
    <row r="123" spans="1:8" x14ac:dyDescent="0.25">
      <c r="A123" s="942"/>
      <c r="B123" s="943">
        <v>1</v>
      </c>
      <c r="C123" s="944">
        <v>621</v>
      </c>
      <c r="D123" s="944">
        <v>124.2</v>
      </c>
      <c r="E123" s="945">
        <f t="shared" si="4"/>
        <v>745.2</v>
      </c>
      <c r="F123" s="946">
        <f t="shared" si="5"/>
        <v>201.20400000000004</v>
      </c>
      <c r="G123" s="947">
        <f t="shared" si="6"/>
        <v>2414.4480000000003</v>
      </c>
      <c r="H123" s="945">
        <f t="shared" si="7"/>
        <v>2996.0885232000001</v>
      </c>
    </row>
    <row r="124" spans="1:8" x14ac:dyDescent="0.25">
      <c r="A124" s="942"/>
      <c r="B124" s="943">
        <v>0.17499999999999999</v>
      </c>
      <c r="C124" s="944">
        <v>624</v>
      </c>
      <c r="D124" s="944">
        <v>124.8</v>
      </c>
      <c r="E124" s="945">
        <f t="shared" si="4"/>
        <v>748.8</v>
      </c>
      <c r="F124" s="946">
        <f t="shared" si="5"/>
        <v>202.17599999999999</v>
      </c>
      <c r="G124" s="947">
        <f t="shared" si="6"/>
        <v>424.56959999999998</v>
      </c>
      <c r="H124" s="945">
        <f t="shared" si="7"/>
        <v>526.84841663999998</v>
      </c>
    </row>
    <row r="125" spans="1:8" x14ac:dyDescent="0.25">
      <c r="A125" s="942"/>
      <c r="B125" s="943">
        <v>1</v>
      </c>
      <c r="C125" s="944">
        <v>626</v>
      </c>
      <c r="D125" s="944">
        <v>125.2</v>
      </c>
      <c r="E125" s="945">
        <f t="shared" si="4"/>
        <v>751.2</v>
      </c>
      <c r="F125" s="946">
        <f t="shared" si="5"/>
        <v>202.82400000000001</v>
      </c>
      <c r="G125" s="947">
        <f t="shared" si="6"/>
        <v>2433.8879999999999</v>
      </c>
      <c r="H125" s="945">
        <f t="shared" si="7"/>
        <v>3020.2116191999999</v>
      </c>
    </row>
    <row r="126" spans="1:8" x14ac:dyDescent="0.25">
      <c r="A126" s="942"/>
      <c r="B126" s="943">
        <v>0.5</v>
      </c>
      <c r="C126" s="944">
        <v>627</v>
      </c>
      <c r="D126" s="944">
        <v>125.4</v>
      </c>
      <c r="E126" s="945">
        <f t="shared" si="4"/>
        <v>752.4</v>
      </c>
      <c r="F126" s="946">
        <f t="shared" si="5"/>
        <v>203.148</v>
      </c>
      <c r="G126" s="947">
        <f t="shared" si="6"/>
        <v>1218.8879999999999</v>
      </c>
      <c r="H126" s="945">
        <f t="shared" si="7"/>
        <v>1512.5181191999998</v>
      </c>
    </row>
    <row r="127" spans="1:8" x14ac:dyDescent="0.25">
      <c r="A127" s="942"/>
      <c r="B127" s="943">
        <v>1</v>
      </c>
      <c r="C127" s="944">
        <v>628</v>
      </c>
      <c r="D127" s="944">
        <v>125.6</v>
      </c>
      <c r="E127" s="945">
        <f t="shared" si="4"/>
        <v>753.6</v>
      </c>
      <c r="F127" s="946">
        <f t="shared" si="5"/>
        <v>203.47200000000001</v>
      </c>
      <c r="G127" s="947">
        <f t="shared" si="6"/>
        <v>2441.6640000000002</v>
      </c>
      <c r="H127" s="945">
        <f t="shared" si="7"/>
        <v>3029.8608576000001</v>
      </c>
    </row>
    <row r="128" spans="1:8" x14ac:dyDescent="0.25">
      <c r="A128" s="942"/>
      <c r="B128" s="943">
        <v>0</v>
      </c>
      <c r="C128" s="944">
        <v>629</v>
      </c>
      <c r="D128" s="944">
        <v>0</v>
      </c>
      <c r="E128" s="945">
        <f t="shared" si="4"/>
        <v>629</v>
      </c>
      <c r="F128" s="946">
        <f t="shared" si="5"/>
        <v>169.83</v>
      </c>
      <c r="G128" s="947">
        <f t="shared" si="6"/>
        <v>0</v>
      </c>
      <c r="H128" s="945">
        <f t="shared" si="7"/>
        <v>0</v>
      </c>
    </row>
    <row r="129" spans="1:8" x14ac:dyDescent="0.25">
      <c r="A129" s="942"/>
      <c r="B129" s="943">
        <v>1</v>
      </c>
      <c r="C129" s="944">
        <v>630.79999999999995</v>
      </c>
      <c r="D129" s="944">
        <v>126.16</v>
      </c>
      <c r="E129" s="945">
        <f t="shared" si="4"/>
        <v>756.95999999999992</v>
      </c>
      <c r="F129" s="946">
        <f t="shared" si="5"/>
        <v>204.3792</v>
      </c>
      <c r="G129" s="947">
        <f t="shared" si="6"/>
        <v>2452.5504000000001</v>
      </c>
      <c r="H129" s="945">
        <f t="shared" si="7"/>
        <v>3043.3697913599999</v>
      </c>
    </row>
    <row r="130" spans="1:8" x14ac:dyDescent="0.25">
      <c r="A130" s="942"/>
      <c r="B130" s="943">
        <v>0</v>
      </c>
      <c r="C130" s="944">
        <v>633</v>
      </c>
      <c r="D130" s="944">
        <v>126.6</v>
      </c>
      <c r="E130" s="945">
        <f t="shared" si="4"/>
        <v>759.6</v>
      </c>
      <c r="F130" s="946">
        <f t="shared" si="5"/>
        <v>205.09200000000001</v>
      </c>
      <c r="G130" s="947">
        <f t="shared" si="6"/>
        <v>0</v>
      </c>
      <c r="H130" s="945">
        <f t="shared" si="7"/>
        <v>0</v>
      </c>
    </row>
    <row r="131" spans="1:8" x14ac:dyDescent="0.25">
      <c r="A131" s="942"/>
      <c r="B131" s="943">
        <v>0</v>
      </c>
      <c r="C131" s="944">
        <v>635</v>
      </c>
      <c r="D131" s="944">
        <v>0</v>
      </c>
      <c r="E131" s="945">
        <f t="shared" si="4"/>
        <v>635</v>
      </c>
      <c r="F131" s="946">
        <f t="shared" si="5"/>
        <v>171.45000000000002</v>
      </c>
      <c r="G131" s="947">
        <f t="shared" si="6"/>
        <v>0</v>
      </c>
      <c r="H131" s="945">
        <f t="shared" si="7"/>
        <v>0</v>
      </c>
    </row>
    <row r="132" spans="1:8" x14ac:dyDescent="0.25">
      <c r="A132" s="942"/>
      <c r="B132" s="943">
        <v>0</v>
      </c>
      <c r="C132" s="944">
        <v>640</v>
      </c>
      <c r="D132" s="944">
        <v>128</v>
      </c>
      <c r="E132" s="945">
        <f t="shared" si="4"/>
        <v>768</v>
      </c>
      <c r="F132" s="946">
        <f t="shared" si="5"/>
        <v>207.36</v>
      </c>
      <c r="G132" s="947">
        <f t="shared" si="6"/>
        <v>0</v>
      </c>
      <c r="H132" s="945">
        <f t="shared" si="7"/>
        <v>0</v>
      </c>
    </row>
    <row r="133" spans="1:8" x14ac:dyDescent="0.25">
      <c r="A133" s="942"/>
      <c r="B133" s="943">
        <v>0</v>
      </c>
      <c r="C133" s="944">
        <v>641</v>
      </c>
      <c r="D133" s="944">
        <v>128.19999999999999</v>
      </c>
      <c r="E133" s="945">
        <f t="shared" si="4"/>
        <v>769.2</v>
      </c>
      <c r="F133" s="946">
        <f t="shared" si="5"/>
        <v>207.68400000000003</v>
      </c>
      <c r="G133" s="947">
        <f t="shared" si="6"/>
        <v>0</v>
      </c>
      <c r="H133" s="945">
        <f t="shared" si="7"/>
        <v>0</v>
      </c>
    </row>
    <row r="134" spans="1:8" x14ac:dyDescent="0.25">
      <c r="A134" s="942"/>
      <c r="B134" s="943">
        <v>1.5</v>
      </c>
      <c r="C134" s="944">
        <v>642</v>
      </c>
      <c r="D134" s="944">
        <v>128.4</v>
      </c>
      <c r="E134" s="945">
        <f t="shared" si="4"/>
        <v>770.4</v>
      </c>
      <c r="F134" s="946">
        <f t="shared" si="5"/>
        <v>208.00800000000001</v>
      </c>
      <c r="G134" s="947">
        <f t="shared" si="6"/>
        <v>3744.1440000000002</v>
      </c>
      <c r="H134" s="945">
        <f t="shared" si="7"/>
        <v>4646.1082895999998</v>
      </c>
    </row>
    <row r="135" spans="1:8" x14ac:dyDescent="0.25">
      <c r="A135" s="942"/>
      <c r="B135" s="943">
        <v>2.25</v>
      </c>
      <c r="C135" s="944">
        <v>646</v>
      </c>
      <c r="D135" s="944">
        <v>129.19999999999999</v>
      </c>
      <c r="E135" s="945">
        <f t="shared" si="4"/>
        <v>775.2</v>
      </c>
      <c r="F135" s="946">
        <f t="shared" si="5"/>
        <v>209.30400000000003</v>
      </c>
      <c r="G135" s="947">
        <f t="shared" si="6"/>
        <v>5651.2080000000005</v>
      </c>
      <c r="H135" s="945">
        <f t="shared" si="7"/>
        <v>7012.5840072000001</v>
      </c>
    </row>
    <row r="136" spans="1:8" x14ac:dyDescent="0.25">
      <c r="A136" s="942"/>
      <c r="B136" s="943">
        <v>0.5</v>
      </c>
      <c r="C136" s="944">
        <v>655</v>
      </c>
      <c r="D136" s="944">
        <v>131</v>
      </c>
      <c r="E136" s="945">
        <f t="shared" ref="E136:E167" si="8">+C136+D136</f>
        <v>786</v>
      </c>
      <c r="F136" s="946">
        <f t="shared" si="5"/>
        <v>212.22000000000003</v>
      </c>
      <c r="G136" s="947">
        <f t="shared" si="6"/>
        <v>1273.3200000000002</v>
      </c>
      <c r="H136" s="945">
        <f t="shared" si="7"/>
        <v>1580.062788</v>
      </c>
    </row>
    <row r="137" spans="1:8" x14ac:dyDescent="0.25">
      <c r="A137" s="942"/>
      <c r="B137" s="943">
        <v>0.3</v>
      </c>
      <c r="C137" s="944">
        <v>665</v>
      </c>
      <c r="D137" s="944">
        <v>133</v>
      </c>
      <c r="E137" s="945">
        <f t="shared" si="8"/>
        <v>798</v>
      </c>
      <c r="F137" s="946">
        <f t="shared" ref="F137:F167" si="9">E137*0.27</f>
        <v>215.46</v>
      </c>
      <c r="G137" s="947">
        <f t="shared" ref="G137:G167" si="10">F137*12*B137</f>
        <v>775.65599999999995</v>
      </c>
      <c r="H137" s="945">
        <f t="shared" ref="H137:H167" si="11">G137*1.2409</f>
        <v>962.51153039999986</v>
      </c>
    </row>
    <row r="138" spans="1:8" x14ac:dyDescent="0.25">
      <c r="A138" s="942"/>
      <c r="B138" s="943">
        <v>0</v>
      </c>
      <c r="C138" s="944">
        <v>689</v>
      </c>
      <c r="D138" s="944">
        <v>137.80000000000001</v>
      </c>
      <c r="E138" s="945">
        <f t="shared" si="8"/>
        <v>826.8</v>
      </c>
      <c r="F138" s="946">
        <f t="shared" si="9"/>
        <v>223.23599999999999</v>
      </c>
      <c r="G138" s="947">
        <f t="shared" si="10"/>
        <v>0</v>
      </c>
      <c r="H138" s="945">
        <f t="shared" si="11"/>
        <v>0</v>
      </c>
    </row>
    <row r="139" spans="1:8" x14ac:dyDescent="0.25">
      <c r="A139" s="942"/>
      <c r="B139" s="943">
        <v>0</v>
      </c>
      <c r="C139" s="944">
        <v>706</v>
      </c>
      <c r="D139" s="944">
        <v>141.19999999999999</v>
      </c>
      <c r="E139" s="945">
        <f t="shared" si="8"/>
        <v>847.2</v>
      </c>
      <c r="F139" s="946">
        <f t="shared" si="9"/>
        <v>228.74400000000003</v>
      </c>
      <c r="G139" s="947">
        <f t="shared" si="10"/>
        <v>0</v>
      </c>
      <c r="H139" s="945">
        <f t="shared" si="11"/>
        <v>0</v>
      </c>
    </row>
    <row r="140" spans="1:8" x14ac:dyDescent="0.25">
      <c r="A140" s="942"/>
      <c r="B140" s="943">
        <v>0</v>
      </c>
      <c r="C140" s="944">
        <v>709.5</v>
      </c>
      <c r="D140" s="944">
        <v>141.9</v>
      </c>
      <c r="E140" s="945">
        <f t="shared" si="8"/>
        <v>851.4</v>
      </c>
      <c r="F140" s="946">
        <f t="shared" si="9"/>
        <v>229.87800000000001</v>
      </c>
      <c r="G140" s="947">
        <f t="shared" si="10"/>
        <v>0</v>
      </c>
      <c r="H140" s="945">
        <f t="shared" si="11"/>
        <v>0</v>
      </c>
    </row>
    <row r="141" spans="1:8" x14ac:dyDescent="0.25">
      <c r="A141" s="942"/>
      <c r="B141" s="943">
        <v>0.35</v>
      </c>
      <c r="C141" s="944">
        <v>712</v>
      </c>
      <c r="D141" s="944">
        <v>142.4</v>
      </c>
      <c r="E141" s="945">
        <f t="shared" si="8"/>
        <v>854.4</v>
      </c>
      <c r="F141" s="946">
        <f t="shared" si="9"/>
        <v>230.68800000000002</v>
      </c>
      <c r="G141" s="947">
        <f t="shared" si="10"/>
        <v>968.88960000000009</v>
      </c>
      <c r="H141" s="945">
        <f t="shared" si="11"/>
        <v>1202.2951046400001</v>
      </c>
    </row>
    <row r="142" spans="1:8" x14ac:dyDescent="0.25">
      <c r="A142" s="942"/>
      <c r="B142" s="943">
        <v>0</v>
      </c>
      <c r="C142" s="944">
        <v>715</v>
      </c>
      <c r="D142" s="944">
        <v>0</v>
      </c>
      <c r="E142" s="945">
        <f t="shared" si="8"/>
        <v>715</v>
      </c>
      <c r="F142" s="946">
        <f t="shared" si="9"/>
        <v>193.05</v>
      </c>
      <c r="G142" s="947">
        <f t="shared" si="10"/>
        <v>0</v>
      </c>
      <c r="H142" s="945">
        <f t="shared" si="11"/>
        <v>0</v>
      </c>
    </row>
    <row r="143" spans="1:8" x14ac:dyDescent="0.25">
      <c r="A143" s="942"/>
      <c r="B143" s="943">
        <v>1</v>
      </c>
      <c r="C143" s="944">
        <v>723</v>
      </c>
      <c r="D143" s="944">
        <v>144.6</v>
      </c>
      <c r="E143" s="945">
        <f t="shared" si="8"/>
        <v>867.6</v>
      </c>
      <c r="F143" s="946">
        <f t="shared" si="9"/>
        <v>234.25200000000001</v>
      </c>
      <c r="G143" s="947">
        <f t="shared" si="10"/>
        <v>2811.0240000000003</v>
      </c>
      <c r="H143" s="945">
        <f t="shared" si="11"/>
        <v>3488.1996816000001</v>
      </c>
    </row>
    <row r="144" spans="1:8" x14ac:dyDescent="0.25">
      <c r="A144" s="942"/>
      <c r="B144" s="943">
        <v>1</v>
      </c>
      <c r="C144" s="944">
        <v>728</v>
      </c>
      <c r="D144" s="944">
        <v>145.6</v>
      </c>
      <c r="E144" s="945">
        <f t="shared" si="8"/>
        <v>873.6</v>
      </c>
      <c r="F144" s="946">
        <f t="shared" si="9"/>
        <v>235.87200000000001</v>
      </c>
      <c r="G144" s="947">
        <f t="shared" si="10"/>
        <v>2830.4639999999999</v>
      </c>
      <c r="H144" s="945">
        <f t="shared" si="11"/>
        <v>3512.3227775999994</v>
      </c>
    </row>
    <row r="145" spans="1:8" x14ac:dyDescent="0.25">
      <c r="A145" s="942"/>
      <c r="B145" s="943">
        <v>1</v>
      </c>
      <c r="C145" s="944">
        <v>733</v>
      </c>
      <c r="D145" s="944">
        <v>146.6</v>
      </c>
      <c r="E145" s="945">
        <f t="shared" si="8"/>
        <v>879.6</v>
      </c>
      <c r="F145" s="946">
        <f t="shared" si="9"/>
        <v>237.49200000000002</v>
      </c>
      <c r="G145" s="947">
        <f t="shared" si="10"/>
        <v>2849.9040000000005</v>
      </c>
      <c r="H145" s="945">
        <f t="shared" si="11"/>
        <v>3536.4458736000001</v>
      </c>
    </row>
    <row r="146" spans="1:8" x14ac:dyDescent="0.25">
      <c r="A146" s="942"/>
      <c r="B146" s="943">
        <v>0.5</v>
      </c>
      <c r="C146" s="944">
        <v>736</v>
      </c>
      <c r="D146" s="944">
        <v>147.19999999999999</v>
      </c>
      <c r="E146" s="945">
        <f t="shared" si="8"/>
        <v>883.2</v>
      </c>
      <c r="F146" s="946">
        <f t="shared" si="9"/>
        <v>238.46400000000003</v>
      </c>
      <c r="G146" s="947">
        <f t="shared" si="10"/>
        <v>1430.7840000000001</v>
      </c>
      <c r="H146" s="945">
        <f t="shared" si="11"/>
        <v>1775.4598656000001</v>
      </c>
    </row>
    <row r="147" spans="1:8" x14ac:dyDescent="0.25">
      <c r="A147" s="942"/>
      <c r="B147" s="943">
        <v>1</v>
      </c>
      <c r="C147" s="944">
        <v>741</v>
      </c>
      <c r="D147" s="944">
        <v>148.19999999999999</v>
      </c>
      <c r="E147" s="945">
        <f t="shared" si="8"/>
        <v>889.2</v>
      </c>
      <c r="F147" s="946">
        <f t="shared" si="9"/>
        <v>240.08400000000003</v>
      </c>
      <c r="G147" s="947">
        <f t="shared" si="10"/>
        <v>2881.0080000000003</v>
      </c>
      <c r="H147" s="945">
        <f t="shared" si="11"/>
        <v>3575.0428271999999</v>
      </c>
    </row>
    <row r="148" spans="1:8" x14ac:dyDescent="0.25">
      <c r="A148" s="942"/>
      <c r="B148" s="943">
        <v>1</v>
      </c>
      <c r="C148" s="944">
        <v>746</v>
      </c>
      <c r="D148" s="944">
        <v>149.19999999999999</v>
      </c>
      <c r="E148" s="945">
        <f t="shared" si="8"/>
        <v>895.2</v>
      </c>
      <c r="F148" s="946">
        <f t="shared" si="9"/>
        <v>241.70400000000004</v>
      </c>
      <c r="G148" s="947">
        <f t="shared" si="10"/>
        <v>2900.4480000000003</v>
      </c>
      <c r="H148" s="945">
        <f t="shared" si="11"/>
        <v>3599.1659232000002</v>
      </c>
    </row>
    <row r="149" spans="1:8" x14ac:dyDescent="0.25">
      <c r="A149" s="942"/>
      <c r="B149" s="943">
        <v>0.55000000000000004</v>
      </c>
      <c r="C149" s="944">
        <v>749</v>
      </c>
      <c r="D149" s="944">
        <v>149.80000000000001</v>
      </c>
      <c r="E149" s="945">
        <f t="shared" si="8"/>
        <v>898.8</v>
      </c>
      <c r="F149" s="946">
        <f t="shared" si="9"/>
        <v>242.67600000000002</v>
      </c>
      <c r="G149" s="947">
        <f t="shared" si="10"/>
        <v>1601.6616000000001</v>
      </c>
      <c r="H149" s="945">
        <f t="shared" si="11"/>
        <v>1987.50187944</v>
      </c>
    </row>
    <row r="150" spans="1:8" x14ac:dyDescent="0.25">
      <c r="A150" s="942"/>
      <c r="B150" s="943">
        <v>1.2</v>
      </c>
      <c r="C150" s="944">
        <v>750</v>
      </c>
      <c r="D150" s="944">
        <v>150</v>
      </c>
      <c r="E150" s="945">
        <f t="shared" si="8"/>
        <v>900</v>
      </c>
      <c r="F150" s="946">
        <f t="shared" si="9"/>
        <v>243.00000000000003</v>
      </c>
      <c r="G150" s="947">
        <f t="shared" si="10"/>
        <v>3499.2000000000003</v>
      </c>
      <c r="H150" s="945">
        <f t="shared" si="11"/>
        <v>4342.1572800000004</v>
      </c>
    </row>
    <row r="151" spans="1:8" x14ac:dyDescent="0.25">
      <c r="A151" s="942"/>
      <c r="B151" s="943">
        <v>0.5</v>
      </c>
      <c r="C151" s="944">
        <v>756</v>
      </c>
      <c r="D151" s="944">
        <v>151.19999999999999</v>
      </c>
      <c r="E151" s="945">
        <f t="shared" si="8"/>
        <v>907.2</v>
      </c>
      <c r="F151" s="946">
        <f t="shared" si="9"/>
        <v>244.94400000000002</v>
      </c>
      <c r="G151" s="947">
        <f t="shared" si="10"/>
        <v>1469.6640000000002</v>
      </c>
      <c r="H151" s="945">
        <f t="shared" si="11"/>
        <v>1823.7060576000001</v>
      </c>
    </row>
    <row r="152" spans="1:8" x14ac:dyDescent="0.25">
      <c r="A152" s="942"/>
      <c r="B152" s="943">
        <v>0.5</v>
      </c>
      <c r="C152" s="944">
        <v>757</v>
      </c>
      <c r="D152" s="944">
        <v>151.4</v>
      </c>
      <c r="E152" s="945">
        <f t="shared" si="8"/>
        <v>908.4</v>
      </c>
      <c r="F152" s="946">
        <f t="shared" si="9"/>
        <v>245.268</v>
      </c>
      <c r="G152" s="947">
        <f t="shared" si="10"/>
        <v>1471.6079999999999</v>
      </c>
      <c r="H152" s="945">
        <f t="shared" si="11"/>
        <v>1826.1183671999997</v>
      </c>
    </row>
    <row r="153" spans="1:8" x14ac:dyDescent="0.25">
      <c r="A153" s="942"/>
      <c r="B153" s="943">
        <v>0</v>
      </c>
      <c r="C153" s="944">
        <v>763</v>
      </c>
      <c r="D153" s="944">
        <v>152.6</v>
      </c>
      <c r="E153" s="945">
        <f t="shared" si="8"/>
        <v>915.6</v>
      </c>
      <c r="F153" s="946">
        <f t="shared" si="9"/>
        <v>247.21200000000002</v>
      </c>
      <c r="G153" s="947">
        <f t="shared" si="10"/>
        <v>0</v>
      </c>
      <c r="H153" s="945">
        <f t="shared" si="11"/>
        <v>0</v>
      </c>
    </row>
    <row r="154" spans="1:8" x14ac:dyDescent="0.25">
      <c r="A154" s="942"/>
      <c r="B154" s="943">
        <v>0</v>
      </c>
      <c r="C154" s="944">
        <v>765</v>
      </c>
      <c r="D154" s="944">
        <v>0</v>
      </c>
      <c r="E154" s="945">
        <f t="shared" si="8"/>
        <v>765</v>
      </c>
      <c r="F154" s="946">
        <f t="shared" si="9"/>
        <v>206.55</v>
      </c>
      <c r="G154" s="947">
        <f t="shared" si="10"/>
        <v>0</v>
      </c>
      <c r="H154" s="945">
        <f t="shared" si="11"/>
        <v>0</v>
      </c>
    </row>
    <row r="155" spans="1:8" x14ac:dyDescent="0.25">
      <c r="A155" s="942"/>
      <c r="B155" s="943">
        <v>0</v>
      </c>
      <c r="C155" s="944">
        <v>776</v>
      </c>
      <c r="D155" s="944">
        <v>0</v>
      </c>
      <c r="E155" s="945">
        <f t="shared" si="8"/>
        <v>776</v>
      </c>
      <c r="F155" s="946">
        <f t="shared" si="9"/>
        <v>209.52</v>
      </c>
      <c r="G155" s="947">
        <f t="shared" si="10"/>
        <v>0</v>
      </c>
      <c r="H155" s="945">
        <f t="shared" si="11"/>
        <v>0</v>
      </c>
    </row>
    <row r="156" spans="1:8" x14ac:dyDescent="0.25">
      <c r="A156" s="942"/>
      <c r="B156" s="943">
        <v>0.75</v>
      </c>
      <c r="C156" s="944">
        <v>797</v>
      </c>
      <c r="D156" s="944">
        <v>159.4</v>
      </c>
      <c r="E156" s="945">
        <f t="shared" si="8"/>
        <v>956.4</v>
      </c>
      <c r="F156" s="946">
        <f t="shared" si="9"/>
        <v>258.22800000000001</v>
      </c>
      <c r="G156" s="947">
        <f t="shared" si="10"/>
        <v>2324.0519999999997</v>
      </c>
      <c r="H156" s="945">
        <f t="shared" si="11"/>
        <v>2883.9161267999993</v>
      </c>
    </row>
    <row r="157" spans="1:8" x14ac:dyDescent="0.25">
      <c r="A157" s="942"/>
      <c r="B157" s="943">
        <v>1</v>
      </c>
      <c r="C157" s="944">
        <v>810</v>
      </c>
      <c r="D157" s="944">
        <v>162</v>
      </c>
      <c r="E157" s="945">
        <f t="shared" si="8"/>
        <v>972</v>
      </c>
      <c r="F157" s="946">
        <f t="shared" si="9"/>
        <v>262.44</v>
      </c>
      <c r="G157" s="947">
        <f t="shared" si="10"/>
        <v>3149.2799999999997</v>
      </c>
      <c r="H157" s="945">
        <f t="shared" si="11"/>
        <v>3907.9415519999993</v>
      </c>
    </row>
    <row r="158" spans="1:8" x14ac:dyDescent="0.25">
      <c r="A158" s="942"/>
      <c r="B158" s="943">
        <v>0.5</v>
      </c>
      <c r="C158" s="944">
        <v>811</v>
      </c>
      <c r="D158" s="944">
        <v>162.19999999999999</v>
      </c>
      <c r="E158" s="945">
        <f t="shared" si="8"/>
        <v>973.2</v>
      </c>
      <c r="F158" s="946">
        <f t="shared" si="9"/>
        <v>262.76400000000001</v>
      </c>
      <c r="G158" s="947">
        <f t="shared" si="10"/>
        <v>1576.5840000000001</v>
      </c>
      <c r="H158" s="945">
        <f t="shared" si="11"/>
        <v>1956.3830856</v>
      </c>
    </row>
    <row r="159" spans="1:8" x14ac:dyDescent="0.25">
      <c r="A159" s="942"/>
      <c r="B159" s="943">
        <v>0.5</v>
      </c>
      <c r="C159" s="944">
        <v>819</v>
      </c>
      <c r="D159" s="944">
        <v>163.80000000000001</v>
      </c>
      <c r="E159" s="945">
        <f t="shared" si="8"/>
        <v>982.8</v>
      </c>
      <c r="F159" s="946">
        <f t="shared" si="9"/>
        <v>265.35599999999999</v>
      </c>
      <c r="G159" s="947">
        <f t="shared" si="10"/>
        <v>1592.136</v>
      </c>
      <c r="H159" s="945">
        <f t="shared" si="11"/>
        <v>1975.6815623999998</v>
      </c>
    </row>
    <row r="160" spans="1:8" x14ac:dyDescent="0.25">
      <c r="A160" s="942"/>
      <c r="B160" s="943">
        <v>0.3</v>
      </c>
      <c r="C160" s="944">
        <v>830</v>
      </c>
      <c r="D160" s="944">
        <v>166</v>
      </c>
      <c r="E160" s="945">
        <f t="shared" si="8"/>
        <v>996</v>
      </c>
      <c r="F160" s="946">
        <f t="shared" si="9"/>
        <v>268.92</v>
      </c>
      <c r="G160" s="947">
        <f t="shared" si="10"/>
        <v>968.11199999999997</v>
      </c>
      <c r="H160" s="945">
        <f t="shared" si="11"/>
        <v>1201.3301807999999</v>
      </c>
    </row>
    <row r="161" spans="1:8" ht="15.75" thickBot="1" x14ac:dyDescent="0.3">
      <c r="A161" s="949"/>
      <c r="B161" s="950">
        <v>1</v>
      </c>
      <c r="C161" s="951">
        <v>840</v>
      </c>
      <c r="D161" s="951">
        <v>168</v>
      </c>
      <c r="E161" s="952">
        <f t="shared" si="8"/>
        <v>1008</v>
      </c>
      <c r="F161" s="953">
        <f t="shared" si="9"/>
        <v>272.16000000000003</v>
      </c>
      <c r="G161" s="954">
        <f t="shared" si="10"/>
        <v>3265.92</v>
      </c>
      <c r="H161" s="952">
        <f t="shared" si="11"/>
        <v>4052.6801279999995</v>
      </c>
    </row>
    <row r="162" spans="1:8" ht="15.75" thickTop="1" x14ac:dyDescent="0.25">
      <c r="A162" s="955"/>
      <c r="B162" s="956">
        <v>1</v>
      </c>
      <c r="C162" s="957">
        <v>860</v>
      </c>
      <c r="D162" s="957">
        <v>172</v>
      </c>
      <c r="E162" s="958">
        <f t="shared" si="8"/>
        <v>1032</v>
      </c>
      <c r="F162" s="959">
        <f t="shared" si="9"/>
        <v>278.64000000000004</v>
      </c>
      <c r="G162" s="960">
        <f t="shared" si="10"/>
        <v>3343.6800000000003</v>
      </c>
      <c r="H162" s="958">
        <f t="shared" si="11"/>
        <v>4149.1725120000001</v>
      </c>
    </row>
    <row r="163" spans="1:8" x14ac:dyDescent="0.25">
      <c r="A163" s="942"/>
      <c r="B163" s="943">
        <v>0.5</v>
      </c>
      <c r="C163" s="944">
        <v>864</v>
      </c>
      <c r="D163" s="944">
        <v>172.8</v>
      </c>
      <c r="E163" s="945">
        <f t="shared" si="8"/>
        <v>1036.8</v>
      </c>
      <c r="F163" s="946">
        <f t="shared" si="9"/>
        <v>279.93599999999998</v>
      </c>
      <c r="G163" s="947">
        <f t="shared" si="10"/>
        <v>1679.616</v>
      </c>
      <c r="H163" s="945">
        <f t="shared" si="11"/>
        <v>2084.2354943999999</v>
      </c>
    </row>
    <row r="164" spans="1:8" x14ac:dyDescent="0.25">
      <c r="A164" s="942"/>
      <c r="B164" s="943">
        <v>1</v>
      </c>
      <c r="C164" s="944">
        <v>895</v>
      </c>
      <c r="D164" s="944">
        <v>179</v>
      </c>
      <c r="E164" s="945">
        <f t="shared" si="8"/>
        <v>1074</v>
      </c>
      <c r="F164" s="946">
        <f t="shared" si="9"/>
        <v>289.98</v>
      </c>
      <c r="G164" s="947">
        <f t="shared" si="10"/>
        <v>3479.76</v>
      </c>
      <c r="H164" s="945">
        <f t="shared" si="11"/>
        <v>4318.0341840000001</v>
      </c>
    </row>
    <row r="165" spans="1:8" x14ac:dyDescent="0.25">
      <c r="A165" s="942"/>
      <c r="B165" s="943">
        <v>0.5</v>
      </c>
      <c r="C165" s="944">
        <v>940</v>
      </c>
      <c r="D165" s="944">
        <v>188</v>
      </c>
      <c r="E165" s="945">
        <f t="shared" si="8"/>
        <v>1128</v>
      </c>
      <c r="F165" s="946">
        <f t="shared" si="9"/>
        <v>304.56</v>
      </c>
      <c r="G165" s="947">
        <f t="shared" si="10"/>
        <v>1827.3600000000001</v>
      </c>
      <c r="H165" s="945">
        <f t="shared" si="11"/>
        <v>2267.5710239999999</v>
      </c>
    </row>
    <row r="166" spans="1:8" x14ac:dyDescent="0.25">
      <c r="A166" s="942"/>
      <c r="B166" s="943">
        <v>1</v>
      </c>
      <c r="C166" s="944">
        <v>947</v>
      </c>
      <c r="D166" s="944">
        <v>189.4</v>
      </c>
      <c r="E166" s="945">
        <f t="shared" si="8"/>
        <v>1136.4000000000001</v>
      </c>
      <c r="F166" s="946">
        <f t="shared" si="9"/>
        <v>306.82800000000003</v>
      </c>
      <c r="G166" s="947">
        <f t="shared" si="10"/>
        <v>3681.9360000000006</v>
      </c>
      <c r="H166" s="945">
        <f t="shared" si="11"/>
        <v>4568.9143824000002</v>
      </c>
    </row>
    <row r="167" spans="1:8" ht="15.75" thickBot="1" x14ac:dyDescent="0.3">
      <c r="A167" s="961"/>
      <c r="B167" s="962">
        <v>0.4</v>
      </c>
      <c r="C167" s="963">
        <v>1140</v>
      </c>
      <c r="D167" s="963">
        <v>228</v>
      </c>
      <c r="E167" s="964">
        <f t="shared" si="8"/>
        <v>1368</v>
      </c>
      <c r="F167" s="946">
        <f t="shared" si="9"/>
        <v>369.36</v>
      </c>
      <c r="G167" s="947">
        <f t="shared" si="10"/>
        <v>1772.9279999999999</v>
      </c>
      <c r="H167" s="945">
        <f t="shared" si="11"/>
        <v>2200.0263551999997</v>
      </c>
    </row>
    <row r="168" spans="1:8" s="970" customFormat="1" ht="21.75" customHeight="1" thickBot="1" x14ac:dyDescent="0.25">
      <c r="A168" s="965" t="s">
        <v>39</v>
      </c>
      <c r="B168" s="966">
        <f>SUM(B8:B167)</f>
        <v>151.09999999999997</v>
      </c>
      <c r="C168" s="967" t="s">
        <v>536</v>
      </c>
      <c r="D168" s="967" t="s">
        <v>536</v>
      </c>
      <c r="E168" s="968" t="s">
        <v>536</v>
      </c>
      <c r="F168" s="969">
        <f t="shared" ref="F168:H168" si="12">SUM(F8:F167)</f>
        <v>29376.629100000016</v>
      </c>
      <c r="G168" s="969">
        <f t="shared" si="12"/>
        <v>322535.13281999988</v>
      </c>
      <c r="H168" s="969">
        <f t="shared" si="12"/>
        <v>400233.84631633811</v>
      </c>
    </row>
  </sheetData>
  <mergeCells count="11">
    <mergeCell ref="H5:H6"/>
    <mergeCell ref="A2:H2"/>
    <mergeCell ref="A4:E4"/>
    <mergeCell ref="F4:H4"/>
    <mergeCell ref="A5:A6"/>
    <mergeCell ref="B5:B6"/>
    <mergeCell ref="C5:C6"/>
    <mergeCell ref="D5:D6"/>
    <mergeCell ref="E5:E6"/>
    <mergeCell ref="F5:F6"/>
    <mergeCell ref="G5:G6"/>
  </mergeCells>
  <pageMargins left="0.23622047244094491" right="0" top="0" bottom="0.74803149606299213" header="0.31496062992125984" footer="0.31496062992125984"/>
  <pageSetup paperSize="9" scale="71" orientation="portrait" verticalDpi="0" r:id="rId1"/>
  <headerFooter>
    <oddFooter>&amp;L&amp;F&amp;C&amp;P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7"/>
  <sheetViews>
    <sheetView tabSelected="1" zoomScale="90" zoomScaleNormal="90" workbookViewId="0">
      <selection activeCell="Y332" sqref="Y332"/>
    </sheetView>
  </sheetViews>
  <sheetFormatPr defaultRowHeight="15" x14ac:dyDescent="0.25"/>
  <cols>
    <col min="1" max="1" width="19.140625" style="521" customWidth="1"/>
    <col min="2" max="2" width="22" style="568" customWidth="1"/>
    <col min="3" max="3" width="12" style="500" customWidth="1"/>
    <col min="4" max="4" width="10.42578125" style="500" customWidth="1"/>
    <col min="5" max="5" width="12.7109375" style="500" customWidth="1"/>
    <col min="6" max="6" width="14.5703125" style="500" customWidth="1"/>
    <col min="7" max="7" width="14.42578125" style="500" customWidth="1"/>
    <col min="8" max="8" width="15.140625" style="500" customWidth="1"/>
    <col min="9" max="9" width="12.42578125" style="500" customWidth="1"/>
    <col min="10" max="10" width="10.85546875" style="500" customWidth="1"/>
    <col min="11" max="11" width="19.28515625" style="500" customWidth="1"/>
    <col min="12" max="12" width="15.7109375" style="500" customWidth="1"/>
    <col min="13" max="17" width="9.140625" style="500"/>
    <col min="18" max="18" width="11.28515625" style="500" bestFit="1" customWidth="1"/>
    <col min="19" max="16384" width="9.140625" style="500"/>
  </cols>
  <sheetData>
    <row r="1" spans="1:45" ht="15.75" x14ac:dyDescent="0.25">
      <c r="A1" s="500"/>
      <c r="B1" s="520"/>
      <c r="C1" s="520"/>
      <c r="D1" s="520"/>
      <c r="E1" s="520"/>
      <c r="F1" s="520"/>
      <c r="G1" s="520"/>
      <c r="H1" s="520"/>
      <c r="I1" s="520"/>
      <c r="J1" s="520"/>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521"/>
    </row>
    <row r="2" spans="1:45" ht="15.75" x14ac:dyDescent="0.25">
      <c r="A2" s="1041" t="s">
        <v>527</v>
      </c>
      <c r="B2" s="1041"/>
      <c r="C2" s="1041"/>
      <c r="D2" s="1041"/>
      <c r="E2" s="1041"/>
      <c r="F2" s="1041"/>
      <c r="G2" s="1041"/>
      <c r="H2" s="1041"/>
      <c r="I2" s="1041"/>
      <c r="J2" s="104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521"/>
      <c r="AR2" s="521"/>
      <c r="AS2" s="521"/>
    </row>
    <row r="3" spans="1:45" ht="15.75" x14ac:dyDescent="0.25">
      <c r="A3" s="549"/>
      <c r="B3" s="549"/>
      <c r="C3" s="549"/>
      <c r="D3" s="549"/>
      <c r="E3" s="549"/>
      <c r="F3" s="549"/>
      <c r="G3" s="549"/>
      <c r="H3" s="549"/>
      <c r="I3" s="549"/>
      <c r="J3" s="549"/>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row>
    <row r="4" spans="1:45" ht="38.25" customHeight="1" thickBot="1" x14ac:dyDescent="0.3">
      <c r="A4" s="1054" t="s">
        <v>445</v>
      </c>
      <c r="B4" s="1054"/>
      <c r="C4" s="1054"/>
      <c r="D4" s="1054"/>
      <c r="E4" s="1054"/>
      <c r="F4" s="1054"/>
      <c r="G4" s="1054"/>
      <c r="H4" s="1054"/>
      <c r="I4" s="1054"/>
      <c r="J4" s="1054"/>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row>
    <row r="5" spans="1:45" s="522" customFormat="1" ht="12.75" customHeight="1" x14ac:dyDescent="0.2">
      <c r="A5" s="1042" t="s">
        <v>423</v>
      </c>
      <c r="B5" s="1044" t="s">
        <v>424</v>
      </c>
      <c r="C5" s="1046" t="s">
        <v>425</v>
      </c>
      <c r="D5" s="1048" t="s">
        <v>426</v>
      </c>
      <c r="E5" s="1048" t="s">
        <v>427</v>
      </c>
      <c r="F5" s="1048" t="s">
        <v>428</v>
      </c>
      <c r="G5" s="1048" t="s">
        <v>429</v>
      </c>
      <c r="H5" s="1050" t="s">
        <v>430</v>
      </c>
      <c r="I5" s="1052" t="s">
        <v>431</v>
      </c>
      <c r="J5" s="1052" t="s">
        <v>432</v>
      </c>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O5" s="521"/>
      <c r="AP5" s="521"/>
      <c r="AQ5" s="521"/>
      <c r="AR5" s="521"/>
      <c r="AS5" s="521"/>
    </row>
    <row r="6" spans="1:45" s="522" customFormat="1" ht="82.5" customHeight="1" thickBot="1" x14ac:dyDescent="0.25">
      <c r="A6" s="1043"/>
      <c r="B6" s="1045"/>
      <c r="C6" s="1047"/>
      <c r="D6" s="1049"/>
      <c r="E6" s="1049"/>
      <c r="F6" s="1049"/>
      <c r="G6" s="1049"/>
      <c r="H6" s="1051"/>
      <c r="I6" s="1053"/>
      <c r="J6" s="1053"/>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c r="AO6" s="521"/>
      <c r="AP6" s="521"/>
      <c r="AQ6" s="521"/>
      <c r="AR6" s="521"/>
      <c r="AS6" s="521"/>
    </row>
    <row r="7" spans="1:45" s="528" customFormat="1" ht="4.5" customHeight="1" x14ac:dyDescent="0.2">
      <c r="A7" s="523"/>
      <c r="B7" s="550"/>
      <c r="C7" s="524"/>
      <c r="D7" s="525"/>
      <c r="E7" s="525"/>
      <c r="F7" s="525"/>
      <c r="G7" s="524"/>
      <c r="H7" s="526"/>
      <c r="I7" s="527"/>
      <c r="J7" s="527"/>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521"/>
      <c r="AP7" s="521"/>
      <c r="AQ7" s="521"/>
      <c r="AR7" s="521"/>
      <c r="AS7" s="521"/>
    </row>
    <row r="8" spans="1:45" s="530" customFormat="1" ht="18" customHeight="1" x14ac:dyDescent="0.2">
      <c r="A8" s="1029" t="s">
        <v>433</v>
      </c>
      <c r="B8" s="529"/>
      <c r="C8" s="577"/>
      <c r="D8" s="578"/>
      <c r="E8" s="578"/>
      <c r="F8" s="578"/>
      <c r="G8" s="579"/>
      <c r="H8" s="580"/>
      <c r="I8" s="581"/>
      <c r="J8" s="58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row>
    <row r="9" spans="1:45" s="533" customFormat="1" ht="29.25" customHeight="1" x14ac:dyDescent="0.2">
      <c r="A9" s="1030"/>
      <c r="B9" s="582">
        <f>B10+B11+B12</f>
        <v>7776.7000000000007</v>
      </c>
      <c r="C9" s="583"/>
      <c r="D9" s="584">
        <f>SUM(D10:D12)</f>
        <v>2286</v>
      </c>
      <c r="E9" s="584">
        <f>SUM(E10:E12)</f>
        <v>822</v>
      </c>
      <c r="F9" s="584">
        <f>(I9-J9)*B9*12</f>
        <v>29617125.506576173</v>
      </c>
      <c r="G9" s="585">
        <f>F9*1.19</f>
        <v>35244379.352825642</v>
      </c>
      <c r="H9" s="586">
        <f>G9*1.2409</f>
        <v>43734750.338921338</v>
      </c>
      <c r="I9" s="587">
        <f>((B10*I10)+(B11*I11)+(B12*I12))/B9</f>
        <v>1037.0331166304472</v>
      </c>
      <c r="J9" s="587">
        <f>'[5]2017_gads'!D9</f>
        <v>719.66279345806299</v>
      </c>
      <c r="K9" s="531"/>
      <c r="L9" s="532"/>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row>
    <row r="10" spans="1:45" s="534" customFormat="1" x14ac:dyDescent="0.25">
      <c r="A10" s="588" t="s">
        <v>434</v>
      </c>
      <c r="B10" s="589">
        <v>5981.31</v>
      </c>
      <c r="C10" s="590">
        <v>569</v>
      </c>
      <c r="D10" s="591">
        <v>899</v>
      </c>
      <c r="E10" s="591">
        <f>D10-C10</f>
        <v>330</v>
      </c>
      <c r="F10" s="592" t="s">
        <v>422</v>
      </c>
      <c r="G10" s="592" t="s">
        <v>422</v>
      </c>
      <c r="H10" s="592" t="s">
        <v>422</v>
      </c>
      <c r="I10" s="593">
        <f>(B10*D10*1.19)/B10</f>
        <v>1069.81</v>
      </c>
      <c r="J10" s="593"/>
    </row>
    <row r="11" spans="1:45" s="535" customFormat="1" x14ac:dyDescent="0.25">
      <c r="A11" s="588" t="s">
        <v>435</v>
      </c>
      <c r="B11" s="589">
        <v>1683.25</v>
      </c>
      <c r="C11" s="590">
        <v>471</v>
      </c>
      <c r="D11" s="591">
        <v>792</v>
      </c>
      <c r="E11" s="591">
        <f>D11-C11</f>
        <v>321</v>
      </c>
      <c r="F11" s="592" t="s">
        <v>422</v>
      </c>
      <c r="G11" s="592" t="s">
        <v>422</v>
      </c>
      <c r="H11" s="592" t="s">
        <v>422</v>
      </c>
      <c r="I11" s="593">
        <f>(B11*D11*1.19)/B11</f>
        <v>942.48</v>
      </c>
      <c r="J11" s="593"/>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row>
    <row r="12" spans="1:45" s="535" customFormat="1" x14ac:dyDescent="0.25">
      <c r="A12" s="594" t="s">
        <v>436</v>
      </c>
      <c r="B12" s="589">
        <v>112.14</v>
      </c>
      <c r="C12" s="595">
        <v>424</v>
      </c>
      <c r="D12" s="591">
        <v>595</v>
      </c>
      <c r="E12" s="591">
        <f>D12-C12</f>
        <v>171</v>
      </c>
      <c r="F12" s="592" t="s">
        <v>422</v>
      </c>
      <c r="G12" s="592" t="s">
        <v>422</v>
      </c>
      <c r="H12" s="592" t="s">
        <v>422</v>
      </c>
      <c r="I12" s="593">
        <f>(B12*D12*1.19)/B12</f>
        <v>708.05</v>
      </c>
      <c r="J12" s="593"/>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row>
    <row r="13" spans="1:45" s="536" customFormat="1" ht="18" customHeight="1" x14ac:dyDescent="0.2">
      <c r="A13" s="1029" t="s">
        <v>40</v>
      </c>
      <c r="B13" s="596"/>
      <c r="C13" s="597"/>
      <c r="D13" s="584"/>
      <c r="E13" s="584"/>
      <c r="F13" s="584"/>
      <c r="G13" s="598"/>
      <c r="H13" s="599"/>
      <c r="I13" s="587"/>
      <c r="J13" s="587"/>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row>
    <row r="14" spans="1:45" s="537" customFormat="1" ht="30.75" customHeight="1" x14ac:dyDescent="0.25">
      <c r="A14" s="1030"/>
      <c r="B14" s="582">
        <f>B15+B16+B17</f>
        <v>11401.27</v>
      </c>
      <c r="C14" s="583"/>
      <c r="D14" s="584">
        <f>SUM(D15:D17)</f>
        <v>1585</v>
      </c>
      <c r="E14" s="584">
        <f>SUM(E15:E17)</f>
        <v>350</v>
      </c>
      <c r="F14" s="584">
        <f>(I14-J14)*12*B14</f>
        <v>26162643.304292355</v>
      </c>
      <c r="G14" s="585">
        <f>F14*1.19</f>
        <v>31133545.532107901</v>
      </c>
      <c r="H14" s="586">
        <f>G14*1.2409</f>
        <v>38633616.650792688</v>
      </c>
      <c r="I14" s="587">
        <f>((B17*I17)+(B15*I15)+(B16*I16))/B14</f>
        <v>689.94589754474714</v>
      </c>
      <c r="J14" s="587">
        <f>'[5]2017_gads'!D19</f>
        <v>498.7198082268294</v>
      </c>
      <c r="K14" s="531"/>
      <c r="L14" s="532"/>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row>
    <row r="15" spans="1:45" s="534" customFormat="1" x14ac:dyDescent="0.25">
      <c r="A15" s="588" t="s">
        <v>436</v>
      </c>
      <c r="B15" s="589">
        <v>9005.25</v>
      </c>
      <c r="C15" s="595">
        <v>424</v>
      </c>
      <c r="D15" s="591">
        <f>D12</f>
        <v>595</v>
      </c>
      <c r="E15" s="591">
        <f>D15-C15</f>
        <v>171</v>
      </c>
      <c r="F15" s="592" t="s">
        <v>422</v>
      </c>
      <c r="G15" s="592" t="s">
        <v>422</v>
      </c>
      <c r="H15" s="592" t="s">
        <v>422</v>
      </c>
      <c r="I15" s="593">
        <f>(B15*D15*1.19)/B15</f>
        <v>708.05</v>
      </c>
      <c r="J15" s="593"/>
    </row>
    <row r="16" spans="1:45" s="534" customFormat="1" x14ac:dyDescent="0.25">
      <c r="A16" s="588" t="s">
        <v>437</v>
      </c>
      <c r="B16" s="589">
        <v>2338.5</v>
      </c>
      <c r="C16" s="590">
        <v>418</v>
      </c>
      <c r="D16" s="591">
        <v>524</v>
      </c>
      <c r="E16" s="591">
        <f t="shared" ref="E16:E17" si="0">D16-C16</f>
        <v>106</v>
      </c>
      <c r="F16" s="592" t="s">
        <v>422</v>
      </c>
      <c r="G16" s="592" t="s">
        <v>422</v>
      </c>
      <c r="H16" s="592" t="s">
        <v>422</v>
      </c>
      <c r="I16" s="593">
        <f>(B16*D16*1.19)/B16</f>
        <v>623.55999999999995</v>
      </c>
      <c r="J16" s="593"/>
    </row>
    <row r="17" spans="1:45" s="534" customFormat="1" x14ac:dyDescent="0.25">
      <c r="A17" s="588" t="s">
        <v>438</v>
      </c>
      <c r="B17" s="589">
        <v>57.52</v>
      </c>
      <c r="C17" s="590">
        <v>393</v>
      </c>
      <c r="D17" s="600">
        <v>466</v>
      </c>
      <c r="E17" s="591">
        <f t="shared" si="0"/>
        <v>73</v>
      </c>
      <c r="F17" s="592" t="s">
        <v>422</v>
      </c>
      <c r="G17" s="592" t="s">
        <v>422</v>
      </c>
      <c r="H17" s="592" t="s">
        <v>422</v>
      </c>
      <c r="I17" s="593">
        <f>(B17*D17*1.19)/B17</f>
        <v>554.54</v>
      </c>
      <c r="J17" s="601"/>
    </row>
    <row r="18" spans="1:45" s="536" customFormat="1" ht="18" customHeight="1" x14ac:dyDescent="0.2">
      <c r="A18" s="1029" t="s">
        <v>94</v>
      </c>
      <c r="B18" s="596"/>
      <c r="C18" s="597"/>
      <c r="D18" s="584"/>
      <c r="E18" s="584"/>
      <c r="F18" s="584"/>
      <c r="G18" s="598"/>
      <c r="H18" s="599"/>
      <c r="I18" s="587"/>
      <c r="J18" s="587"/>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1"/>
      <c r="AO18" s="521"/>
      <c r="AP18" s="521"/>
      <c r="AQ18" s="521"/>
      <c r="AR18" s="521"/>
      <c r="AS18" s="521"/>
    </row>
    <row r="19" spans="1:45" s="536" customFormat="1" ht="33" customHeight="1" x14ac:dyDescent="0.2">
      <c r="A19" s="1030"/>
      <c r="B19" s="582">
        <f>B20</f>
        <v>3158.99</v>
      </c>
      <c r="C19" s="583"/>
      <c r="D19" s="584">
        <f>D20</f>
        <v>437</v>
      </c>
      <c r="E19" s="584">
        <f>E20</f>
        <v>52</v>
      </c>
      <c r="F19" s="584">
        <f>(I19-J19)*B19*12</f>
        <v>3769604.8612844022</v>
      </c>
      <c r="G19" s="585">
        <f>F19*1.19</f>
        <v>4485829.7849284383</v>
      </c>
      <c r="H19" s="586">
        <f>G19*1.2409</f>
        <v>5566466.1801176984</v>
      </c>
      <c r="I19" s="587">
        <f>((B20*I20))/B19</f>
        <v>520.03</v>
      </c>
      <c r="J19" s="587">
        <f>'[5]2017_gads'!D29</f>
        <v>420.58880568144662</v>
      </c>
      <c r="K19" s="531"/>
      <c r="L19" s="532"/>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1"/>
      <c r="AQ19" s="521"/>
      <c r="AR19" s="521"/>
      <c r="AS19" s="521"/>
    </row>
    <row r="20" spans="1:45" s="534" customFormat="1" x14ac:dyDescent="0.25">
      <c r="A20" s="588" t="s">
        <v>439</v>
      </c>
      <c r="B20" s="589">
        <v>3158.99</v>
      </c>
      <c r="C20" s="590">
        <v>385</v>
      </c>
      <c r="D20" s="591">
        <v>437</v>
      </c>
      <c r="E20" s="591">
        <f t="shared" ref="E20" si="1">D20-C20</f>
        <v>52</v>
      </c>
      <c r="F20" s="592" t="s">
        <v>422</v>
      </c>
      <c r="G20" s="592" t="s">
        <v>422</v>
      </c>
      <c r="H20" s="592" t="s">
        <v>422</v>
      </c>
      <c r="I20" s="593">
        <f>(B20*D20*1.19)/B20</f>
        <v>520.03</v>
      </c>
      <c r="J20" s="593"/>
    </row>
    <row r="21" spans="1:45" s="545" customFormat="1" ht="47.25" x14ac:dyDescent="0.25">
      <c r="A21" s="538" t="s">
        <v>440</v>
      </c>
      <c r="B21" s="551">
        <f>SUM(B19+B14+B9)</f>
        <v>22336.959999999999</v>
      </c>
      <c r="C21" s="539"/>
      <c r="D21" s="540"/>
      <c r="E21" s="540"/>
      <c r="F21" s="540">
        <f>F9+F14+F19</f>
        <v>59549373.672152936</v>
      </c>
      <c r="G21" s="541">
        <f>G9+G14+G19</f>
        <v>70863754.669861987</v>
      </c>
      <c r="H21" s="542">
        <f>H9+H14+H19</f>
        <v>87934833.169831723</v>
      </c>
      <c r="I21" s="543"/>
      <c r="J21" s="543"/>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R21" s="544"/>
      <c r="AS21" s="544"/>
    </row>
    <row r="22" spans="1:45" s="560" customFormat="1" ht="30" thickBot="1" x14ac:dyDescent="0.3">
      <c r="A22" s="552" t="s">
        <v>441</v>
      </c>
      <c r="B22" s="553">
        <v>8581.6730000000007</v>
      </c>
      <c r="C22" s="554"/>
      <c r="D22" s="555"/>
      <c r="E22" s="555">
        <v>50</v>
      </c>
      <c r="F22" s="556">
        <f>B22*E22*12</f>
        <v>5149003.8000000007</v>
      </c>
      <c r="G22" s="556"/>
      <c r="H22" s="557">
        <f>F22*1.2409</f>
        <v>6389398.8154200008</v>
      </c>
      <c r="I22" s="558"/>
      <c r="J22" s="558"/>
      <c r="K22" s="559"/>
      <c r="L22" s="559"/>
    </row>
    <row r="23" spans="1:45" s="560" customFormat="1" ht="15.75" thickBot="1" x14ac:dyDescent="0.3">
      <c r="A23" s="561" t="s">
        <v>442</v>
      </c>
      <c r="B23" s="562">
        <f>B21+B22</f>
        <v>30918.633000000002</v>
      </c>
      <c r="C23" s="563"/>
      <c r="D23" s="563"/>
      <c r="E23" s="563"/>
      <c r="F23" s="563"/>
      <c r="G23" s="564"/>
      <c r="H23" s="565">
        <f>H21+H22</f>
        <v>94324231.985251725</v>
      </c>
      <c r="I23" s="565"/>
      <c r="J23" s="565"/>
      <c r="K23" s="566"/>
      <c r="L23" s="566"/>
    </row>
    <row r="24" spans="1:45" ht="15" customHeight="1" x14ac:dyDescent="0.25">
      <c r="A24" s="546"/>
      <c r="B24" s="546"/>
      <c r="C24" s="547"/>
      <c r="E24" s="567"/>
      <c r="F24" s="560"/>
      <c r="G24" s="560"/>
      <c r="L24" s="548"/>
    </row>
    <row r="25" spans="1:45" s="560" customFormat="1" x14ac:dyDescent="0.25"/>
    <row r="26" spans="1:45" x14ac:dyDescent="0.25">
      <c r="A26" s="1034" t="s">
        <v>446</v>
      </c>
      <c r="B26" s="1034"/>
      <c r="C26" s="1034"/>
      <c r="D26" s="1034"/>
      <c r="E26" s="1034"/>
      <c r="F26" s="1034"/>
      <c r="G26" s="1034"/>
      <c r="H26" s="1034"/>
      <c r="I26" s="1034"/>
      <c r="J26" s="1034"/>
      <c r="K26" s="521"/>
      <c r="L26" s="521"/>
      <c r="M26" s="521"/>
      <c r="N26" s="521"/>
      <c r="O26" s="521"/>
      <c r="P26" s="521"/>
      <c r="Q26" s="521"/>
      <c r="R26" s="521"/>
      <c r="S26" s="521"/>
      <c r="T26" s="521"/>
      <c r="U26" s="521"/>
      <c r="V26" s="521"/>
      <c r="W26" s="521"/>
      <c r="X26" s="521"/>
      <c r="Y26" s="521"/>
      <c r="Z26" s="521"/>
      <c r="AA26" s="521"/>
      <c r="AB26" s="521"/>
      <c r="AC26" s="521"/>
      <c r="AD26" s="521"/>
      <c r="AE26" s="521"/>
      <c r="AF26" s="521"/>
      <c r="AG26" s="521"/>
      <c r="AH26" s="521"/>
      <c r="AI26" s="521"/>
      <c r="AJ26" s="521"/>
      <c r="AK26" s="521"/>
      <c r="AL26" s="521"/>
      <c r="AM26" s="521"/>
      <c r="AN26" s="521"/>
      <c r="AO26" s="521"/>
      <c r="AP26" s="521"/>
      <c r="AQ26" s="521"/>
      <c r="AR26" s="521"/>
      <c r="AS26" s="521"/>
    </row>
    <row r="27" spans="1:45" s="489" customFormat="1" ht="16.5" customHeight="1" x14ac:dyDescent="0.25">
      <c r="A27" s="1035" t="s">
        <v>380</v>
      </c>
      <c r="B27" s="1036"/>
      <c r="C27" s="1037" t="s">
        <v>447</v>
      </c>
      <c r="D27" s="1038" t="s">
        <v>381</v>
      </c>
      <c r="E27" s="1038"/>
      <c r="F27" s="569"/>
      <c r="G27" s="570"/>
      <c r="H27" s="570"/>
      <c r="I27" s="570"/>
      <c r="J27" s="570"/>
    </row>
    <row r="28" spans="1:45" s="488" customFormat="1" ht="63.75" x14ac:dyDescent="0.25">
      <c r="A28" s="1035"/>
      <c r="B28" s="1036"/>
      <c r="C28" s="1037"/>
      <c r="D28" s="602" t="s">
        <v>448</v>
      </c>
      <c r="E28" s="602" t="s">
        <v>449</v>
      </c>
    </row>
    <row r="29" spans="1:45" s="488" customFormat="1" ht="15.75" x14ac:dyDescent="0.25">
      <c r="A29" s="490"/>
      <c r="B29" s="491" t="s">
        <v>39</v>
      </c>
      <c r="C29" s="492">
        <v>1343.69</v>
      </c>
      <c r="D29" s="492">
        <f t="shared" ref="D29" si="2">D30+D31</f>
        <v>290.60000000000002</v>
      </c>
      <c r="E29" s="492">
        <f>E30+E31</f>
        <v>1634.2900000000002</v>
      </c>
    </row>
    <row r="30" spans="1:45" s="488" customFormat="1" x14ac:dyDescent="0.25">
      <c r="A30" s="493" t="s">
        <v>382</v>
      </c>
      <c r="B30" s="494" t="s">
        <v>383</v>
      </c>
      <c r="C30" s="495">
        <v>108.14</v>
      </c>
      <c r="D30" s="495">
        <v>0</v>
      </c>
      <c r="E30" s="495">
        <f>C30+D30</f>
        <v>108.14</v>
      </c>
    </row>
    <row r="31" spans="1:45" s="488" customFormat="1" ht="30" x14ac:dyDescent="0.25">
      <c r="A31" s="493" t="s">
        <v>384</v>
      </c>
      <c r="B31" s="494" t="s">
        <v>385</v>
      </c>
      <c r="C31" s="5">
        <v>1235.55</v>
      </c>
      <c r="D31" s="5">
        <f>D32+D37</f>
        <v>290.60000000000002</v>
      </c>
      <c r="E31" s="5">
        <f>E32+E37</f>
        <v>1526.15</v>
      </c>
    </row>
    <row r="32" spans="1:45" s="488" customFormat="1" x14ac:dyDescent="0.25">
      <c r="A32" s="493" t="s">
        <v>386</v>
      </c>
      <c r="B32" s="494" t="s">
        <v>387</v>
      </c>
      <c r="C32" s="5">
        <v>918.26</v>
      </c>
      <c r="D32" s="5">
        <f>D33+D36</f>
        <v>289.44</v>
      </c>
      <c r="E32" s="5">
        <f>E33+E36</f>
        <v>1207.7</v>
      </c>
      <c r="G32" s="496"/>
    </row>
    <row r="33" spans="1:5" x14ac:dyDescent="0.25">
      <c r="A33" s="497" t="s">
        <v>388</v>
      </c>
      <c r="B33" s="498" t="s">
        <v>389</v>
      </c>
      <c r="C33" s="499">
        <v>742.99</v>
      </c>
      <c r="D33" s="499">
        <f t="shared" ref="D33" si="3">D34+D35</f>
        <v>230.26</v>
      </c>
      <c r="E33" s="499">
        <f>E34+E35</f>
        <v>973.25000000000011</v>
      </c>
    </row>
    <row r="34" spans="1:5" x14ac:dyDescent="0.25">
      <c r="A34" s="495" t="s">
        <v>390</v>
      </c>
      <c r="B34" s="494" t="s">
        <v>391</v>
      </c>
      <c r="C34" s="501">
        <v>611.33000000000004</v>
      </c>
      <c r="D34" s="501">
        <v>211.56</v>
      </c>
      <c r="E34" s="501">
        <f>C34+D34</f>
        <v>822.8900000000001</v>
      </c>
    </row>
    <row r="35" spans="1:5" s="488" customFormat="1" ht="150" x14ac:dyDescent="0.25">
      <c r="A35" s="493" t="s">
        <v>392</v>
      </c>
      <c r="B35" s="494" t="s">
        <v>393</v>
      </c>
      <c r="C35" s="501">
        <v>131.66</v>
      </c>
      <c r="D35" s="501">
        <v>18.7</v>
      </c>
      <c r="E35" s="501">
        <f>C35+D35</f>
        <v>150.35999999999999</v>
      </c>
    </row>
    <row r="36" spans="1:5" s="488" customFormat="1" x14ac:dyDescent="0.25">
      <c r="A36" s="502" t="s">
        <v>394</v>
      </c>
      <c r="B36" s="498" t="s">
        <v>395</v>
      </c>
      <c r="C36" s="499">
        <v>175.27</v>
      </c>
      <c r="D36" s="499">
        <v>59.18</v>
      </c>
      <c r="E36" s="499">
        <f>C36+D36</f>
        <v>234.45000000000002</v>
      </c>
    </row>
    <row r="37" spans="1:5" s="488" customFormat="1" ht="75" x14ac:dyDescent="0.25">
      <c r="A37" s="503" t="s">
        <v>396</v>
      </c>
      <c r="B37" s="504" t="s">
        <v>397</v>
      </c>
      <c r="C37" s="505">
        <v>317.29000000000002</v>
      </c>
      <c r="D37" s="505">
        <f t="shared" ref="D37:E37" si="4">D38+D45</f>
        <v>1.1600000000000001</v>
      </c>
      <c r="E37" s="505">
        <f t="shared" si="4"/>
        <v>318.45000000000005</v>
      </c>
    </row>
    <row r="38" spans="1:5" s="488" customFormat="1" ht="30" x14ac:dyDescent="0.25">
      <c r="A38" s="506" t="s">
        <v>398</v>
      </c>
      <c r="B38" s="507" t="s">
        <v>399</v>
      </c>
      <c r="C38" s="508">
        <v>285.99</v>
      </c>
      <c r="D38" s="508">
        <f>D39+D42</f>
        <v>1.1600000000000001</v>
      </c>
      <c r="E38" s="508">
        <f t="shared" ref="E38" si="5">E39+E42</f>
        <v>287.15000000000003</v>
      </c>
    </row>
    <row r="39" spans="1:5" s="488" customFormat="1" ht="60" x14ac:dyDescent="0.25">
      <c r="A39" s="503" t="s">
        <v>400</v>
      </c>
      <c r="B39" s="504" t="s">
        <v>401</v>
      </c>
      <c r="C39" s="509">
        <v>254.69</v>
      </c>
      <c r="D39" s="509">
        <f t="shared" ref="D39:E39" si="6">D40+D41</f>
        <v>1.03</v>
      </c>
      <c r="E39" s="509">
        <f t="shared" si="6"/>
        <v>255.72000000000003</v>
      </c>
    </row>
    <row r="40" spans="1:5" s="488" customFormat="1" x14ac:dyDescent="0.25">
      <c r="A40" s="503" t="s">
        <v>402</v>
      </c>
      <c r="B40" s="504" t="s">
        <v>403</v>
      </c>
      <c r="C40" s="509">
        <v>206.08</v>
      </c>
      <c r="D40" s="509">
        <v>0</v>
      </c>
      <c r="E40" s="509">
        <f>C40+D40</f>
        <v>206.08</v>
      </c>
    </row>
    <row r="41" spans="1:5" s="488" customFormat="1" x14ac:dyDescent="0.25">
      <c r="A41" s="503" t="s">
        <v>404</v>
      </c>
      <c r="B41" s="494" t="s">
        <v>405</v>
      </c>
      <c r="C41" s="509">
        <v>48.61</v>
      </c>
      <c r="D41" s="509">
        <v>1.03</v>
      </c>
      <c r="E41" s="509">
        <f>C41+D41</f>
        <v>49.64</v>
      </c>
    </row>
    <row r="42" spans="1:5" s="488" customFormat="1" ht="45" x14ac:dyDescent="0.25">
      <c r="A42" s="503" t="s">
        <v>406</v>
      </c>
      <c r="B42" s="504" t="s">
        <v>407</v>
      </c>
      <c r="C42" s="510">
        <v>31.3</v>
      </c>
      <c r="D42" s="510">
        <f t="shared" ref="D42:E42" si="7">D43+D44</f>
        <v>0.13</v>
      </c>
      <c r="E42" s="510">
        <f t="shared" si="7"/>
        <v>31.43</v>
      </c>
    </row>
    <row r="43" spans="1:5" s="488" customFormat="1" x14ac:dyDescent="0.25">
      <c r="A43" s="503" t="s">
        <v>408</v>
      </c>
      <c r="B43" s="504" t="s">
        <v>403</v>
      </c>
      <c r="C43" s="510">
        <v>25.32</v>
      </c>
      <c r="D43" s="509">
        <v>0</v>
      </c>
      <c r="E43" s="509">
        <f>C43+D43</f>
        <v>25.32</v>
      </c>
    </row>
    <row r="44" spans="1:5" s="488" customFormat="1" x14ac:dyDescent="0.25">
      <c r="A44" s="503" t="s">
        <v>409</v>
      </c>
      <c r="B44" s="494" t="s">
        <v>405</v>
      </c>
      <c r="C44" s="510">
        <v>5.98</v>
      </c>
      <c r="D44" s="509">
        <v>0.13</v>
      </c>
      <c r="E44" s="510">
        <f>C44+D44</f>
        <v>6.11</v>
      </c>
    </row>
    <row r="45" spans="1:5" s="488" customFormat="1" ht="45" x14ac:dyDescent="0.25">
      <c r="A45" s="506" t="s">
        <v>410</v>
      </c>
      <c r="B45" s="507" t="s">
        <v>411</v>
      </c>
      <c r="C45" s="508">
        <v>31.3</v>
      </c>
      <c r="D45" s="508">
        <f t="shared" ref="D45:E45" si="8">D46+D47</f>
        <v>0</v>
      </c>
      <c r="E45" s="508">
        <f t="shared" si="8"/>
        <v>31.3</v>
      </c>
    </row>
    <row r="46" spans="1:5" s="488" customFormat="1" ht="150" x14ac:dyDescent="0.25">
      <c r="A46" s="503" t="s">
        <v>412</v>
      </c>
      <c r="B46" s="504" t="s">
        <v>413</v>
      </c>
      <c r="C46" s="509">
        <v>15.65</v>
      </c>
      <c r="D46" s="509">
        <v>0</v>
      </c>
      <c r="E46" s="509">
        <f>C46+D46</f>
        <v>15.65</v>
      </c>
    </row>
    <row r="47" spans="1:5" s="488" customFormat="1" ht="255" x14ac:dyDescent="0.25">
      <c r="A47" s="503" t="s">
        <v>414</v>
      </c>
      <c r="B47" s="504" t="s">
        <v>415</v>
      </c>
      <c r="C47" s="509">
        <v>15.65</v>
      </c>
      <c r="D47" s="509">
        <v>0</v>
      </c>
      <c r="E47" s="509">
        <f>C47+D47</f>
        <v>15.65</v>
      </c>
    </row>
    <row r="48" spans="1:5" s="488" customFormat="1" x14ac:dyDescent="0.25">
      <c r="A48" s="487"/>
    </row>
    <row r="49" spans="1:22" s="488" customFormat="1" x14ac:dyDescent="0.25">
      <c r="A49" s="487"/>
    </row>
    <row r="50" spans="1:22" s="488" customFormat="1" x14ac:dyDescent="0.25">
      <c r="A50" s="1033"/>
      <c r="B50" s="1033"/>
      <c r="C50" s="1031" t="s">
        <v>416</v>
      </c>
      <c r="D50" s="1032" t="s">
        <v>417</v>
      </c>
      <c r="E50" s="1032"/>
    </row>
    <row r="51" spans="1:22" s="511" customFormat="1" ht="36" x14ac:dyDescent="0.25">
      <c r="A51" s="1033"/>
      <c r="B51" s="1033"/>
      <c r="C51" s="1031"/>
      <c r="D51" s="512" t="s">
        <v>418</v>
      </c>
      <c r="E51" s="512" t="s">
        <v>419</v>
      </c>
    </row>
    <row r="52" spans="1:22" s="514" customFormat="1" ht="3.75" hidden="1" customHeight="1" x14ac:dyDescent="0.25">
      <c r="A52" s="574"/>
      <c r="B52" s="575"/>
      <c r="C52" s="513"/>
      <c r="D52" s="513"/>
      <c r="E52" s="513"/>
    </row>
    <row r="53" spans="1:22" s="514" customFormat="1" ht="30" customHeight="1" x14ac:dyDescent="0.25">
      <c r="A53" s="1026" t="s">
        <v>420</v>
      </c>
      <c r="B53" s="1026"/>
      <c r="C53" s="571">
        <v>12</v>
      </c>
      <c r="D53" s="515">
        <v>623</v>
      </c>
      <c r="E53" s="516">
        <f>ROUND(C53*D31*D53,0)</f>
        <v>2172526</v>
      </c>
    </row>
    <row r="54" spans="1:22" s="488" customFormat="1" ht="26.25" customHeight="1" x14ac:dyDescent="0.25">
      <c r="A54" s="1026" t="s">
        <v>421</v>
      </c>
      <c r="B54" s="1026"/>
      <c r="C54" s="572">
        <v>3</v>
      </c>
      <c r="D54" s="517">
        <v>40</v>
      </c>
      <c r="E54" s="518">
        <f>ROUND(C54*D54*D31,0)</f>
        <v>34872</v>
      </c>
    </row>
    <row r="55" spans="1:22" s="488" customFormat="1" x14ac:dyDescent="0.25">
      <c r="A55" s="1027" t="s">
        <v>39</v>
      </c>
      <c r="B55" s="1027"/>
      <c r="C55" s="573"/>
      <c r="D55" s="519"/>
      <c r="E55" s="576">
        <f>E53+E54</f>
        <v>2207398</v>
      </c>
    </row>
    <row r="56" spans="1:22" s="560" customFormat="1" x14ac:dyDescent="0.25"/>
    <row r="57" spans="1:22" s="488" customFormat="1" ht="15.75" x14ac:dyDescent="0.25">
      <c r="A57" s="1024" t="s">
        <v>443</v>
      </c>
      <c r="B57" s="1024"/>
      <c r="C57" s="1024"/>
      <c r="D57" s="1024"/>
      <c r="E57" s="1024"/>
      <c r="F57" s="1024"/>
      <c r="G57" s="916">
        <f>H21+E55</f>
        <v>90142231.169831723</v>
      </c>
      <c r="I57" s="1028"/>
      <c r="J57" s="1028"/>
      <c r="K57" s="1028"/>
    </row>
    <row r="58" spans="1:22" s="488" customFormat="1" ht="15.75" x14ac:dyDescent="0.25">
      <c r="A58" s="1024" t="s">
        <v>444</v>
      </c>
      <c r="B58" s="1024"/>
      <c r="C58" s="1024"/>
      <c r="D58" s="1024"/>
      <c r="E58" s="1024"/>
      <c r="F58" s="1024"/>
      <c r="G58" s="916">
        <f>6389399</f>
        <v>6389399</v>
      </c>
      <c r="I58" s="1028"/>
      <c r="J58" s="1028"/>
      <c r="K58" s="1028"/>
    </row>
    <row r="59" spans="1:22" s="488" customFormat="1" ht="27.75" customHeight="1" x14ac:dyDescent="0.25">
      <c r="A59" s="1025" t="s">
        <v>522</v>
      </c>
      <c r="B59" s="1025"/>
      <c r="C59" s="1025"/>
      <c r="D59" s="1025"/>
      <c r="E59" s="1025"/>
      <c r="F59" s="1025"/>
      <c r="G59" s="917">
        <f>G57+G58</f>
        <v>96531630.169831723</v>
      </c>
      <c r="I59" s="1023"/>
      <c r="J59" s="1023"/>
      <c r="K59" s="1023"/>
    </row>
    <row r="60" spans="1:22" s="560" customFormat="1" ht="15.75" thickBot="1" x14ac:dyDescent="0.3"/>
    <row r="61" spans="1:22" s="379" customFormat="1" ht="15" customHeight="1" x14ac:dyDescent="0.25">
      <c r="A61" s="921" t="s">
        <v>356</v>
      </c>
      <c r="B61" s="922"/>
      <c r="C61" s="922"/>
      <c r="D61" s="922"/>
      <c r="E61" s="922"/>
      <c r="F61" s="922"/>
      <c r="G61" s="918">
        <f>74001220</f>
        <v>74001220</v>
      </c>
      <c r="H61" s="926"/>
      <c r="I61" s="933"/>
      <c r="J61" s="926"/>
      <c r="K61" s="926"/>
      <c r="L61" s="926"/>
      <c r="M61" s="926"/>
      <c r="N61" s="926"/>
      <c r="O61" s="926"/>
      <c r="P61" s="926"/>
      <c r="Q61" s="926"/>
      <c r="R61" s="927"/>
      <c r="S61" s="928"/>
      <c r="T61" s="378"/>
      <c r="U61" s="744"/>
      <c r="V61" s="919"/>
    </row>
    <row r="62" spans="1:22" s="379" customFormat="1" ht="15.75" x14ac:dyDescent="0.25">
      <c r="A62" s="1020" t="s">
        <v>525</v>
      </c>
      <c r="B62" s="1021"/>
      <c r="C62" s="1021"/>
      <c r="D62" s="1021"/>
      <c r="E62" s="1021"/>
      <c r="F62" s="1022"/>
      <c r="G62" s="920">
        <v>2930090</v>
      </c>
      <c r="H62" s="926"/>
      <c r="I62" s="926"/>
      <c r="J62" s="926"/>
      <c r="K62" s="926"/>
      <c r="L62" s="926"/>
      <c r="M62" s="926"/>
      <c r="N62" s="926"/>
      <c r="O62" s="926"/>
      <c r="P62" s="926"/>
      <c r="Q62" s="926"/>
      <c r="R62" s="929"/>
      <c r="S62" s="928"/>
      <c r="T62" s="378"/>
      <c r="U62" s="744"/>
    </row>
    <row r="63" spans="1:22" s="379" customFormat="1" ht="33.75" customHeight="1" x14ac:dyDescent="0.25">
      <c r="A63" s="1039" t="s">
        <v>524</v>
      </c>
      <c r="B63" s="1040"/>
      <c r="C63" s="1040"/>
      <c r="D63" s="1040"/>
      <c r="E63" s="1040"/>
      <c r="F63" s="1040"/>
      <c r="G63" s="920">
        <v>9600320</v>
      </c>
      <c r="H63" s="926"/>
      <c r="I63" s="926"/>
      <c r="J63" s="926"/>
      <c r="K63" s="926"/>
      <c r="L63" s="926"/>
      <c r="M63" s="926"/>
      <c r="N63" s="926"/>
      <c r="O63" s="926"/>
      <c r="P63" s="926"/>
      <c r="Q63" s="926"/>
      <c r="R63" s="929"/>
      <c r="S63" s="928"/>
      <c r="T63" s="378"/>
      <c r="U63" s="744"/>
    </row>
    <row r="64" spans="1:22" s="379" customFormat="1" ht="47.25" customHeight="1" x14ac:dyDescent="0.25">
      <c r="A64" s="1039" t="s">
        <v>523</v>
      </c>
      <c r="B64" s="1040"/>
      <c r="C64" s="1040"/>
      <c r="D64" s="1040"/>
      <c r="E64" s="1040"/>
      <c r="F64" s="1040"/>
      <c r="G64" s="920">
        <v>10000000</v>
      </c>
      <c r="H64" s="926"/>
      <c r="I64" s="926"/>
      <c r="J64" s="926"/>
      <c r="K64" s="926"/>
      <c r="L64" s="926"/>
      <c r="M64" s="926"/>
      <c r="N64" s="926"/>
      <c r="O64" s="926"/>
      <c r="P64" s="926"/>
      <c r="Q64" s="926"/>
      <c r="R64" s="929"/>
      <c r="S64" s="928"/>
      <c r="T64" s="378"/>
      <c r="U64" s="744"/>
    </row>
    <row r="65" spans="1:21" s="379" customFormat="1" ht="16.5" thickBot="1" x14ac:dyDescent="0.3">
      <c r="A65" s="923" t="s">
        <v>360</v>
      </c>
      <c r="B65" s="924"/>
      <c r="C65" s="924"/>
      <c r="D65" s="924"/>
      <c r="E65" s="924"/>
      <c r="F65" s="924"/>
      <c r="G65" s="925">
        <f>SUM(G61:G64)</f>
        <v>96531630</v>
      </c>
      <c r="H65" s="930"/>
      <c r="I65" s="930"/>
      <c r="J65" s="930"/>
      <c r="K65" s="930"/>
      <c r="L65" s="930"/>
      <c r="M65" s="930"/>
      <c r="N65" s="930"/>
      <c r="O65" s="930"/>
      <c r="P65" s="930"/>
      <c r="Q65" s="930"/>
      <c r="R65" s="931"/>
      <c r="S65" s="928"/>
      <c r="T65" s="378"/>
      <c r="U65" s="744"/>
    </row>
    <row r="66" spans="1:21" s="560" customFormat="1" x14ac:dyDescent="0.25">
      <c r="H66" s="932"/>
      <c r="I66" s="932"/>
      <c r="J66" s="932"/>
      <c r="K66" s="932"/>
      <c r="L66" s="932"/>
      <c r="M66" s="932"/>
      <c r="N66" s="932"/>
      <c r="O66" s="932"/>
      <c r="P66" s="932"/>
      <c r="Q66" s="932"/>
      <c r="R66" s="932"/>
      <c r="S66" s="932"/>
    </row>
    <row r="67" spans="1:21" s="560" customFormat="1" x14ac:dyDescent="0.25">
      <c r="H67" s="932"/>
      <c r="I67" s="932"/>
      <c r="J67" s="932"/>
      <c r="K67" s="932"/>
      <c r="L67" s="932"/>
      <c r="M67" s="932"/>
      <c r="N67" s="932"/>
      <c r="O67" s="932"/>
      <c r="P67" s="932"/>
      <c r="Q67" s="932"/>
      <c r="R67" s="932"/>
      <c r="S67" s="932"/>
    </row>
    <row r="68" spans="1:21" s="560" customFormat="1" x14ac:dyDescent="0.25"/>
    <row r="69" spans="1:21" s="560" customFormat="1" x14ac:dyDescent="0.25"/>
    <row r="70" spans="1:21" s="560" customFormat="1" x14ac:dyDescent="0.25"/>
    <row r="71" spans="1:21" s="560" customFormat="1" x14ac:dyDescent="0.25"/>
    <row r="72" spans="1:21" s="560" customFormat="1" x14ac:dyDescent="0.25"/>
    <row r="73" spans="1:21" s="560" customFormat="1" x14ac:dyDescent="0.25"/>
    <row r="74" spans="1:21" s="560" customFormat="1" x14ac:dyDescent="0.25"/>
    <row r="75" spans="1:21" s="560" customFormat="1" x14ac:dyDescent="0.25"/>
    <row r="76" spans="1:21" s="560" customFormat="1" x14ac:dyDescent="0.25"/>
    <row r="77" spans="1:21" s="560" customFormat="1" x14ac:dyDescent="0.25"/>
    <row r="78" spans="1:21" s="560" customFormat="1" x14ac:dyDescent="0.25"/>
    <row r="79" spans="1:21" s="560" customFormat="1" x14ac:dyDescent="0.25"/>
    <row r="80" spans="1:21" s="560" customFormat="1" x14ac:dyDescent="0.25"/>
    <row r="81" s="560" customFormat="1" x14ac:dyDescent="0.25"/>
    <row r="82" s="560" customFormat="1" x14ac:dyDescent="0.25"/>
    <row r="83" s="560" customFormat="1" x14ac:dyDescent="0.25"/>
    <row r="84" s="560" customFormat="1" x14ac:dyDescent="0.25"/>
    <row r="85" s="560" customFormat="1" x14ac:dyDescent="0.25"/>
    <row r="86" s="560" customFormat="1" x14ac:dyDescent="0.25"/>
    <row r="87" s="560" customFormat="1" x14ac:dyDescent="0.25"/>
    <row r="88" s="560" customFormat="1" x14ac:dyDescent="0.25"/>
    <row r="89" s="560" customFormat="1" x14ac:dyDescent="0.25"/>
    <row r="90" s="560" customFormat="1" hidden="1" x14ac:dyDescent="0.25"/>
    <row r="91" s="560" customFormat="1" hidden="1" x14ac:dyDescent="0.25"/>
    <row r="92" s="560" customFormat="1" hidden="1" x14ac:dyDescent="0.25"/>
    <row r="93" s="560" customFormat="1" x14ac:dyDescent="0.25"/>
    <row r="94" s="560" customFormat="1" x14ac:dyDescent="0.25"/>
    <row r="95" s="560" customFormat="1" x14ac:dyDescent="0.25"/>
    <row r="96" s="560" customFormat="1" x14ac:dyDescent="0.25"/>
    <row r="97" s="560" customFormat="1" x14ac:dyDescent="0.25"/>
  </sheetData>
  <mergeCells count="35">
    <mergeCell ref="A64:F64"/>
    <mergeCell ref="A63:F63"/>
    <mergeCell ref="A2:J2"/>
    <mergeCell ref="A5:A6"/>
    <mergeCell ref="B5:B6"/>
    <mergeCell ref="C5:C6"/>
    <mergeCell ref="D5:D6"/>
    <mergeCell ref="E5:E6"/>
    <mergeCell ref="F5:F6"/>
    <mergeCell ref="G5:G6"/>
    <mergeCell ref="H5:H6"/>
    <mergeCell ref="I5:I6"/>
    <mergeCell ref="A4:J4"/>
    <mergeCell ref="J5:J6"/>
    <mergeCell ref="A8:A9"/>
    <mergeCell ref="A13:A14"/>
    <mergeCell ref="A18:A19"/>
    <mergeCell ref="C50:C51"/>
    <mergeCell ref="D50:E50"/>
    <mergeCell ref="A50:B51"/>
    <mergeCell ref="A26:J26"/>
    <mergeCell ref="A27:A28"/>
    <mergeCell ref="B27:B28"/>
    <mergeCell ref="C27:C28"/>
    <mergeCell ref="D27:E27"/>
    <mergeCell ref="A53:B53"/>
    <mergeCell ref="A54:B54"/>
    <mergeCell ref="A55:B55"/>
    <mergeCell ref="I57:K57"/>
    <mergeCell ref="I58:K58"/>
    <mergeCell ref="A62:F62"/>
    <mergeCell ref="I59:K59"/>
    <mergeCell ref="A57:F57"/>
    <mergeCell ref="A58:F58"/>
    <mergeCell ref="A59:F59"/>
  </mergeCells>
  <pageMargins left="0.23622047244094491" right="0" top="0" bottom="0.74803149606299213" header="0.31496062992125984" footer="0.31496062992125984"/>
  <pageSetup paperSize="9" scale="71" orientation="landscape" verticalDpi="0" r:id="rId1"/>
  <headerFooter>
    <oddFooter>&amp;L&amp;F&amp;C&amp;P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tabSelected="1" topLeftCell="A49" zoomScale="80" zoomScaleNormal="80" workbookViewId="0">
      <selection activeCell="Y332" sqref="Y332"/>
    </sheetView>
  </sheetViews>
  <sheetFormatPr defaultRowHeight="15" x14ac:dyDescent="0.25"/>
  <cols>
    <col min="1" max="1" width="56" customWidth="1"/>
    <col min="6" max="6" width="11.85546875" customWidth="1"/>
    <col min="7" max="7" width="11.42578125" customWidth="1"/>
    <col min="8" max="8" width="12" customWidth="1"/>
    <col min="9" max="9" width="11.85546875" customWidth="1"/>
    <col min="10" max="10" width="11.28515625" customWidth="1"/>
    <col min="11" max="11" width="10" customWidth="1"/>
    <col min="12" max="12" width="11" customWidth="1"/>
    <col min="13" max="13" width="7.85546875" customWidth="1"/>
    <col min="14" max="14" width="8.28515625" customWidth="1"/>
    <col min="15" max="15" width="10.7109375" customWidth="1"/>
  </cols>
  <sheetData>
    <row r="1" spans="1:12" ht="10.5" customHeight="1" x14ac:dyDescent="0.25"/>
    <row r="2" spans="1:12" s="500" customFormat="1" ht="18" customHeight="1" x14ac:dyDescent="0.25">
      <c r="A2" s="603" t="s">
        <v>450</v>
      </c>
      <c r="B2" s="603"/>
      <c r="C2" s="603"/>
      <c r="D2" s="603"/>
      <c r="E2" s="603"/>
      <c r="F2" s="603"/>
      <c r="G2" s="603"/>
      <c r="H2" s="603"/>
      <c r="I2" s="603"/>
      <c r="J2" s="603"/>
      <c r="K2" s="603"/>
      <c r="L2" s="603"/>
    </row>
    <row r="3" spans="1:12" s="500" customFormat="1" x14ac:dyDescent="0.25"/>
    <row r="4" spans="1:12" s="607" customFormat="1" ht="98.25" customHeight="1" x14ac:dyDescent="0.25">
      <c r="A4" s="604" t="s">
        <v>257</v>
      </c>
      <c r="B4" s="604" t="s">
        <v>451</v>
      </c>
      <c r="C4" s="604" t="s">
        <v>452</v>
      </c>
      <c r="D4" s="605" t="s">
        <v>453</v>
      </c>
      <c r="E4" s="605" t="s">
        <v>258</v>
      </c>
      <c r="F4" s="604" t="s">
        <v>454</v>
      </c>
      <c r="G4" s="606" t="s">
        <v>455</v>
      </c>
      <c r="H4" s="604" t="s">
        <v>456</v>
      </c>
      <c r="I4" s="604" t="s">
        <v>457</v>
      </c>
      <c r="J4" s="604" t="s">
        <v>458</v>
      </c>
      <c r="K4" s="604" t="s">
        <v>459</v>
      </c>
      <c r="L4" s="604" t="s">
        <v>460</v>
      </c>
    </row>
    <row r="5" spans="1:12" s="500" customFormat="1" x14ac:dyDescent="0.25">
      <c r="A5" s="608" t="s">
        <v>461</v>
      </c>
      <c r="B5" s="609">
        <v>1</v>
      </c>
      <c r="C5" s="609" t="s">
        <v>51</v>
      </c>
      <c r="D5" s="609">
        <v>2</v>
      </c>
      <c r="E5" s="609" t="s">
        <v>127</v>
      </c>
      <c r="F5" s="609">
        <v>9</v>
      </c>
      <c r="G5" s="609">
        <v>870</v>
      </c>
      <c r="H5" s="609">
        <v>124</v>
      </c>
      <c r="I5" s="610">
        <v>994</v>
      </c>
      <c r="J5" s="610">
        <f t="shared" ref="J5:J40" si="0">H5*B5</f>
        <v>124</v>
      </c>
      <c r="K5" s="610">
        <f>J5*12</f>
        <v>1488</v>
      </c>
      <c r="L5" s="610">
        <f>K5*1.2409</f>
        <v>1846.4591999999998</v>
      </c>
    </row>
    <row r="6" spans="1:12" s="500" customFormat="1" x14ac:dyDescent="0.25">
      <c r="A6" s="608" t="s">
        <v>461</v>
      </c>
      <c r="B6" s="609">
        <v>1</v>
      </c>
      <c r="C6" s="609" t="s">
        <v>462</v>
      </c>
      <c r="D6" s="609">
        <v>2</v>
      </c>
      <c r="E6" s="609" t="s">
        <v>130</v>
      </c>
      <c r="F6" s="609">
        <v>9</v>
      </c>
      <c r="G6" s="609">
        <v>664</v>
      </c>
      <c r="H6" s="609">
        <v>206</v>
      </c>
      <c r="I6" s="610">
        <v>870</v>
      </c>
      <c r="J6" s="610">
        <f t="shared" si="0"/>
        <v>206</v>
      </c>
      <c r="K6" s="610">
        <f t="shared" ref="K6:K40" si="1">J6*12</f>
        <v>2472</v>
      </c>
      <c r="L6" s="610">
        <f t="shared" ref="L6:L39" si="2">K6*1.2409</f>
        <v>3067.5047999999997</v>
      </c>
    </row>
    <row r="7" spans="1:12" s="500" customFormat="1" x14ac:dyDescent="0.25">
      <c r="A7" s="608" t="s">
        <v>463</v>
      </c>
      <c r="B7" s="609">
        <v>5</v>
      </c>
      <c r="C7" s="609" t="s">
        <v>51</v>
      </c>
      <c r="D7" s="609">
        <v>10</v>
      </c>
      <c r="E7" s="609" t="s">
        <v>24</v>
      </c>
      <c r="F7" s="609">
        <v>10</v>
      </c>
      <c r="G7" s="611">
        <v>1044.4760000000001</v>
      </c>
      <c r="H7" s="611">
        <v>128.72399999999999</v>
      </c>
      <c r="I7" s="610">
        <v>1173.2</v>
      </c>
      <c r="J7" s="610">
        <f t="shared" si="0"/>
        <v>643.61999999999989</v>
      </c>
      <c r="K7" s="610">
        <f t="shared" si="1"/>
        <v>7723.4399999999987</v>
      </c>
      <c r="L7" s="610">
        <f t="shared" si="2"/>
        <v>9584.016695999997</v>
      </c>
    </row>
    <row r="8" spans="1:12" s="500" customFormat="1" x14ac:dyDescent="0.25">
      <c r="A8" s="608" t="s">
        <v>464</v>
      </c>
      <c r="B8" s="609">
        <v>1</v>
      </c>
      <c r="C8" s="609" t="s">
        <v>462</v>
      </c>
      <c r="D8" s="609">
        <v>14</v>
      </c>
      <c r="E8" s="609" t="s">
        <v>127</v>
      </c>
      <c r="F8" s="609">
        <v>10</v>
      </c>
      <c r="G8" s="609">
        <v>1039</v>
      </c>
      <c r="H8" s="609">
        <v>135</v>
      </c>
      <c r="I8" s="610">
        <v>1174</v>
      </c>
      <c r="J8" s="610">
        <f t="shared" si="0"/>
        <v>135</v>
      </c>
      <c r="K8" s="610">
        <f t="shared" si="1"/>
        <v>1620</v>
      </c>
      <c r="L8" s="610">
        <f t="shared" si="2"/>
        <v>2010.2579999999998</v>
      </c>
    </row>
    <row r="9" spans="1:12" s="500" customFormat="1" x14ac:dyDescent="0.25">
      <c r="A9" s="608" t="s">
        <v>465</v>
      </c>
      <c r="B9" s="609">
        <v>1</v>
      </c>
      <c r="C9" s="609" t="s">
        <v>462</v>
      </c>
      <c r="D9" s="609" t="s">
        <v>112</v>
      </c>
      <c r="E9" s="609" t="s">
        <v>130</v>
      </c>
      <c r="F9" s="609">
        <v>9</v>
      </c>
      <c r="G9" s="609">
        <v>846</v>
      </c>
      <c r="H9" s="609">
        <v>147</v>
      </c>
      <c r="I9" s="610">
        <v>993</v>
      </c>
      <c r="J9" s="610">
        <f t="shared" si="0"/>
        <v>147</v>
      </c>
      <c r="K9" s="610">
        <f t="shared" si="1"/>
        <v>1764</v>
      </c>
      <c r="L9" s="610">
        <f t="shared" si="2"/>
        <v>2188.9476</v>
      </c>
    </row>
    <row r="10" spans="1:12" s="500" customFormat="1" x14ac:dyDescent="0.25">
      <c r="A10" s="608" t="s">
        <v>235</v>
      </c>
      <c r="B10" s="609">
        <v>1</v>
      </c>
      <c r="C10" s="609" t="s">
        <v>462</v>
      </c>
      <c r="D10" s="609">
        <v>15</v>
      </c>
      <c r="E10" s="609" t="s">
        <v>45</v>
      </c>
      <c r="F10" s="609">
        <v>11</v>
      </c>
      <c r="G10" s="609">
        <v>1174</v>
      </c>
      <c r="H10" s="609">
        <v>208</v>
      </c>
      <c r="I10" s="610">
        <v>1382</v>
      </c>
      <c r="J10" s="610">
        <f t="shared" si="0"/>
        <v>208</v>
      </c>
      <c r="K10" s="610">
        <f t="shared" si="1"/>
        <v>2496</v>
      </c>
      <c r="L10" s="610">
        <f t="shared" si="2"/>
        <v>3097.2864</v>
      </c>
    </row>
    <row r="11" spans="1:12" s="500" customFormat="1" x14ac:dyDescent="0.25">
      <c r="A11" s="608" t="s">
        <v>466</v>
      </c>
      <c r="B11" s="609">
        <v>1</v>
      </c>
      <c r="C11" s="609" t="s">
        <v>462</v>
      </c>
      <c r="D11" s="609" t="s">
        <v>109</v>
      </c>
      <c r="E11" s="609" t="s">
        <v>24</v>
      </c>
      <c r="F11" s="609">
        <v>10</v>
      </c>
      <c r="G11" s="609">
        <v>818</v>
      </c>
      <c r="H11" s="609">
        <v>239</v>
      </c>
      <c r="I11" s="610">
        <v>1057</v>
      </c>
      <c r="J11" s="610">
        <f t="shared" si="0"/>
        <v>239</v>
      </c>
      <c r="K11" s="610">
        <f t="shared" si="1"/>
        <v>2868</v>
      </c>
      <c r="L11" s="610">
        <f t="shared" si="2"/>
        <v>3558.9011999999998</v>
      </c>
    </row>
    <row r="12" spans="1:12" s="500" customFormat="1" x14ac:dyDescent="0.25">
      <c r="A12" s="612" t="s">
        <v>467</v>
      </c>
      <c r="B12" s="613">
        <v>1</v>
      </c>
      <c r="C12" s="614" t="s">
        <v>462</v>
      </c>
      <c r="D12" s="614">
        <v>19.3</v>
      </c>
      <c r="E12" s="614" t="s">
        <v>93</v>
      </c>
      <c r="F12" s="613">
        <v>13</v>
      </c>
      <c r="G12" s="614">
        <v>1174</v>
      </c>
      <c r="H12" s="615">
        <v>208</v>
      </c>
      <c r="I12" s="616">
        <v>1382</v>
      </c>
      <c r="J12" s="610">
        <f t="shared" si="0"/>
        <v>208</v>
      </c>
      <c r="K12" s="610">
        <f t="shared" si="1"/>
        <v>2496</v>
      </c>
      <c r="L12" s="610">
        <f t="shared" si="2"/>
        <v>3097.2864</v>
      </c>
    </row>
    <row r="13" spans="1:12" s="500" customFormat="1" x14ac:dyDescent="0.25">
      <c r="A13" s="608" t="s">
        <v>468</v>
      </c>
      <c r="B13" s="609">
        <v>1</v>
      </c>
      <c r="C13" s="609" t="s">
        <v>462</v>
      </c>
      <c r="D13" s="609">
        <v>23</v>
      </c>
      <c r="E13" s="609" t="s">
        <v>45</v>
      </c>
      <c r="F13" s="609">
        <v>10</v>
      </c>
      <c r="G13" s="609">
        <v>1010</v>
      </c>
      <c r="H13" s="609">
        <v>259</v>
      </c>
      <c r="I13" s="610">
        <v>1269</v>
      </c>
      <c r="J13" s="610">
        <f t="shared" si="0"/>
        <v>259</v>
      </c>
      <c r="K13" s="610">
        <f t="shared" si="1"/>
        <v>3108</v>
      </c>
      <c r="L13" s="610">
        <f t="shared" si="2"/>
        <v>3856.7171999999996</v>
      </c>
    </row>
    <row r="14" spans="1:12" s="500" customFormat="1" x14ac:dyDescent="0.25">
      <c r="A14" s="608" t="s">
        <v>235</v>
      </c>
      <c r="B14" s="609">
        <v>1</v>
      </c>
      <c r="C14" s="609" t="s">
        <v>462</v>
      </c>
      <c r="D14" s="609">
        <v>24</v>
      </c>
      <c r="E14" s="609" t="s">
        <v>24</v>
      </c>
      <c r="F14" s="609">
        <v>11</v>
      </c>
      <c r="G14" s="609">
        <v>1174</v>
      </c>
      <c r="H14" s="609">
        <v>208</v>
      </c>
      <c r="I14" s="610">
        <v>1382</v>
      </c>
      <c r="J14" s="610">
        <f t="shared" si="0"/>
        <v>208</v>
      </c>
      <c r="K14" s="610">
        <f t="shared" si="1"/>
        <v>2496</v>
      </c>
      <c r="L14" s="610">
        <f t="shared" si="2"/>
        <v>3097.2864</v>
      </c>
    </row>
    <row r="15" spans="1:12" s="500" customFormat="1" x14ac:dyDescent="0.25">
      <c r="A15" s="608" t="s">
        <v>469</v>
      </c>
      <c r="B15" s="609">
        <v>4</v>
      </c>
      <c r="C15" s="609" t="s">
        <v>462</v>
      </c>
      <c r="D15" s="609" t="s">
        <v>57</v>
      </c>
      <c r="E15" s="609" t="s">
        <v>54</v>
      </c>
      <c r="F15" s="609">
        <v>7</v>
      </c>
      <c r="G15" s="609">
        <v>629</v>
      </c>
      <c r="H15" s="609">
        <v>121</v>
      </c>
      <c r="I15" s="610">
        <v>750</v>
      </c>
      <c r="J15" s="610">
        <f t="shared" si="0"/>
        <v>484</v>
      </c>
      <c r="K15" s="610">
        <f t="shared" si="1"/>
        <v>5808</v>
      </c>
      <c r="L15" s="610">
        <f t="shared" si="2"/>
        <v>7207.1471999999994</v>
      </c>
    </row>
    <row r="16" spans="1:12" s="500" customFormat="1" x14ac:dyDescent="0.25">
      <c r="A16" s="617" t="s">
        <v>463</v>
      </c>
      <c r="B16" s="618">
        <v>12</v>
      </c>
      <c r="C16" s="618" t="s">
        <v>51</v>
      </c>
      <c r="D16" s="619" t="s">
        <v>57</v>
      </c>
      <c r="E16" s="620" t="s">
        <v>25</v>
      </c>
      <c r="F16" s="621">
        <v>9</v>
      </c>
      <c r="G16" s="611">
        <v>817.63083333333327</v>
      </c>
      <c r="H16" s="611">
        <v>144.03583333333333</v>
      </c>
      <c r="I16" s="610">
        <v>961.66666666666663</v>
      </c>
      <c r="J16" s="610">
        <f t="shared" si="0"/>
        <v>1728.4299999999998</v>
      </c>
      <c r="K16" s="610">
        <f t="shared" si="1"/>
        <v>20741.159999999996</v>
      </c>
      <c r="L16" s="610">
        <f t="shared" si="2"/>
        <v>25737.705443999992</v>
      </c>
    </row>
    <row r="17" spans="1:12" s="500" customFormat="1" x14ac:dyDescent="0.25">
      <c r="A17" s="622" t="s">
        <v>463</v>
      </c>
      <c r="B17" s="620">
        <v>13</v>
      </c>
      <c r="C17" s="618" t="s">
        <v>51</v>
      </c>
      <c r="D17" s="619">
        <v>35</v>
      </c>
      <c r="E17" s="620" t="s">
        <v>24</v>
      </c>
      <c r="F17" s="621">
        <v>10</v>
      </c>
      <c r="G17" s="611">
        <v>946.24538461538464</v>
      </c>
      <c r="H17" s="611">
        <v>178.52384615384614</v>
      </c>
      <c r="I17" s="610">
        <v>1124.7692307692307</v>
      </c>
      <c r="J17" s="610">
        <f t="shared" si="0"/>
        <v>2320.81</v>
      </c>
      <c r="K17" s="610">
        <f t="shared" si="1"/>
        <v>27849.72</v>
      </c>
      <c r="L17" s="610">
        <f t="shared" si="2"/>
        <v>34558.717548000001</v>
      </c>
    </row>
    <row r="18" spans="1:12" s="500" customFormat="1" x14ac:dyDescent="0.25">
      <c r="A18" s="617" t="s">
        <v>470</v>
      </c>
      <c r="B18" s="618">
        <v>1</v>
      </c>
      <c r="C18" s="618" t="s">
        <v>51</v>
      </c>
      <c r="D18" s="619" t="s">
        <v>57</v>
      </c>
      <c r="E18" s="620" t="s">
        <v>122</v>
      </c>
      <c r="F18" s="621">
        <v>11</v>
      </c>
      <c r="G18" s="614">
        <v>1052</v>
      </c>
      <c r="H18" s="620">
        <v>330</v>
      </c>
      <c r="I18" s="616">
        <v>1382</v>
      </c>
      <c r="J18" s="610">
        <f t="shared" si="0"/>
        <v>330</v>
      </c>
      <c r="K18" s="610">
        <f t="shared" si="1"/>
        <v>3960</v>
      </c>
      <c r="L18" s="610">
        <f t="shared" si="2"/>
        <v>4913.9639999999999</v>
      </c>
    </row>
    <row r="19" spans="1:12" s="500" customFormat="1" x14ac:dyDescent="0.25">
      <c r="A19" s="608" t="s">
        <v>235</v>
      </c>
      <c r="B19" s="609">
        <v>1</v>
      </c>
      <c r="C19" s="609" t="s">
        <v>51</v>
      </c>
      <c r="D19" s="609" t="s">
        <v>210</v>
      </c>
      <c r="E19" s="609" t="s">
        <v>93</v>
      </c>
      <c r="F19" s="609">
        <v>13</v>
      </c>
      <c r="G19" s="609">
        <v>1309</v>
      </c>
      <c r="H19" s="609">
        <v>73</v>
      </c>
      <c r="I19" s="610">
        <v>1382</v>
      </c>
      <c r="J19" s="610">
        <f t="shared" si="0"/>
        <v>73</v>
      </c>
      <c r="K19" s="610">
        <f t="shared" si="1"/>
        <v>876</v>
      </c>
      <c r="L19" s="610">
        <f t="shared" si="2"/>
        <v>1087.0283999999999</v>
      </c>
    </row>
    <row r="20" spans="1:12" s="500" customFormat="1" x14ac:dyDescent="0.25">
      <c r="A20" s="608" t="s">
        <v>471</v>
      </c>
      <c r="B20" s="609">
        <v>1</v>
      </c>
      <c r="C20" s="609" t="s">
        <v>51</v>
      </c>
      <c r="D20" s="609" t="s">
        <v>210</v>
      </c>
      <c r="E20" s="609" t="s">
        <v>93</v>
      </c>
      <c r="F20" s="609">
        <v>13</v>
      </c>
      <c r="G20" s="609">
        <v>1381.61</v>
      </c>
      <c r="H20" s="609">
        <v>468.39</v>
      </c>
      <c r="I20" s="610">
        <v>1850</v>
      </c>
      <c r="J20" s="610">
        <f t="shared" si="0"/>
        <v>468.39</v>
      </c>
      <c r="K20" s="610">
        <f t="shared" si="1"/>
        <v>5620.68</v>
      </c>
      <c r="L20" s="610">
        <f t="shared" si="2"/>
        <v>6974.7018119999993</v>
      </c>
    </row>
    <row r="21" spans="1:12" s="500" customFormat="1" x14ac:dyDescent="0.25">
      <c r="A21" s="608" t="s">
        <v>472</v>
      </c>
      <c r="B21" s="609">
        <v>2</v>
      </c>
      <c r="C21" s="609" t="s">
        <v>51</v>
      </c>
      <c r="D21" s="609" t="s">
        <v>473</v>
      </c>
      <c r="E21" s="609" t="s">
        <v>171</v>
      </c>
      <c r="F21" s="609">
        <v>10</v>
      </c>
      <c r="G21" s="611">
        <v>964.5</v>
      </c>
      <c r="H21" s="611">
        <v>48.5</v>
      </c>
      <c r="I21" s="610">
        <v>1013</v>
      </c>
      <c r="J21" s="610">
        <f t="shared" si="0"/>
        <v>97</v>
      </c>
      <c r="K21" s="610">
        <f t="shared" si="1"/>
        <v>1164</v>
      </c>
      <c r="L21" s="610">
        <f t="shared" si="2"/>
        <v>1444.4075999999998</v>
      </c>
    </row>
    <row r="22" spans="1:12" s="500" customFormat="1" x14ac:dyDescent="0.25">
      <c r="A22" s="608" t="s">
        <v>474</v>
      </c>
      <c r="B22" s="609">
        <v>2</v>
      </c>
      <c r="C22" s="609" t="s">
        <v>51</v>
      </c>
      <c r="D22" s="609" t="s">
        <v>473</v>
      </c>
      <c r="E22" s="609" t="s">
        <v>93</v>
      </c>
      <c r="F22" s="609">
        <v>9</v>
      </c>
      <c r="G22" s="611">
        <v>871.505</v>
      </c>
      <c r="H22" s="611">
        <v>65.995000000000005</v>
      </c>
      <c r="I22" s="610">
        <v>937.5</v>
      </c>
      <c r="J22" s="610">
        <f t="shared" si="0"/>
        <v>131.99</v>
      </c>
      <c r="K22" s="610">
        <f t="shared" si="1"/>
        <v>1583.88</v>
      </c>
      <c r="L22" s="610">
        <f t="shared" si="2"/>
        <v>1965.436692</v>
      </c>
    </row>
    <row r="23" spans="1:12" s="500" customFormat="1" x14ac:dyDescent="0.25">
      <c r="A23" s="617" t="s">
        <v>463</v>
      </c>
      <c r="B23" s="618">
        <v>1</v>
      </c>
      <c r="C23" s="618" t="s">
        <v>462</v>
      </c>
      <c r="D23" s="619" t="s">
        <v>475</v>
      </c>
      <c r="E23" s="620" t="s">
        <v>130</v>
      </c>
      <c r="F23" s="621">
        <v>9</v>
      </c>
      <c r="G23" s="614">
        <v>835</v>
      </c>
      <c r="H23" s="620">
        <v>265</v>
      </c>
      <c r="I23" s="616">
        <v>1100</v>
      </c>
      <c r="J23" s="610">
        <f t="shared" si="0"/>
        <v>265</v>
      </c>
      <c r="K23" s="610">
        <f t="shared" si="1"/>
        <v>3180</v>
      </c>
      <c r="L23" s="610">
        <f t="shared" si="2"/>
        <v>3946.0619999999994</v>
      </c>
    </row>
    <row r="24" spans="1:12" s="500" customFormat="1" x14ac:dyDescent="0.25">
      <c r="A24" s="617" t="s">
        <v>463</v>
      </c>
      <c r="B24" s="618">
        <v>1</v>
      </c>
      <c r="C24" s="618" t="s">
        <v>462</v>
      </c>
      <c r="D24" s="619" t="s">
        <v>476</v>
      </c>
      <c r="E24" s="620" t="s">
        <v>25</v>
      </c>
      <c r="F24" s="621">
        <v>10</v>
      </c>
      <c r="G24" s="614">
        <v>970</v>
      </c>
      <c r="H24" s="620">
        <v>130</v>
      </c>
      <c r="I24" s="616">
        <v>1100</v>
      </c>
      <c r="J24" s="610">
        <f t="shared" si="0"/>
        <v>130</v>
      </c>
      <c r="K24" s="610">
        <f t="shared" si="1"/>
        <v>1560</v>
      </c>
      <c r="L24" s="610">
        <f t="shared" si="2"/>
        <v>1935.8039999999999</v>
      </c>
    </row>
    <row r="25" spans="1:12" s="500" customFormat="1" x14ac:dyDescent="0.25">
      <c r="A25" s="608" t="s">
        <v>463</v>
      </c>
      <c r="B25" s="609">
        <v>4</v>
      </c>
      <c r="C25" s="609" t="s">
        <v>462</v>
      </c>
      <c r="D25" s="609" t="s">
        <v>476</v>
      </c>
      <c r="E25" s="609" t="s">
        <v>54</v>
      </c>
      <c r="F25" s="609">
        <v>8</v>
      </c>
      <c r="G25" s="611">
        <v>722.40000000000009</v>
      </c>
      <c r="H25" s="611">
        <v>76.100000000000009</v>
      </c>
      <c r="I25" s="610">
        <v>798.5</v>
      </c>
      <c r="J25" s="610">
        <f t="shared" si="0"/>
        <v>304.40000000000003</v>
      </c>
      <c r="K25" s="610">
        <f t="shared" si="1"/>
        <v>3652.8</v>
      </c>
      <c r="L25" s="610">
        <f t="shared" si="2"/>
        <v>4532.7595199999996</v>
      </c>
    </row>
    <row r="26" spans="1:12" s="500" customFormat="1" x14ac:dyDescent="0.25">
      <c r="A26" s="623" t="s">
        <v>477</v>
      </c>
      <c r="B26" s="613">
        <v>1</v>
      </c>
      <c r="C26" s="614" t="s">
        <v>462</v>
      </c>
      <c r="D26" s="614" t="s">
        <v>478</v>
      </c>
      <c r="E26" s="614" t="s">
        <v>93</v>
      </c>
      <c r="F26" s="613">
        <v>11</v>
      </c>
      <c r="G26" s="614">
        <v>1014</v>
      </c>
      <c r="H26" s="614">
        <v>160</v>
      </c>
      <c r="I26" s="616">
        <v>1174</v>
      </c>
      <c r="J26" s="610">
        <f t="shared" si="0"/>
        <v>160</v>
      </c>
      <c r="K26" s="610">
        <f t="shared" si="1"/>
        <v>1920</v>
      </c>
      <c r="L26" s="610">
        <f t="shared" si="2"/>
        <v>2382.5279999999998</v>
      </c>
    </row>
    <row r="27" spans="1:12" s="500" customFormat="1" x14ac:dyDescent="0.25">
      <c r="A27" s="612" t="s">
        <v>479</v>
      </c>
      <c r="B27" s="613">
        <v>3</v>
      </c>
      <c r="C27" s="614" t="s">
        <v>462</v>
      </c>
      <c r="D27" s="614" t="s">
        <v>480</v>
      </c>
      <c r="E27" s="614" t="s">
        <v>24</v>
      </c>
      <c r="F27" s="613">
        <v>10</v>
      </c>
      <c r="G27" s="611">
        <v>1090.9566666666667</v>
      </c>
      <c r="H27" s="611">
        <v>158.37666666666667</v>
      </c>
      <c r="I27" s="610">
        <v>1249.3333333333333</v>
      </c>
      <c r="J27" s="610">
        <f t="shared" si="0"/>
        <v>475.13</v>
      </c>
      <c r="K27" s="610">
        <f t="shared" si="1"/>
        <v>5701.5599999999995</v>
      </c>
      <c r="L27" s="610">
        <f t="shared" si="2"/>
        <v>7075.0658039999989</v>
      </c>
    </row>
    <row r="28" spans="1:12" s="500" customFormat="1" x14ac:dyDescent="0.25">
      <c r="A28" s="612" t="s">
        <v>481</v>
      </c>
      <c r="B28" s="613">
        <v>2</v>
      </c>
      <c r="C28" s="614" t="s">
        <v>462</v>
      </c>
      <c r="D28" s="614" t="s">
        <v>480</v>
      </c>
      <c r="E28" s="614" t="s">
        <v>24</v>
      </c>
      <c r="F28" s="613">
        <v>10</v>
      </c>
      <c r="G28" s="611">
        <v>1062</v>
      </c>
      <c r="H28" s="611">
        <v>225</v>
      </c>
      <c r="I28" s="610">
        <v>1287</v>
      </c>
      <c r="J28" s="610">
        <f t="shared" si="0"/>
        <v>450</v>
      </c>
      <c r="K28" s="610">
        <f t="shared" si="1"/>
        <v>5400</v>
      </c>
      <c r="L28" s="610">
        <f t="shared" si="2"/>
        <v>6700.86</v>
      </c>
    </row>
    <row r="29" spans="1:12" s="500" customFormat="1" x14ac:dyDescent="0.25">
      <c r="A29" s="612" t="s">
        <v>463</v>
      </c>
      <c r="B29" s="613">
        <v>1</v>
      </c>
      <c r="C29" s="614" t="s">
        <v>462</v>
      </c>
      <c r="D29" s="614" t="s">
        <v>480</v>
      </c>
      <c r="E29" s="614" t="s">
        <v>24</v>
      </c>
      <c r="F29" s="613">
        <v>10</v>
      </c>
      <c r="G29" s="614">
        <v>904</v>
      </c>
      <c r="H29" s="614">
        <v>270</v>
      </c>
      <c r="I29" s="616">
        <v>1174</v>
      </c>
      <c r="J29" s="610">
        <f t="shared" si="0"/>
        <v>270</v>
      </c>
      <c r="K29" s="610">
        <f t="shared" si="1"/>
        <v>3240</v>
      </c>
      <c r="L29" s="610">
        <f t="shared" si="2"/>
        <v>4020.5159999999996</v>
      </c>
    </row>
    <row r="30" spans="1:12" s="500" customFormat="1" x14ac:dyDescent="0.25">
      <c r="A30" s="612" t="s">
        <v>482</v>
      </c>
      <c r="B30" s="613">
        <v>1</v>
      </c>
      <c r="C30" s="614" t="s">
        <v>462</v>
      </c>
      <c r="D30" s="614" t="s">
        <v>480</v>
      </c>
      <c r="E30" s="614" t="s">
        <v>45</v>
      </c>
      <c r="F30" s="613">
        <v>12</v>
      </c>
      <c r="G30" s="614">
        <v>1174</v>
      </c>
      <c r="H30" s="614">
        <v>208</v>
      </c>
      <c r="I30" s="616">
        <v>1382</v>
      </c>
      <c r="J30" s="610">
        <f t="shared" si="0"/>
        <v>208</v>
      </c>
      <c r="K30" s="610">
        <f t="shared" si="1"/>
        <v>2496</v>
      </c>
      <c r="L30" s="610">
        <f t="shared" si="2"/>
        <v>3097.2864</v>
      </c>
    </row>
    <row r="31" spans="1:12" s="500" customFormat="1" x14ac:dyDescent="0.25">
      <c r="A31" s="612" t="s">
        <v>483</v>
      </c>
      <c r="B31" s="613">
        <v>3</v>
      </c>
      <c r="C31" s="614" t="s">
        <v>462</v>
      </c>
      <c r="D31" s="614" t="s">
        <v>480</v>
      </c>
      <c r="E31" s="614" t="s">
        <v>45</v>
      </c>
      <c r="F31" s="613">
        <v>12</v>
      </c>
      <c r="G31" s="611">
        <v>1174</v>
      </c>
      <c r="H31" s="611">
        <v>208</v>
      </c>
      <c r="I31" s="610">
        <v>1382</v>
      </c>
      <c r="J31" s="610">
        <f t="shared" si="0"/>
        <v>624</v>
      </c>
      <c r="K31" s="610">
        <f t="shared" si="1"/>
        <v>7488</v>
      </c>
      <c r="L31" s="610">
        <f t="shared" si="2"/>
        <v>9291.859199999999</v>
      </c>
    </row>
    <row r="32" spans="1:12" s="500" customFormat="1" x14ac:dyDescent="0.25">
      <c r="A32" s="612" t="s">
        <v>235</v>
      </c>
      <c r="B32" s="613">
        <v>2</v>
      </c>
      <c r="C32" s="614" t="s">
        <v>462</v>
      </c>
      <c r="D32" s="614" t="s">
        <v>480</v>
      </c>
      <c r="E32" s="614" t="s">
        <v>43</v>
      </c>
      <c r="F32" s="613">
        <v>13</v>
      </c>
      <c r="G32" s="611">
        <v>1382</v>
      </c>
      <c r="H32" s="611">
        <v>343</v>
      </c>
      <c r="I32" s="610">
        <v>1725</v>
      </c>
      <c r="J32" s="610">
        <f t="shared" si="0"/>
        <v>686</v>
      </c>
      <c r="K32" s="610">
        <f t="shared" si="1"/>
        <v>8232</v>
      </c>
      <c r="L32" s="610">
        <f t="shared" si="2"/>
        <v>10215.0888</v>
      </c>
    </row>
    <row r="33" spans="1:24" s="500" customFormat="1" x14ac:dyDescent="0.25">
      <c r="A33" s="608" t="s">
        <v>463</v>
      </c>
      <c r="B33" s="609">
        <v>1</v>
      </c>
      <c r="C33" s="609" t="s">
        <v>462</v>
      </c>
      <c r="D33" s="609" t="s">
        <v>484</v>
      </c>
      <c r="E33" s="609" t="s">
        <v>93</v>
      </c>
      <c r="F33" s="609">
        <v>8</v>
      </c>
      <c r="G33" s="609">
        <v>825</v>
      </c>
      <c r="H33" s="624">
        <v>45</v>
      </c>
      <c r="I33" s="610">
        <v>870</v>
      </c>
      <c r="J33" s="610">
        <f t="shared" si="0"/>
        <v>45</v>
      </c>
      <c r="K33" s="610">
        <f t="shared" si="1"/>
        <v>540</v>
      </c>
      <c r="L33" s="610">
        <f t="shared" si="2"/>
        <v>670.0859999999999</v>
      </c>
    </row>
    <row r="34" spans="1:24" s="500" customFormat="1" x14ac:dyDescent="0.25">
      <c r="A34" s="612" t="s">
        <v>485</v>
      </c>
      <c r="B34" s="613">
        <v>2</v>
      </c>
      <c r="C34" s="614" t="s">
        <v>462</v>
      </c>
      <c r="D34" s="614" t="s">
        <v>484</v>
      </c>
      <c r="E34" s="614" t="s">
        <v>130</v>
      </c>
      <c r="F34" s="613">
        <v>10</v>
      </c>
      <c r="G34" s="611">
        <v>1057.19</v>
      </c>
      <c r="H34" s="611">
        <v>116.81</v>
      </c>
      <c r="I34" s="610">
        <v>1174</v>
      </c>
      <c r="J34" s="610">
        <f t="shared" si="0"/>
        <v>233.62</v>
      </c>
      <c r="K34" s="610">
        <f t="shared" si="1"/>
        <v>2803.44</v>
      </c>
      <c r="L34" s="610">
        <f t="shared" si="2"/>
        <v>3478.7886959999996</v>
      </c>
    </row>
    <row r="35" spans="1:24" s="500" customFormat="1" x14ac:dyDescent="0.25">
      <c r="A35" s="612" t="s">
        <v>486</v>
      </c>
      <c r="B35" s="613">
        <v>3</v>
      </c>
      <c r="C35" s="614" t="s">
        <v>462</v>
      </c>
      <c r="D35" s="614" t="s">
        <v>484</v>
      </c>
      <c r="E35" s="614" t="s">
        <v>62</v>
      </c>
      <c r="F35" s="613">
        <v>13</v>
      </c>
      <c r="G35" s="611">
        <v>974.73</v>
      </c>
      <c r="H35" s="611">
        <v>199.26999999999998</v>
      </c>
      <c r="I35" s="610">
        <v>1174</v>
      </c>
      <c r="J35" s="610">
        <f t="shared" si="0"/>
        <v>597.80999999999995</v>
      </c>
      <c r="K35" s="610">
        <f t="shared" si="1"/>
        <v>7173.7199999999993</v>
      </c>
      <c r="L35" s="610">
        <f t="shared" si="2"/>
        <v>8901.8691479999979</v>
      </c>
    </row>
    <row r="36" spans="1:24" s="500" customFormat="1" x14ac:dyDescent="0.25">
      <c r="A36" s="612" t="s">
        <v>487</v>
      </c>
      <c r="B36" s="613">
        <v>1</v>
      </c>
      <c r="C36" s="614" t="s">
        <v>462</v>
      </c>
      <c r="D36" s="614" t="s">
        <v>484</v>
      </c>
      <c r="E36" s="614" t="s">
        <v>62</v>
      </c>
      <c r="F36" s="613">
        <v>13</v>
      </c>
      <c r="G36" s="614">
        <v>1173.8699999999999</v>
      </c>
      <c r="H36" s="614">
        <v>208.13</v>
      </c>
      <c r="I36" s="616">
        <v>1382</v>
      </c>
      <c r="J36" s="610">
        <f t="shared" si="0"/>
        <v>208.13</v>
      </c>
      <c r="K36" s="610">
        <f t="shared" si="1"/>
        <v>2497.56</v>
      </c>
      <c r="L36" s="610">
        <f t="shared" si="2"/>
        <v>3099.2222039999997</v>
      </c>
    </row>
    <row r="37" spans="1:24" s="500" customFormat="1" x14ac:dyDescent="0.25">
      <c r="A37" s="612" t="s">
        <v>488</v>
      </c>
      <c r="B37" s="613">
        <v>2</v>
      </c>
      <c r="C37" s="614" t="s">
        <v>462</v>
      </c>
      <c r="D37" s="614" t="s">
        <v>484</v>
      </c>
      <c r="E37" s="614" t="s">
        <v>62</v>
      </c>
      <c r="F37" s="613">
        <v>13</v>
      </c>
      <c r="G37" s="611">
        <v>1131.45</v>
      </c>
      <c r="H37" s="611">
        <v>146.55000000000001</v>
      </c>
      <c r="I37" s="610">
        <v>1278</v>
      </c>
      <c r="J37" s="610">
        <f t="shared" si="0"/>
        <v>293.10000000000002</v>
      </c>
      <c r="K37" s="610">
        <f t="shared" si="1"/>
        <v>3517.2000000000003</v>
      </c>
      <c r="L37" s="610">
        <f t="shared" si="2"/>
        <v>4364.4934800000001</v>
      </c>
    </row>
    <row r="38" spans="1:24" s="500" customFormat="1" x14ac:dyDescent="0.25">
      <c r="A38" s="612" t="s">
        <v>481</v>
      </c>
      <c r="B38" s="613">
        <v>1</v>
      </c>
      <c r="C38" s="614" t="s">
        <v>462</v>
      </c>
      <c r="D38" s="614" t="s">
        <v>489</v>
      </c>
      <c r="E38" s="614" t="s">
        <v>24</v>
      </c>
      <c r="F38" s="613">
        <v>10</v>
      </c>
      <c r="G38" s="614">
        <v>1174</v>
      </c>
      <c r="H38" s="614">
        <v>113</v>
      </c>
      <c r="I38" s="616">
        <v>1287</v>
      </c>
      <c r="J38" s="610">
        <f t="shared" si="0"/>
        <v>113</v>
      </c>
      <c r="K38" s="610">
        <f t="shared" si="1"/>
        <v>1356</v>
      </c>
      <c r="L38" s="610">
        <f t="shared" si="2"/>
        <v>1682.6603999999998</v>
      </c>
    </row>
    <row r="39" spans="1:24" s="500" customFormat="1" x14ac:dyDescent="0.25">
      <c r="A39" s="608" t="s">
        <v>463</v>
      </c>
      <c r="B39" s="609">
        <v>1</v>
      </c>
      <c r="C39" s="618" t="s">
        <v>51</v>
      </c>
      <c r="D39" s="619" t="s">
        <v>490</v>
      </c>
      <c r="E39" s="620" t="s">
        <v>127</v>
      </c>
      <c r="F39" s="621">
        <v>10</v>
      </c>
      <c r="G39" s="625">
        <v>845</v>
      </c>
      <c r="H39" s="626">
        <v>329</v>
      </c>
      <c r="I39" s="627">
        <v>1174</v>
      </c>
      <c r="J39" s="610">
        <f t="shared" si="0"/>
        <v>329</v>
      </c>
      <c r="K39" s="610">
        <f>J39*12</f>
        <v>3948</v>
      </c>
      <c r="L39" s="610">
        <f t="shared" si="2"/>
        <v>4899.0731999999998</v>
      </c>
    </row>
    <row r="40" spans="1:24" s="500" customFormat="1" x14ac:dyDescent="0.25">
      <c r="A40" s="608" t="s">
        <v>235</v>
      </c>
      <c r="B40" s="609">
        <v>1</v>
      </c>
      <c r="C40" s="609" t="s">
        <v>51</v>
      </c>
      <c r="D40" s="609" t="s">
        <v>490</v>
      </c>
      <c r="E40" s="609" t="s">
        <v>45</v>
      </c>
      <c r="F40" s="609">
        <v>11</v>
      </c>
      <c r="G40" s="609">
        <v>1354.57</v>
      </c>
      <c r="H40" s="609">
        <v>27.43</v>
      </c>
      <c r="I40" s="610">
        <v>1382</v>
      </c>
      <c r="J40" s="610">
        <f t="shared" si="0"/>
        <v>27.43</v>
      </c>
      <c r="K40" s="610">
        <f t="shared" si="1"/>
        <v>329.15999999999997</v>
      </c>
      <c r="L40" s="610">
        <f>K40*1.2409</f>
        <v>408.45464399999992</v>
      </c>
    </row>
    <row r="41" spans="1:24" s="500" customFormat="1" x14ac:dyDescent="0.25">
      <c r="A41" s="628" t="s">
        <v>39</v>
      </c>
      <c r="B41" s="628">
        <f>SUM(B5:B40)</f>
        <v>81</v>
      </c>
      <c r="C41" s="628"/>
      <c r="D41" s="628"/>
      <c r="E41" s="628"/>
      <c r="F41" s="628"/>
      <c r="G41" s="628"/>
      <c r="H41" s="628"/>
      <c r="I41" s="628"/>
      <c r="J41" s="628">
        <f>SUM(J5:J40)</f>
        <v>13430.859999999997</v>
      </c>
      <c r="K41" s="628">
        <f>SUM(K5:K40)</f>
        <v>161170.32</v>
      </c>
      <c r="L41" s="629">
        <f>SUM(L5:L40)</f>
        <v>199996.25008800003</v>
      </c>
    </row>
    <row r="43" spans="1:24" x14ac:dyDescent="0.25">
      <c r="A43" s="603" t="s">
        <v>528</v>
      </c>
    </row>
    <row r="44" spans="1:24" ht="15.75" thickBot="1" x14ac:dyDescent="0.3"/>
    <row r="45" spans="1:24" s="635" customFormat="1" ht="171.75" thickBot="1" x14ac:dyDescent="0.3">
      <c r="A45" s="630" t="s">
        <v>491</v>
      </c>
      <c r="B45" s="631" t="s">
        <v>492</v>
      </c>
      <c r="C45" s="631" t="s">
        <v>493</v>
      </c>
      <c r="D45" s="631" t="s">
        <v>494</v>
      </c>
      <c r="E45" s="632" t="s">
        <v>495</v>
      </c>
      <c r="F45" s="631" t="s">
        <v>496</v>
      </c>
      <c r="G45" s="632" t="s">
        <v>497</v>
      </c>
      <c r="H45" s="633" t="s">
        <v>498</v>
      </c>
      <c r="I45" s="631" t="s">
        <v>499</v>
      </c>
      <c r="J45" s="631" t="s">
        <v>500</v>
      </c>
      <c r="K45" s="631" t="s">
        <v>501</v>
      </c>
      <c r="L45" s="631" t="s">
        <v>502</v>
      </c>
      <c r="M45" s="631" t="s">
        <v>503</v>
      </c>
      <c r="N45" s="631" t="s">
        <v>504</v>
      </c>
      <c r="O45" s="634" t="s">
        <v>505</v>
      </c>
      <c r="R45" s="488"/>
      <c r="S45" s="636"/>
      <c r="T45" s="488"/>
      <c r="X45" s="488"/>
    </row>
    <row r="46" spans="1:24" s="635" customFormat="1" x14ac:dyDescent="0.25">
      <c r="A46" s="637" t="s">
        <v>506</v>
      </c>
      <c r="B46" s="638">
        <v>6</v>
      </c>
      <c r="C46" s="638">
        <v>3</v>
      </c>
      <c r="D46" s="638">
        <v>3</v>
      </c>
      <c r="E46" s="639">
        <v>840</v>
      </c>
      <c r="F46" s="638">
        <v>899</v>
      </c>
      <c r="G46" s="640">
        <f>E46/F46</f>
        <v>0.93437152391546163</v>
      </c>
      <c r="H46" s="641">
        <f>F46*0.9377</f>
        <v>842.9923</v>
      </c>
      <c r="I46" s="642">
        <f>H46-E46</f>
        <v>2.9923000000000002</v>
      </c>
      <c r="J46" s="642">
        <f>D46*I46*12*1.2409</f>
        <v>133.67322252</v>
      </c>
      <c r="K46" s="642">
        <f>E46*0.2</f>
        <v>168</v>
      </c>
      <c r="L46" s="642">
        <f>K46*D46*1.2409</f>
        <v>625.41359999999997</v>
      </c>
      <c r="M46" s="642">
        <f>H46*0.4</f>
        <v>337.19692000000003</v>
      </c>
      <c r="N46" s="641">
        <f>M46*D46*1.2409</f>
        <v>1255.282974084</v>
      </c>
      <c r="O46" s="643">
        <f>N46-L46</f>
        <v>629.86937408400001</v>
      </c>
      <c r="R46" s="488"/>
      <c r="S46" s="488"/>
      <c r="T46" s="488"/>
      <c r="X46" s="488"/>
    </row>
    <row r="47" spans="1:24" s="635" customFormat="1" x14ac:dyDescent="0.25">
      <c r="A47" s="644" t="s">
        <v>507</v>
      </c>
      <c r="B47" s="645">
        <v>7</v>
      </c>
      <c r="C47" s="645">
        <v>3</v>
      </c>
      <c r="D47" s="645">
        <v>5</v>
      </c>
      <c r="E47" s="646">
        <v>900</v>
      </c>
      <c r="F47" s="645">
        <v>996</v>
      </c>
      <c r="G47" s="647">
        <f t="shared" ref="G47:G62" si="3">E47/F47</f>
        <v>0.90361445783132532</v>
      </c>
      <c r="H47" s="648">
        <f t="shared" ref="H47:H55" si="4">F47*0.9377</f>
        <v>933.94920000000002</v>
      </c>
      <c r="I47" s="649">
        <f t="shared" ref="I47:I60" si="5">H47-E47</f>
        <v>33.949200000000019</v>
      </c>
      <c r="J47" s="649">
        <f t="shared" ref="J47:J62" si="6">D47*I47*12*1.2409</f>
        <v>2527.6537368000013</v>
      </c>
      <c r="K47" s="649">
        <f t="shared" ref="K47:K62" si="7">E47*0.2</f>
        <v>180</v>
      </c>
      <c r="L47" s="649">
        <f t="shared" ref="L47:L62" si="8">K47*D47*1.2409</f>
        <v>1116.81</v>
      </c>
      <c r="M47" s="649">
        <f t="shared" ref="M47:M60" si="9">H47*0.4</f>
        <v>373.57968000000005</v>
      </c>
      <c r="N47" s="648">
        <f t="shared" ref="N47:N62" si="10">M47*D47*1.2409</f>
        <v>2317.8751245600001</v>
      </c>
      <c r="O47" s="650">
        <f t="shared" ref="O47:O62" si="11">N47-L47</f>
        <v>1201.0651245600002</v>
      </c>
      <c r="R47" s="488"/>
      <c r="S47" s="488"/>
      <c r="T47" s="488"/>
      <c r="X47" s="488"/>
    </row>
    <row r="48" spans="1:24" s="635" customFormat="1" x14ac:dyDescent="0.25">
      <c r="A48" s="651" t="s">
        <v>508</v>
      </c>
      <c r="B48" s="645">
        <v>8</v>
      </c>
      <c r="C48" s="645">
        <v>3</v>
      </c>
      <c r="D48" s="645">
        <v>2</v>
      </c>
      <c r="E48" s="646">
        <v>900</v>
      </c>
      <c r="F48" s="645">
        <v>1093</v>
      </c>
      <c r="G48" s="647">
        <f t="shared" si="3"/>
        <v>0.82342177493138147</v>
      </c>
      <c r="H48" s="648">
        <f t="shared" si="4"/>
        <v>1024.9060999999999</v>
      </c>
      <c r="I48" s="649">
        <f t="shared" si="5"/>
        <v>124.90609999999992</v>
      </c>
      <c r="J48" s="649">
        <f t="shared" si="6"/>
        <v>3719.9035077599974</v>
      </c>
      <c r="K48" s="649">
        <f t="shared" si="7"/>
        <v>180</v>
      </c>
      <c r="L48" s="649">
        <f t="shared" si="8"/>
        <v>446.72399999999993</v>
      </c>
      <c r="M48" s="649">
        <f t="shared" si="9"/>
        <v>409.96244000000002</v>
      </c>
      <c r="N48" s="648">
        <f t="shared" si="10"/>
        <v>1017.4447835919999</v>
      </c>
      <c r="O48" s="650">
        <f t="shared" si="11"/>
        <v>570.72078359199998</v>
      </c>
      <c r="R48" s="488"/>
      <c r="S48" s="488"/>
      <c r="T48" s="488"/>
      <c r="X48" s="488"/>
    </row>
    <row r="49" spans="1:24" s="635" customFormat="1" x14ac:dyDescent="0.25">
      <c r="A49" s="651" t="s">
        <v>509</v>
      </c>
      <c r="B49" s="645">
        <v>8</v>
      </c>
      <c r="C49" s="645">
        <v>2</v>
      </c>
      <c r="D49" s="645">
        <v>1</v>
      </c>
      <c r="E49" s="646">
        <v>870</v>
      </c>
      <c r="F49" s="645">
        <v>920</v>
      </c>
      <c r="G49" s="647">
        <f t="shared" si="3"/>
        <v>0.94565217391304346</v>
      </c>
      <c r="H49" s="648">
        <f t="shared" si="4"/>
        <v>862.68399999999997</v>
      </c>
      <c r="I49" s="649"/>
      <c r="J49" s="649">
        <f t="shared" si="6"/>
        <v>0</v>
      </c>
      <c r="K49" s="649">
        <f t="shared" si="7"/>
        <v>174</v>
      </c>
      <c r="L49" s="649">
        <f t="shared" si="8"/>
        <v>215.91659999999999</v>
      </c>
      <c r="M49" s="649">
        <f>E49*0.4</f>
        <v>348</v>
      </c>
      <c r="N49" s="648">
        <f t="shared" si="10"/>
        <v>431.83319999999998</v>
      </c>
      <c r="O49" s="650">
        <f t="shared" si="11"/>
        <v>215.91659999999999</v>
      </c>
      <c r="R49" s="488"/>
      <c r="S49" s="488"/>
      <c r="T49" s="488"/>
      <c r="X49" s="488"/>
    </row>
    <row r="50" spans="1:24" s="635" customFormat="1" x14ac:dyDescent="0.25">
      <c r="A50" s="644" t="s">
        <v>510</v>
      </c>
      <c r="B50" s="645">
        <v>9</v>
      </c>
      <c r="C50" s="645">
        <v>3</v>
      </c>
      <c r="D50" s="645">
        <v>22</v>
      </c>
      <c r="E50" s="646">
        <v>968.68181818181813</v>
      </c>
      <c r="F50" s="645">
        <v>1190</v>
      </c>
      <c r="G50" s="647">
        <f t="shared" si="3"/>
        <v>0.8140183346065698</v>
      </c>
      <c r="H50" s="648">
        <f t="shared" si="4"/>
        <v>1115.8630000000001</v>
      </c>
      <c r="I50" s="649">
        <f t="shared" si="5"/>
        <v>147.18118181818193</v>
      </c>
      <c r="J50" s="649">
        <f t="shared" si="6"/>
        <v>48216.201928800037</v>
      </c>
      <c r="K50" s="649">
        <f t="shared" si="7"/>
        <v>193.73636363636365</v>
      </c>
      <c r="L50" s="649">
        <f t="shared" si="8"/>
        <v>5288.9639800000004</v>
      </c>
      <c r="M50" s="649">
        <f t="shared" si="9"/>
        <v>446.34520000000003</v>
      </c>
      <c r="N50" s="648">
        <f t="shared" si="10"/>
        <v>12185.13469096</v>
      </c>
      <c r="O50" s="650">
        <f t="shared" si="11"/>
        <v>6896.1707109599993</v>
      </c>
      <c r="R50" s="488"/>
      <c r="S50" s="488"/>
      <c r="T50" s="488"/>
      <c r="X50" s="488"/>
    </row>
    <row r="51" spans="1:24" s="635" customFormat="1" x14ac:dyDescent="0.25">
      <c r="A51" s="652" t="s">
        <v>509</v>
      </c>
      <c r="B51" s="645">
        <v>9</v>
      </c>
      <c r="C51" s="645">
        <v>2</v>
      </c>
      <c r="D51" s="645">
        <v>6</v>
      </c>
      <c r="E51" s="646">
        <v>907.16666666666663</v>
      </c>
      <c r="F51" s="645">
        <v>1015</v>
      </c>
      <c r="G51" s="647">
        <f t="shared" si="3"/>
        <v>0.89376026272577991</v>
      </c>
      <c r="H51" s="648">
        <f t="shared" si="4"/>
        <v>951.76549999999997</v>
      </c>
      <c r="I51" s="649">
        <f t="shared" si="5"/>
        <v>44.598833333333346</v>
      </c>
      <c r="J51" s="649">
        <f t="shared" si="6"/>
        <v>3984.6738444000007</v>
      </c>
      <c r="K51" s="649">
        <f t="shared" si="7"/>
        <v>181.43333333333334</v>
      </c>
      <c r="L51" s="649">
        <f t="shared" si="8"/>
        <v>1350.8437399999998</v>
      </c>
      <c r="M51" s="649">
        <f t="shared" si="9"/>
        <v>380.70620000000002</v>
      </c>
      <c r="N51" s="648">
        <f t="shared" si="10"/>
        <v>2834.5099414799997</v>
      </c>
      <c r="O51" s="650">
        <f t="shared" si="11"/>
        <v>1483.6662014799999</v>
      </c>
      <c r="R51" s="488"/>
      <c r="S51" s="488"/>
      <c r="T51" s="488"/>
      <c r="X51" s="488"/>
    </row>
    <row r="52" spans="1:24" s="635" customFormat="1" x14ac:dyDescent="0.25">
      <c r="A52" s="644" t="s">
        <v>509</v>
      </c>
      <c r="B52" s="645">
        <v>9</v>
      </c>
      <c r="C52" s="645">
        <v>1</v>
      </c>
      <c r="D52" s="645">
        <v>3</v>
      </c>
      <c r="E52" s="646">
        <v>808.66666666666663</v>
      </c>
      <c r="F52" s="645">
        <v>835</v>
      </c>
      <c r="G52" s="647">
        <f t="shared" si="3"/>
        <v>0.96846307385229535</v>
      </c>
      <c r="H52" s="648">
        <f t="shared" si="4"/>
        <v>782.97950000000003</v>
      </c>
      <c r="I52" s="649"/>
      <c r="J52" s="649">
        <f t="shared" si="6"/>
        <v>0</v>
      </c>
      <c r="K52" s="649">
        <f t="shared" si="7"/>
        <v>161.73333333333335</v>
      </c>
      <c r="L52" s="649">
        <f t="shared" si="8"/>
        <v>602.08468000000005</v>
      </c>
      <c r="M52" s="649">
        <f>E52*0.4</f>
        <v>323.4666666666667</v>
      </c>
      <c r="N52" s="648">
        <f t="shared" si="10"/>
        <v>1204.1693600000001</v>
      </c>
      <c r="O52" s="650">
        <f t="shared" si="11"/>
        <v>602.08468000000005</v>
      </c>
      <c r="R52" s="488"/>
      <c r="S52" s="488"/>
      <c r="T52" s="488"/>
      <c r="X52" s="488"/>
    </row>
    <row r="53" spans="1:24" s="635" customFormat="1" ht="26.25" x14ac:dyDescent="0.25">
      <c r="A53" s="651" t="s">
        <v>511</v>
      </c>
      <c r="B53" s="645">
        <v>10</v>
      </c>
      <c r="C53" s="645">
        <v>3</v>
      </c>
      <c r="D53" s="645">
        <v>9</v>
      </c>
      <c r="E53" s="646">
        <v>1093.2222222222222</v>
      </c>
      <c r="F53" s="645">
        <v>1287</v>
      </c>
      <c r="G53" s="647">
        <f t="shared" si="3"/>
        <v>0.8494345161011827</v>
      </c>
      <c r="H53" s="648">
        <f t="shared" si="4"/>
        <v>1206.8199</v>
      </c>
      <c r="I53" s="649">
        <f t="shared" si="5"/>
        <v>113.59767777777779</v>
      </c>
      <c r="J53" s="649">
        <f t="shared" si="6"/>
        <v>15224.04270228</v>
      </c>
      <c r="K53" s="649">
        <f t="shared" si="7"/>
        <v>218.64444444444445</v>
      </c>
      <c r="L53" s="649">
        <f t="shared" si="8"/>
        <v>2441.8430199999998</v>
      </c>
      <c r="M53" s="649">
        <f t="shared" si="9"/>
        <v>482.72796</v>
      </c>
      <c r="N53" s="648">
        <f t="shared" si="10"/>
        <v>5391.1541300759991</v>
      </c>
      <c r="O53" s="650">
        <f t="shared" si="11"/>
        <v>2949.3111100759993</v>
      </c>
      <c r="R53" s="488"/>
      <c r="S53" s="488"/>
      <c r="T53" s="488"/>
      <c r="X53" s="488"/>
    </row>
    <row r="54" spans="1:24" s="635" customFormat="1" ht="26.25" x14ac:dyDescent="0.25">
      <c r="A54" s="651" t="s">
        <v>512</v>
      </c>
      <c r="B54" s="645">
        <v>11</v>
      </c>
      <c r="C54" s="645">
        <v>3</v>
      </c>
      <c r="D54" s="645">
        <v>14</v>
      </c>
      <c r="E54" s="646">
        <v>1250.1864285714287</v>
      </c>
      <c r="F54" s="645">
        <v>1382</v>
      </c>
      <c r="G54" s="647">
        <f t="shared" si="3"/>
        <v>0.9046211494728138</v>
      </c>
      <c r="H54" s="648">
        <f t="shared" si="4"/>
        <v>1295.9014</v>
      </c>
      <c r="I54" s="649">
        <f t="shared" si="5"/>
        <v>45.714971428571289</v>
      </c>
      <c r="J54" s="649">
        <f t="shared" si="6"/>
        <v>9530.25495167997</v>
      </c>
      <c r="K54" s="649">
        <f t="shared" si="7"/>
        <v>250.03728571428576</v>
      </c>
      <c r="L54" s="649">
        <f t="shared" si="8"/>
        <v>4343.7977498000009</v>
      </c>
      <c r="M54" s="649">
        <f t="shared" si="9"/>
        <v>518.36055999999996</v>
      </c>
      <c r="N54" s="648">
        <f t="shared" si="10"/>
        <v>9005.2706646559982</v>
      </c>
      <c r="O54" s="650">
        <f t="shared" si="11"/>
        <v>4661.4729148559973</v>
      </c>
      <c r="R54" s="488"/>
      <c r="S54" s="488"/>
      <c r="T54" s="488"/>
      <c r="X54" s="488"/>
    </row>
    <row r="55" spans="1:24" s="635" customFormat="1" x14ac:dyDescent="0.25">
      <c r="A55" s="644" t="s">
        <v>235</v>
      </c>
      <c r="B55" s="645">
        <v>11</v>
      </c>
      <c r="C55" s="645">
        <v>2</v>
      </c>
      <c r="D55" s="645">
        <v>1</v>
      </c>
      <c r="E55" s="646">
        <v>1210</v>
      </c>
      <c r="F55" s="645">
        <v>1209</v>
      </c>
      <c r="G55" s="647">
        <f t="shared" si="3"/>
        <v>1.0008271298593878</v>
      </c>
      <c r="H55" s="648">
        <f t="shared" si="4"/>
        <v>1133.6793</v>
      </c>
      <c r="I55" s="649"/>
      <c r="J55" s="649">
        <f t="shared" si="6"/>
        <v>0</v>
      </c>
      <c r="K55" s="649">
        <f t="shared" si="7"/>
        <v>242</v>
      </c>
      <c r="L55" s="649">
        <f t="shared" si="8"/>
        <v>300.2978</v>
      </c>
      <c r="M55" s="649">
        <f>E55*0.4</f>
        <v>484</v>
      </c>
      <c r="N55" s="648">
        <f t="shared" si="10"/>
        <v>600.59559999999999</v>
      </c>
      <c r="O55" s="650">
        <f t="shared" si="11"/>
        <v>300.2978</v>
      </c>
      <c r="R55" s="488"/>
      <c r="S55" s="488"/>
      <c r="T55" s="488"/>
      <c r="X55" s="488"/>
    </row>
    <row r="56" spans="1:24" s="635" customFormat="1" x14ac:dyDescent="0.25">
      <c r="A56" s="644" t="s">
        <v>513</v>
      </c>
      <c r="B56" s="645">
        <v>11</v>
      </c>
      <c r="C56" s="645">
        <v>1</v>
      </c>
      <c r="D56" s="645">
        <v>2</v>
      </c>
      <c r="E56" s="646">
        <v>1005</v>
      </c>
      <c r="F56" s="645">
        <v>1052</v>
      </c>
      <c r="G56" s="647">
        <f t="shared" si="3"/>
        <v>0.95532319391634979</v>
      </c>
      <c r="H56" s="648">
        <f>F56*0.9377</f>
        <v>986.46039999999994</v>
      </c>
      <c r="I56" s="649"/>
      <c r="J56" s="649">
        <f t="shared" si="6"/>
        <v>0</v>
      </c>
      <c r="K56" s="649">
        <f t="shared" si="7"/>
        <v>201</v>
      </c>
      <c r="L56" s="649">
        <f t="shared" si="8"/>
        <v>498.84179999999998</v>
      </c>
      <c r="M56" s="649">
        <f>E56*0.4</f>
        <v>402</v>
      </c>
      <c r="N56" s="648">
        <f>M56*D56*1.2409</f>
        <v>997.68359999999996</v>
      </c>
      <c r="O56" s="650">
        <f t="shared" si="11"/>
        <v>498.84179999999998</v>
      </c>
      <c r="R56" s="488"/>
      <c r="S56" s="488"/>
      <c r="T56" s="488"/>
      <c r="X56" s="488"/>
    </row>
    <row r="57" spans="1:24" s="635" customFormat="1" ht="26.25" x14ac:dyDescent="0.25">
      <c r="A57" s="651" t="s">
        <v>514</v>
      </c>
      <c r="B57" s="645">
        <v>12</v>
      </c>
      <c r="C57" s="645">
        <v>3</v>
      </c>
      <c r="D57" s="645">
        <v>19</v>
      </c>
      <c r="E57" s="646">
        <v>1203.2631578947369</v>
      </c>
      <c r="F57" s="645">
        <v>1647</v>
      </c>
      <c r="G57" s="647">
        <f t="shared" si="3"/>
        <v>0.73057872367622156</v>
      </c>
      <c r="H57" s="653">
        <f>F57*0.937143</f>
        <v>1543.4745209999999</v>
      </c>
      <c r="I57" s="649">
        <f t="shared" si="5"/>
        <v>340.21136310526299</v>
      </c>
      <c r="J57" s="649">
        <f t="shared" si="6"/>
        <v>96254.367948829124</v>
      </c>
      <c r="K57" s="649">
        <f t="shared" si="7"/>
        <v>240.65263157894739</v>
      </c>
      <c r="L57" s="649">
        <f t="shared" si="8"/>
        <v>5673.8911600000001</v>
      </c>
      <c r="M57" s="649">
        <f t="shared" si="9"/>
        <v>617.38980839999999</v>
      </c>
      <c r="N57" s="648">
        <f t="shared" si="10"/>
        <v>14556.261251627639</v>
      </c>
      <c r="O57" s="650">
        <f t="shared" si="11"/>
        <v>8882.3700916276393</v>
      </c>
      <c r="R57" s="488"/>
      <c r="S57" s="488"/>
      <c r="T57" s="488"/>
      <c r="X57" s="488"/>
    </row>
    <row r="58" spans="1:24" s="635" customFormat="1" x14ac:dyDescent="0.25">
      <c r="A58" s="644" t="s">
        <v>515</v>
      </c>
      <c r="B58" s="645">
        <v>12</v>
      </c>
      <c r="C58" s="645">
        <v>2</v>
      </c>
      <c r="D58" s="645">
        <v>3</v>
      </c>
      <c r="E58" s="646">
        <v>1093</v>
      </c>
      <c r="F58" s="645">
        <v>1442</v>
      </c>
      <c r="G58" s="647">
        <f t="shared" si="3"/>
        <v>0.7579750346740638</v>
      </c>
      <c r="H58" s="648">
        <f>F58*0.9377</f>
        <v>1352.1633999999999</v>
      </c>
      <c r="I58" s="649">
        <f t="shared" si="5"/>
        <v>259.16339999999991</v>
      </c>
      <c r="J58" s="649">
        <f t="shared" si="6"/>
        <v>11577.451070159996</v>
      </c>
      <c r="K58" s="649">
        <f t="shared" si="7"/>
        <v>218.60000000000002</v>
      </c>
      <c r="L58" s="649">
        <f t="shared" si="8"/>
        <v>813.78222000000005</v>
      </c>
      <c r="M58" s="649">
        <f t="shared" si="9"/>
        <v>540.86536000000001</v>
      </c>
      <c r="N58" s="648">
        <f t="shared" si="10"/>
        <v>2013.4794756719998</v>
      </c>
      <c r="O58" s="650">
        <f t="shared" si="11"/>
        <v>1199.6972556719998</v>
      </c>
      <c r="R58" s="488"/>
      <c r="S58" s="488"/>
      <c r="T58" s="488"/>
      <c r="X58" s="488"/>
    </row>
    <row r="59" spans="1:24" s="635" customFormat="1" x14ac:dyDescent="0.25">
      <c r="A59" s="644" t="s">
        <v>516</v>
      </c>
      <c r="B59" s="645">
        <v>13</v>
      </c>
      <c r="C59" s="645">
        <v>3</v>
      </c>
      <c r="D59" s="645">
        <v>14</v>
      </c>
      <c r="E59" s="646">
        <v>1547.7328571428573</v>
      </c>
      <c r="F59" s="645">
        <v>1917</v>
      </c>
      <c r="G59" s="647">
        <f t="shared" si="3"/>
        <v>0.80737238244280507</v>
      </c>
      <c r="H59" s="654">
        <f>F59*0.937</f>
        <v>1796.229</v>
      </c>
      <c r="I59" s="649">
        <f t="shared" si="5"/>
        <v>248.49614285714279</v>
      </c>
      <c r="J59" s="649">
        <f t="shared" si="6"/>
        <v>51804.289096799977</v>
      </c>
      <c r="K59" s="649">
        <f t="shared" si="7"/>
        <v>309.5465714285715</v>
      </c>
      <c r="L59" s="649">
        <f t="shared" si="8"/>
        <v>5377.6287668000004</v>
      </c>
      <c r="M59" s="649">
        <f t="shared" si="9"/>
        <v>718.49160000000006</v>
      </c>
      <c r="N59" s="648">
        <f t="shared" si="10"/>
        <v>12482.067170159999</v>
      </c>
      <c r="O59" s="650">
        <f t="shared" si="11"/>
        <v>7104.4384033599981</v>
      </c>
      <c r="R59" s="488"/>
      <c r="S59" s="488"/>
      <c r="T59" s="488"/>
      <c r="X59" s="488"/>
    </row>
    <row r="60" spans="1:24" s="635" customFormat="1" x14ac:dyDescent="0.25">
      <c r="A60" s="644" t="s">
        <v>517</v>
      </c>
      <c r="B60" s="645">
        <v>14</v>
      </c>
      <c r="C60" s="645">
        <v>3</v>
      </c>
      <c r="D60" s="645">
        <v>5</v>
      </c>
      <c r="E60" s="646">
        <v>1916.9459999999999</v>
      </c>
      <c r="F60" s="645">
        <v>2264</v>
      </c>
      <c r="G60" s="647">
        <f t="shared" si="3"/>
        <v>0.84670759717314481</v>
      </c>
      <c r="H60" s="654">
        <f>F60*0.937</f>
        <v>2121.3679999999999</v>
      </c>
      <c r="I60" s="649">
        <f t="shared" si="5"/>
        <v>204.42200000000003</v>
      </c>
      <c r="J60" s="649">
        <f t="shared" si="6"/>
        <v>15220.035588000001</v>
      </c>
      <c r="K60" s="649">
        <f t="shared" si="7"/>
        <v>383.38920000000002</v>
      </c>
      <c r="L60" s="649">
        <f t="shared" si="8"/>
        <v>2378.7382914</v>
      </c>
      <c r="M60" s="649">
        <f t="shared" si="9"/>
        <v>848.54719999999998</v>
      </c>
      <c r="N60" s="648">
        <f t="shared" si="10"/>
        <v>5264.8111023999991</v>
      </c>
      <c r="O60" s="650">
        <f t="shared" si="11"/>
        <v>2886.0728109999991</v>
      </c>
      <c r="R60" s="488"/>
      <c r="S60" s="488"/>
      <c r="T60" s="488"/>
      <c r="X60" s="488"/>
    </row>
    <row r="61" spans="1:24" s="635" customFormat="1" x14ac:dyDescent="0.25">
      <c r="A61" s="644" t="s">
        <v>518</v>
      </c>
      <c r="B61" s="645">
        <v>15</v>
      </c>
      <c r="C61" s="645">
        <v>3</v>
      </c>
      <c r="D61" s="645">
        <v>2</v>
      </c>
      <c r="E61" s="646">
        <v>2264</v>
      </c>
      <c r="F61" s="645">
        <v>2353</v>
      </c>
      <c r="G61" s="647">
        <f t="shared" si="3"/>
        <v>0.96217594560135999</v>
      </c>
      <c r="H61" s="648">
        <f>F61*0.937</f>
        <v>2204.761</v>
      </c>
      <c r="I61" s="649"/>
      <c r="J61" s="649">
        <f t="shared" si="6"/>
        <v>0</v>
      </c>
      <c r="K61" s="649">
        <f t="shared" si="7"/>
        <v>452.8</v>
      </c>
      <c r="L61" s="649">
        <f t="shared" si="8"/>
        <v>1123.7590399999999</v>
      </c>
      <c r="M61" s="649">
        <f>E61*0.4</f>
        <v>905.6</v>
      </c>
      <c r="N61" s="648">
        <f t="shared" si="10"/>
        <v>2247.5180799999998</v>
      </c>
      <c r="O61" s="650">
        <f t="shared" si="11"/>
        <v>1123.7590399999999</v>
      </c>
      <c r="R61" s="488"/>
      <c r="S61" s="488"/>
      <c r="T61" s="488"/>
      <c r="X61" s="488"/>
    </row>
    <row r="62" spans="1:24" s="635" customFormat="1" x14ac:dyDescent="0.25">
      <c r="A62" s="655" t="s">
        <v>519</v>
      </c>
      <c r="B62" s="645">
        <v>16</v>
      </c>
      <c r="C62" s="645">
        <v>3</v>
      </c>
      <c r="D62" s="645">
        <v>1</v>
      </c>
      <c r="E62" s="646">
        <v>2441</v>
      </c>
      <c r="F62" s="645">
        <v>2441</v>
      </c>
      <c r="G62" s="647">
        <f t="shared" si="3"/>
        <v>1</v>
      </c>
      <c r="H62" s="648">
        <f>F62*0.937</f>
        <v>2287.2170000000001</v>
      </c>
      <c r="I62" s="649"/>
      <c r="J62" s="649">
        <f t="shared" si="6"/>
        <v>0</v>
      </c>
      <c r="K62" s="649">
        <f t="shared" si="7"/>
        <v>488.20000000000005</v>
      </c>
      <c r="L62" s="649">
        <f t="shared" si="8"/>
        <v>605.80737999999997</v>
      </c>
      <c r="M62" s="649">
        <f>E62*0.4</f>
        <v>976.40000000000009</v>
      </c>
      <c r="N62" s="648">
        <f t="shared" si="10"/>
        <v>1211.6147599999999</v>
      </c>
      <c r="O62" s="650">
        <f t="shared" si="11"/>
        <v>605.80737999999997</v>
      </c>
      <c r="R62" s="488"/>
      <c r="S62" s="488"/>
      <c r="T62" s="488"/>
      <c r="X62" s="488"/>
    </row>
    <row r="63" spans="1:24" s="635" customFormat="1" x14ac:dyDescent="0.25">
      <c r="A63" s="660" t="s">
        <v>520</v>
      </c>
      <c r="B63" s="661"/>
      <c r="C63" s="661"/>
      <c r="D63" s="661"/>
      <c r="E63" s="661"/>
      <c r="F63" s="661"/>
      <c r="G63" s="661"/>
      <c r="H63" s="661"/>
      <c r="I63" s="661"/>
      <c r="J63" s="656">
        <f>SUBTOTAL(9,J46:J62)</f>
        <v>258192.54759802908</v>
      </c>
      <c r="K63" s="657"/>
      <c r="L63" s="656">
        <f>SUBTOTAL(9,L46:L62)</f>
        <v>33205.143828</v>
      </c>
      <c r="M63" s="656"/>
      <c r="N63" s="656">
        <f>SUBTOTAL(9,N46:N62)</f>
        <v>75016.705909267621</v>
      </c>
      <c r="O63" s="658">
        <f>N63-L63</f>
        <v>41811.562081267621</v>
      </c>
      <c r="R63" s="488"/>
      <c r="S63" s="488"/>
      <c r="T63" s="488"/>
      <c r="X63" s="488"/>
    </row>
    <row r="64" spans="1:24" s="635" customFormat="1" ht="27" customHeight="1" thickBot="1" x14ac:dyDescent="0.3">
      <c r="A64" s="664" t="s">
        <v>521</v>
      </c>
      <c r="B64" s="662"/>
      <c r="C64" s="662"/>
      <c r="D64" s="662"/>
      <c r="E64" s="662"/>
      <c r="F64" s="662"/>
      <c r="G64" s="662"/>
      <c r="H64" s="662"/>
      <c r="I64" s="662"/>
      <c r="J64" s="662"/>
      <c r="K64" s="662"/>
      <c r="L64" s="662"/>
      <c r="M64" s="662"/>
      <c r="N64" s="663"/>
      <c r="O64" s="659">
        <f>J63+O63</f>
        <v>300004.10967929673</v>
      </c>
      <c r="R64" s="488"/>
      <c r="S64" s="488"/>
      <c r="T64" s="488"/>
      <c r="X64" s="488"/>
    </row>
    <row r="65" spans="1:18" ht="15.75" thickBot="1" x14ac:dyDescent="0.3"/>
    <row r="66" spans="1:18" s="2" customFormat="1" ht="17.25" customHeight="1" thickBot="1" x14ac:dyDescent="0.3">
      <c r="A66" s="1055" t="s">
        <v>368</v>
      </c>
      <c r="B66" s="1056"/>
      <c r="C66" s="1056"/>
      <c r="D66" s="1056"/>
      <c r="E66" s="1056"/>
      <c r="F66" s="1056"/>
      <c r="G66" s="1056"/>
      <c r="H66" s="1056"/>
      <c r="I66" s="1056"/>
      <c r="J66" s="1056"/>
      <c r="K66" s="1056"/>
      <c r="L66" s="1056"/>
      <c r="M66" s="1056"/>
      <c r="N66" s="1056"/>
      <c r="O66" s="905">
        <f>O64+L41</f>
        <v>500000.35976729676</v>
      </c>
      <c r="P66" s="471"/>
      <c r="Q66" s="4"/>
    </row>
    <row r="67" spans="1:18" ht="13.5" customHeight="1" thickBot="1" x14ac:dyDescent="0.3">
      <c r="A67" s="906"/>
      <c r="B67" s="906"/>
      <c r="C67" s="906"/>
      <c r="D67" s="906"/>
      <c r="E67" s="906"/>
      <c r="F67" s="906"/>
      <c r="G67" s="906"/>
      <c r="H67" s="906"/>
      <c r="I67" s="906"/>
      <c r="J67" s="906"/>
      <c r="K67" s="906"/>
      <c r="L67" s="906"/>
      <c r="M67" s="906"/>
      <c r="N67" s="906"/>
      <c r="O67" s="906"/>
      <c r="P67" s="903"/>
    </row>
    <row r="68" spans="1:18" s="52" customFormat="1" ht="15" customHeight="1" x14ac:dyDescent="0.25">
      <c r="A68" s="907" t="s">
        <v>356</v>
      </c>
      <c r="B68" s="908"/>
      <c r="C68" s="908"/>
      <c r="D68" s="908"/>
      <c r="E68" s="908"/>
      <c r="F68" s="908"/>
      <c r="G68" s="908"/>
      <c r="H68" s="908"/>
      <c r="I68" s="908"/>
      <c r="J68" s="908"/>
      <c r="K68" s="908"/>
      <c r="L68" s="908"/>
      <c r="M68" s="908"/>
      <c r="N68" s="908"/>
      <c r="O68" s="909">
        <v>478550</v>
      </c>
      <c r="P68" s="904"/>
      <c r="Q68" s="406"/>
      <c r="R68" s="433"/>
    </row>
    <row r="69" spans="1:18" s="52" customFormat="1" ht="15.75" x14ac:dyDescent="0.25">
      <c r="A69" s="910" t="s">
        <v>359</v>
      </c>
      <c r="B69" s="911"/>
      <c r="C69" s="911"/>
      <c r="D69" s="911"/>
      <c r="E69" s="911"/>
      <c r="F69" s="911"/>
      <c r="G69" s="911"/>
      <c r="H69" s="911"/>
      <c r="I69" s="911"/>
      <c r="J69" s="911"/>
      <c r="K69" s="911"/>
      <c r="L69" s="911"/>
      <c r="M69" s="911"/>
      <c r="N69" s="911"/>
      <c r="O69" s="912">
        <v>21450</v>
      </c>
      <c r="P69" s="904"/>
      <c r="Q69" s="406"/>
    </row>
    <row r="70" spans="1:18" s="2" customFormat="1" ht="16.5" thickBot="1" x14ac:dyDescent="0.3">
      <c r="A70" s="913" t="s">
        <v>360</v>
      </c>
      <c r="B70" s="914"/>
      <c r="C70" s="914"/>
      <c r="D70" s="914"/>
      <c r="E70" s="914"/>
      <c r="F70" s="914"/>
      <c r="G70" s="914"/>
      <c r="H70" s="914"/>
      <c r="I70" s="914"/>
      <c r="J70" s="914"/>
      <c r="K70" s="914"/>
      <c r="L70" s="914"/>
      <c r="M70" s="914"/>
      <c r="N70" s="914"/>
      <c r="O70" s="915">
        <f>O69+O68</f>
        <v>500000</v>
      </c>
      <c r="P70" s="471"/>
      <c r="Q70" s="4"/>
    </row>
    <row r="72" spans="1:18" s="11" customFormat="1" ht="18.75" x14ac:dyDescent="0.25">
      <c r="B72" s="371" t="s">
        <v>363</v>
      </c>
      <c r="D72" s="372"/>
      <c r="E72" s="372"/>
      <c r="F72" s="372"/>
      <c r="G72" s="373"/>
      <c r="H72" s="374"/>
      <c r="I72" s="375"/>
      <c r="J72" s="374"/>
      <c r="K72" s="372"/>
      <c r="L72" s="376" t="s">
        <v>364</v>
      </c>
      <c r="M72" s="372"/>
      <c r="N72" s="1"/>
      <c r="O72" s="375"/>
      <c r="P72" s="1"/>
      <c r="Q72" s="1"/>
    </row>
    <row r="73" spans="1:18" s="11" customFormat="1" ht="12.75" customHeight="1" x14ac:dyDescent="0.25">
      <c r="B73" s="371"/>
      <c r="D73" s="372"/>
      <c r="E73" s="372"/>
      <c r="F73" s="372"/>
      <c r="G73" s="373"/>
      <c r="H73" s="374"/>
      <c r="I73" s="375"/>
      <c r="J73" s="374"/>
      <c r="K73" s="372"/>
      <c r="L73" s="375"/>
      <c r="M73" s="372"/>
      <c r="N73" s="1"/>
      <c r="O73" s="375"/>
      <c r="P73" s="1"/>
      <c r="Q73" s="1"/>
    </row>
    <row r="74" spans="1:18" s="11" customFormat="1" ht="12.75" customHeight="1" x14ac:dyDescent="0.25">
      <c r="B74" s="371"/>
      <c r="D74" s="372"/>
      <c r="E74" s="372"/>
      <c r="F74" s="372"/>
      <c r="G74" s="373"/>
      <c r="H74" s="374"/>
      <c r="I74" s="375"/>
      <c r="J74" s="374"/>
      <c r="K74" s="372"/>
      <c r="L74" s="376"/>
      <c r="M74" s="372"/>
      <c r="N74" s="1"/>
      <c r="O74" s="375"/>
      <c r="P74" s="1"/>
      <c r="Q74" s="1"/>
    </row>
    <row r="75" spans="1:18" s="11" customFormat="1" ht="18.75" x14ac:dyDescent="0.25">
      <c r="B75" s="371" t="s">
        <v>371</v>
      </c>
      <c r="D75" s="372"/>
      <c r="E75" s="372"/>
      <c r="F75" s="372"/>
      <c r="G75" s="373"/>
      <c r="H75" s="374"/>
      <c r="I75" s="375"/>
      <c r="J75" s="374"/>
      <c r="K75" s="372"/>
      <c r="L75" s="376" t="s">
        <v>372</v>
      </c>
      <c r="M75" s="372"/>
      <c r="N75" s="1"/>
      <c r="O75" s="375"/>
      <c r="P75" s="1"/>
      <c r="Q75" s="1"/>
    </row>
    <row r="76" spans="1:18" s="11" customFormat="1" ht="12.75" x14ac:dyDescent="0.25">
      <c r="A76" s="368"/>
      <c r="B76" s="367"/>
      <c r="D76" s="368"/>
      <c r="E76" s="368"/>
      <c r="F76" s="368"/>
      <c r="G76" s="369"/>
      <c r="H76" s="370"/>
      <c r="I76" s="1"/>
      <c r="J76" s="370"/>
      <c r="K76" s="368"/>
      <c r="L76" s="390"/>
      <c r="M76" s="368"/>
      <c r="N76" s="1"/>
      <c r="O76" s="1"/>
      <c r="P76" s="1"/>
      <c r="Q76" s="1"/>
    </row>
    <row r="77" spans="1:18" s="11" customFormat="1" ht="5.25" customHeight="1" x14ac:dyDescent="0.25">
      <c r="A77" s="368"/>
      <c r="B77" s="367"/>
      <c r="D77" s="368"/>
      <c r="E77" s="368"/>
      <c r="F77" s="368"/>
      <c r="G77" s="369"/>
      <c r="H77" s="370"/>
      <c r="I77" s="1"/>
      <c r="J77" s="370"/>
      <c r="K77" s="368"/>
      <c r="L77" s="390"/>
      <c r="M77" s="368"/>
      <c r="N77" s="1"/>
      <c r="O77" s="1"/>
      <c r="P77" s="1"/>
      <c r="Q77" s="1"/>
    </row>
    <row r="78" spans="1:18" s="11" customFormat="1" ht="5.25" customHeight="1" x14ac:dyDescent="0.25">
      <c r="A78" s="368"/>
      <c r="B78" s="367"/>
      <c r="D78" s="368"/>
      <c r="E78" s="368"/>
      <c r="F78" s="368"/>
      <c r="G78" s="369"/>
      <c r="H78" s="370"/>
      <c r="I78" s="1"/>
      <c r="J78" s="370"/>
      <c r="K78" s="368"/>
      <c r="L78" s="390"/>
      <c r="M78" s="368"/>
      <c r="N78" s="1"/>
      <c r="O78" s="1"/>
      <c r="P78" s="1"/>
      <c r="Q78" s="1"/>
    </row>
    <row r="79" spans="1:18" s="11" customFormat="1" x14ac:dyDescent="0.25">
      <c r="B79" s="366" t="s">
        <v>365</v>
      </c>
      <c r="D79" s="368"/>
      <c r="E79" s="368"/>
      <c r="F79" s="368"/>
      <c r="G79" s="369"/>
      <c r="H79" s="370"/>
      <c r="I79" s="1"/>
      <c r="J79" s="370"/>
      <c r="K79" s="368"/>
      <c r="L79" s="390"/>
      <c r="M79" s="368"/>
      <c r="N79" s="1"/>
      <c r="O79" s="1"/>
      <c r="P79" s="1"/>
      <c r="Q79" s="1"/>
    </row>
    <row r="80" spans="1:18" s="11" customFormat="1" x14ac:dyDescent="0.25">
      <c r="B80" s="377" t="s">
        <v>366</v>
      </c>
      <c r="D80" s="368"/>
      <c r="E80" s="368"/>
      <c r="F80" s="368"/>
      <c r="G80" s="369"/>
      <c r="H80" s="370"/>
      <c r="I80" s="1"/>
      <c r="J80" s="370"/>
      <c r="K80" s="368"/>
      <c r="L80" s="390"/>
      <c r="M80" s="368"/>
      <c r="N80" s="1"/>
      <c r="O80" s="1"/>
      <c r="P80" s="1"/>
      <c r="Q80" s="1"/>
    </row>
    <row r="81" spans="2:17" s="11" customFormat="1" ht="12.75" x14ac:dyDescent="0.25">
      <c r="B81" s="367"/>
      <c r="C81" s="368"/>
      <c r="D81" s="368"/>
      <c r="E81" s="368"/>
      <c r="F81" s="368"/>
      <c r="G81" s="369"/>
      <c r="H81" s="370"/>
      <c r="I81" s="1"/>
      <c r="J81" s="370"/>
      <c r="K81" s="368"/>
      <c r="L81" s="390"/>
      <c r="M81" s="368"/>
      <c r="N81" s="1"/>
      <c r="O81" s="1"/>
      <c r="P81" s="1"/>
      <c r="Q81" s="1"/>
    </row>
    <row r="82" spans="2:17" s="11" customFormat="1" ht="12.75" x14ac:dyDescent="0.25">
      <c r="B82" s="367"/>
      <c r="C82" s="368"/>
      <c r="D82" s="368"/>
      <c r="E82" s="368"/>
      <c r="F82" s="368"/>
      <c r="G82" s="369"/>
      <c r="H82" s="370"/>
      <c r="I82" s="1"/>
      <c r="J82" s="370"/>
      <c r="K82" s="368"/>
      <c r="L82" s="390"/>
      <c r="M82" s="368"/>
      <c r="N82" s="1"/>
      <c r="O82" s="1"/>
      <c r="P82" s="1"/>
      <c r="Q82" s="1"/>
    </row>
  </sheetData>
  <mergeCells count="1">
    <mergeCell ref="A66:N66"/>
  </mergeCells>
  <conditionalFormatting sqref="V45:V64">
    <cfRule type="cellIs" dxfId="2" priority="1" operator="between">
      <formula>0.6999</formula>
      <formula>0.5</formula>
    </cfRule>
    <cfRule type="cellIs" dxfId="1" priority="2" operator="between">
      <formula>0.7999</formula>
      <formula>0.7</formula>
    </cfRule>
    <cfRule type="cellIs" dxfId="0" priority="3" operator="between">
      <formula>0.8999</formula>
      <formula>0.8</formula>
    </cfRule>
  </conditionalFormatting>
  <hyperlinks>
    <hyperlink ref="B80" r:id="rId1"/>
  </hyperlinks>
  <pageMargins left="0.23622047244094491" right="0" top="0" bottom="0.74803149606299213" header="0.31496062992125984" footer="0.31496062992125984"/>
  <pageSetup paperSize="9" scale="71" orientation="landscape" verticalDpi="0" r:id="rId2"/>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pielikums</vt:lpstr>
      <vt:lpstr>pielikuma turpinājums</vt:lpstr>
      <vt:lpstr>pielikuma turpinājums2</vt:lpstr>
      <vt:lpstr>pielikuma turpinājums3</vt:lpstr>
      <vt:lpstr>'pielikuma turpinājums2'!Print_Area</vt:lpstr>
      <vt:lpstr>'pielikuma turpinājums3'!Print_Area</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 Supulniece</dc:creator>
  <cp:lastModifiedBy>VM_Sandra_Kasparenko</cp:lastModifiedBy>
  <cp:lastPrinted>2017-11-30T06:43:41Z</cp:lastPrinted>
  <dcterms:created xsi:type="dcterms:W3CDTF">2017-09-26T10:19:31Z</dcterms:created>
  <dcterms:modified xsi:type="dcterms:W3CDTF">2017-11-30T06:43:57Z</dcterms:modified>
</cp:coreProperties>
</file>