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35" windowWidth="13275" windowHeight="9120" tabRatio="783" firstSheet="1" activeTab="20"/>
  </bookViews>
  <sheets>
    <sheet name="Saturs" sheetId="1" state="hidden" r:id="rId1"/>
    <sheet name="Satura rādītājs" sheetId="2" r:id="rId2"/>
    <sheet name="1.1." sheetId="3" r:id="rId3"/>
    <sheet name="1.2." sheetId="4" r:id="rId4"/>
    <sheet name="1.3." sheetId="5" r:id="rId5"/>
    <sheet name="1.4." sheetId="6" r:id="rId6"/>
    <sheet name="1.5." sheetId="7" r:id="rId7"/>
    <sheet name="1.6.1." sheetId="8" r:id="rId8"/>
    <sheet name="1.6.2." sheetId="9" r:id="rId9"/>
    <sheet name="2.1." sheetId="10" r:id="rId10"/>
    <sheet name="2.2." sheetId="11" r:id="rId11"/>
    <sheet name="2.3." sheetId="12" r:id="rId12"/>
    <sheet name="2.4." sheetId="13" r:id="rId13"/>
    <sheet name="2.5." sheetId="14" r:id="rId14"/>
    <sheet name="2.6." sheetId="15" r:id="rId15"/>
    <sheet name="3.1.1." sheetId="16" r:id="rId16"/>
    <sheet name="3.1.2." sheetId="17" r:id="rId17"/>
    <sheet name="3.1.3." sheetId="18" r:id="rId18"/>
    <sheet name="3.2.1." sheetId="19" r:id="rId19"/>
    <sheet name="3.2.2." sheetId="20" r:id="rId20"/>
    <sheet name="3.2.3." sheetId="21" r:id="rId21"/>
  </sheets>
  <definedNames/>
  <calcPr fullCalcOnLoad="1"/>
</workbook>
</file>

<file path=xl/sharedStrings.xml><?xml version="1.0" encoding="utf-8"?>
<sst xmlns="http://schemas.openxmlformats.org/spreadsheetml/2006/main" count="1484" uniqueCount="169">
  <si>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</si>
  <si>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</si>
  <si>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</si>
  <si>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</si>
  <si>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</si>
  <si>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Maksas pakalpojuma izcenojuma aprēķins</t>
  </si>
  <si>
    <t>Informācijas sistēmas uzturēšana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</si>
  <si>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</si>
  <si>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</si>
  <si>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</si>
  <si>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</si>
  <si>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 Ēku, telpu īre un noma</t>
  </si>
  <si>
    <t> Transportlīdzekļu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</si>
  <si>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</si>
  <si>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</si>
  <si>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</si>
  <si>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</si>
  <si>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</si>
  <si>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</si>
  <si>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</si>
  <si>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</si>
  <si>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 Mācību līdzekļi un materiāli</t>
  </si>
  <si>
    <t> Budžeta iestāžu nekustamā īpašuma nodokļa (t.sk. zemes nodokļa parāda) maksājumi budžetā</t>
  </si>
  <si>
    <t xml:space="preserve"> Saimniecības pamatlīdzekļi</t>
  </si>
  <si>
    <t> Pārējie budžeta iestāžu pārskaitītie nodokļi un nodevas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</si>
  <si>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</si>
  <si>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</si>
  <si>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</si>
  <si>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</si>
  <si>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</si>
  <si>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</si>
  <si>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 Izdevumi periodikas iegādei</t>
  </si>
  <si>
    <t>Pakalpojumu izmaksas kopā</t>
  </si>
  <si>
    <t xml:space="preserve">Bezdarbnieku stipendijas </t>
  </si>
  <si>
    <t>Stipendijas</t>
  </si>
  <si>
    <t>SASKAŅOTS</t>
  </si>
  <si>
    <t xml:space="preserve">                                                                   (amats)    (vārds, uzvārds)    (paraksts)</t>
  </si>
  <si>
    <t>Prognozētais maksas pakalpojumu skaits gadā (gab.)*</t>
  </si>
  <si>
    <t>Piezīme. *Ailes neaizpilda, ja izvēlētais laikposms ir viens gads.</t>
  </si>
  <si>
    <t>Sociālās integrācijas valsts aģentūras</t>
  </si>
  <si>
    <t>sākotnējās ietekmes novērtējuma ziņojumam (anotācijai)</t>
  </si>
  <si>
    <t>Satura rādītājs</t>
  </si>
  <si>
    <t>Izmaksu apjoms noteiktā laikposmā viena maksas pakalpojuma veida nodrošināšanai (2014)</t>
  </si>
  <si>
    <t>Izmaksu apjoms noteiktā laikposmā viena maksas pakalpojuma veida nodrošināšanai (2014.gada I.pusgads)</t>
  </si>
  <si>
    <t>Izmaksu apjoms noteiktā laikposmā viena maksas pakalpojuma veida nodrošināšanai (2014.gada II.pusgads)</t>
  </si>
  <si>
    <t xml:space="preserve">Maksas pakalpojuma vienību skaits noteiktā laikposmā </t>
  </si>
  <si>
    <t>Maksas pakalpojuma izcenojums (euro)</t>
  </si>
  <si>
    <t>Aprēķinu sastādīja: SIVA Finanšu nodaļas vecākā finanšu ekonomiste Anita Ozoliņa</t>
  </si>
  <si>
    <t>1.pielikums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</si>
  <si>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</si>
  <si>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</si>
  <si>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</si>
  <si>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Izmaksu apjoms noteiktā laikposmā viena maksas pakalpojuma veida nodrošināšanai (2014.gada)</t>
  </si>
  <si>
    <t xml:space="preserve">Izmaksu apjoms noteiktā laikposmā viena maksas pakalpojuma veida nodrošināšanai </t>
  </si>
  <si>
    <t>Prognozētie ieņēmumi gadā (euro)*</t>
  </si>
  <si>
    <t xml:space="preserve">Prognozētie ieņēmumi gadā (euro)* </t>
  </si>
  <si>
    <t>1.1. 480 stundu programma</t>
  </si>
  <si>
    <t>direktore I.Jurševska</t>
  </si>
  <si>
    <t xml:space="preserve"> Pārējie pamatlīdzekļi</t>
  </si>
  <si>
    <t xml:space="preserve"> Budžeta iestāžu dabas resursu nodokļa maksājumi</t>
  </si>
  <si>
    <t xml:space="preserve"> Apdrošināšanas izdevumi</t>
  </si>
  <si>
    <t xml:space="preserve"> Informācijas sistēmas uzturēšana</t>
  </si>
  <si>
    <t xml:space="preserve"> Pārējie informācijas tehnoloģiju pakalpojumi</t>
  </si>
  <si>
    <t xml:space="preserve"> Darba devēja valsts sociālās apdrošināšanas obligātās iemaksas, sociāla rakstura pabalsti un kompensācijas</t>
  </si>
  <si>
    <t xml:space="preserve"> Atalgojums</t>
  </si>
  <si>
    <t xml:space="preserve"> Netiešās izmaksas </t>
  </si>
  <si>
    <t xml:space="preserve"> Tiešās izmaksas kopā</t>
  </si>
  <si>
    <t xml:space="preserve"> Netiešās izmaksas kopā</t>
  </si>
  <si>
    <t xml:space="preserve"> Pakalpojumu izmaksas kopā</t>
  </si>
  <si>
    <t xml:space="preserve"> Tiešās izmaksas </t>
  </si>
  <si>
    <t xml:space="preserve"> Mācību līdzekļi un materiāli</t>
  </si>
  <si>
    <t>1.1.</t>
  </si>
  <si>
    <t>1.2.</t>
  </si>
  <si>
    <t>1.1. 570 stundu programma</t>
  </si>
  <si>
    <t xml:space="preserve"> Biroja preces</t>
  </si>
  <si>
    <t>1.3.</t>
  </si>
  <si>
    <t>1.4.</t>
  </si>
  <si>
    <t>1.3. 640 stundu programma</t>
  </si>
  <si>
    <t>1.4. 960 stundu programma</t>
  </si>
  <si>
    <t>2.3.</t>
  </si>
  <si>
    <t>2.4.</t>
  </si>
  <si>
    <t xml:space="preserve"> Profesionālās pilnveides un tālākizglītības programmas, 480 stundu programma</t>
  </si>
  <si>
    <t xml:space="preserve"> Profesionālās pilnveides un tālākizglītības programmas, 570 stundu programma</t>
  </si>
  <si>
    <t xml:space="preserve"> Profesionālās pilnveides un tālākizglītības programmas, 640 stundu programma</t>
  </si>
  <si>
    <t xml:space="preserve"> Profesionālās pilnveides un tālākizglītības programmas, 960 stundu programma</t>
  </si>
  <si>
    <t>3.1.3.</t>
  </si>
  <si>
    <t>3.2.3.</t>
  </si>
  <si>
    <t>Sadzīves akritumu savākšana, izvešana</t>
  </si>
  <si>
    <t xml:space="preserve"> </t>
  </si>
  <si>
    <t>3. Pirmā līmeņa profesionālās augstākās izglītības (koledžas izglītības) programmas</t>
  </si>
  <si>
    <t>3.1.1. Studiju virzienu "Ekonomika", "Vadība, administrēšana un nekustamo īpašumu pārvaldība"studiju programmas</t>
  </si>
  <si>
    <t>3.1. Studiju programmas pilna laika studijām</t>
  </si>
  <si>
    <t>3.1.2.Studiju virziena "Informācijas tehnoloģija, datortehnika, elektronika, telekomunikācijas, datorvadība un datorzinātne"studiju programmas</t>
  </si>
  <si>
    <t>3.1.3.  Studiju virziena 'Viesnīcu un restorānu serviss, tūrisma un atpūtas organizācija" studiju programmas</t>
  </si>
  <si>
    <t>3.1. Studiju programmas nepilna laika studijām</t>
  </si>
  <si>
    <t>3.2.1. Studiju virzienu "Ekonomika", "Vadība, administrēšana un nekustamo īpašumu pārvaldība"studiju programmas</t>
  </si>
  <si>
    <t>3.2. Studiju programmas nepilna laika studijām</t>
  </si>
  <si>
    <t>3.2.2. Studiju virziena 'Viesnīcu un restorānu serviss, tūrisma un atpūtas organizācija" studiju programmas</t>
  </si>
  <si>
    <t>3.2.3.Studiju virziena "Informācijas tehnoloģija, datortehnika, elektronika, telekomunikācijas, datorvadība un datorzinātne"studiju programmas</t>
  </si>
  <si>
    <t>2018.gadā un turpmāk</t>
  </si>
  <si>
    <t>1.5.</t>
  </si>
  <si>
    <t xml:space="preserve"> Profesionālās pilnveides un tālākizglītības programmas, 720 stundu programma</t>
  </si>
  <si>
    <t>2.5.</t>
  </si>
  <si>
    <t>2.1.</t>
  </si>
  <si>
    <t>2.2.</t>
  </si>
  <si>
    <t>2.1. Ēdināšanas pakalpojumi</t>
  </si>
  <si>
    <t>2.3. Datoru lietošana</t>
  </si>
  <si>
    <t>2.4. Šūto izstrādājumu ražošanas tehnoloģija</t>
  </si>
  <si>
    <t>2.5. Elektronika un elektrotehnika</t>
  </si>
  <si>
    <t>2.2. Datorsistēmas</t>
  </si>
  <si>
    <t>3.1.1.</t>
  </si>
  <si>
    <t xml:space="preserve">Pirmā līmeņa profesionālās augstākās izglītības (koledžas izglītības) programmas, Studiju programmas pilna laika studijām, Studiju virzienu "Ekonomika" un "Vadība, administrēšana un nekustamo īpašumu pārvaldība" studiju programmas </t>
  </si>
  <si>
    <t xml:space="preserve"> Profesionālās pamatizglītības programmas, arodizglītības programmas un profesionālās vidējās izglītības programmas,  Ēdināšanas pakalpojumi</t>
  </si>
  <si>
    <t>Profesionālās pamatizglītības programmas, arodizglītības programmas un profesionālās vidējās izglītības programmas, Datorsistēmas</t>
  </si>
  <si>
    <t xml:space="preserve"> Profesionālās pamatizglītības programmas, arodizglītības programmas un profesionālās vidējās izglītības programmas, Datoru lietošana</t>
  </si>
  <si>
    <t xml:space="preserve"> Profesionālās pamatizglītības programmas, arodizglītības programmas un profesionālās vidējās izglītības programmas, Šūto izstrādājumu ražošanas tehnoloģija</t>
  </si>
  <si>
    <t>Profesionālās pamatizglītības programmas, arodizglītības programmas un profesionālās vidējās izglītības programmas, Elektronika un elektrotehnika</t>
  </si>
  <si>
    <t>Pirmā līmeņa profesionālās augstākās izglītības (koledžas izglītības) programmas, Studiju programmas pilna laika studijām, Studiju virziena "Viesnīcu un restorānu serviss, tūrisma un atpūtas organizācija" studiju programmas</t>
  </si>
  <si>
    <t>3.1.2.</t>
  </si>
  <si>
    <t xml:space="preserve">Pirmā līmeņa profesionālās augstākās izglītības (koledžas izglītības) programmas, Studiju programmas pilna laika studijām, Studiju virziena "Informācijas tehnoloģija, datortehnika, elektronika, telekomunikācijas un datorzinātne" studiju programmas </t>
  </si>
  <si>
    <t xml:space="preserve">Pirmā līmeņa profesionālās augstākās izglītības (koledžas izglītības) programmas, Studiju programmas nepilna laika studijām, Studiju virzienu "Ekonomika" un "Vadība, administrēšana un nekustamo īpašumu pārvaldība" studiju programmas </t>
  </si>
  <si>
    <t>3.2.1.</t>
  </si>
  <si>
    <t>3.2.2.</t>
  </si>
  <si>
    <t xml:space="preserve">Pirmā līmeņa profesionālās augstākās izglītības (koledžas izglītības) programmas, Studiju programmas nepilna laika studijām, Studiju virziena "Informācijas tehnoloģija, datortehnika, elektronika, telekomunikācijas un datorzinātne" studiju programmas </t>
  </si>
  <si>
    <t>Pirmā līmeņa profesionālās augstākās izglītības (koledžas izglītības) programmas, Studiju programmas nepilna laika studijām, Studiju virziena "Viesnīcu un restorānu serviss, tūrisma un atpūtas organizācija" studiju programmas</t>
  </si>
  <si>
    <t>2.6.</t>
  </si>
  <si>
    <t>Profesionālās pamatizglītības programmas, arodizglītības programmas un profesionālās vidējās izglītības programmas, Metālapstrāde</t>
  </si>
  <si>
    <t>2.6. Metālapstrāde</t>
  </si>
  <si>
    <t>1.5. 720 stundu programma</t>
  </si>
  <si>
    <t xml:space="preserve"> Datortehnika, sakaru un cita biroja tehnika</t>
  </si>
  <si>
    <t>1.6. Tālākizglītības kursi, semināri, lekcijas</t>
  </si>
  <si>
    <t>2017. gada       .decembrī</t>
  </si>
  <si>
    <t>2017. gada .        Decembrī</t>
  </si>
  <si>
    <t>2017. gada .       decembrī</t>
  </si>
  <si>
    <t>1.6.1.  vienai personai grupā līdz 24 personām (1 stunda)</t>
  </si>
  <si>
    <t>1.6.2.  vienai personai grupā vairāk par 24 personām (1 stunda)</t>
  </si>
  <si>
    <t>2017. gada     .decembrī</t>
  </si>
  <si>
    <t>2017. gada    .decembrī</t>
  </si>
  <si>
    <t>2017. gada _.decembris</t>
  </si>
  <si>
    <t>2017. gada __. decembris</t>
  </si>
  <si>
    <t>2017. gada __.decembris</t>
  </si>
  <si>
    <t>2017. gada __.decembrī</t>
  </si>
  <si>
    <t>Ministru kabineta notiekumu projekta "Grozījumi Ministru kabineta 24.09.2013. notiekumu Nr.1002 "Sociālās integrācijas valsts aģentūras sniegto maksas pakalpojumu cenrādis" sākotnējās ietekmes novērtējuma ziņojumam (anotācijai)</t>
  </si>
  <si>
    <t>1.6.1.</t>
  </si>
  <si>
    <t>Profesionālās pilnveides un tālākizglītības programmas, Tālākizglītības kursi, semināri, lekcijas, vienai personai grupā līdz 24 personām (1 stunda)</t>
  </si>
  <si>
    <t>1.6.2.</t>
  </si>
  <si>
    <t>Profesionālās pilnveides un tālākizglītības programmas, Tālākizglītības kursi, semināri, lekcijas, vienai personai grupā vairāk par 24 personām (1 stunda)</t>
  </si>
  <si>
    <t>Pirmā līmeņa profesionālās augstākās izglītības (koledžas izglītības) programmas</t>
  </si>
  <si>
    <t>1. Profesionālās pilnveides izglītības programmas un profesionālās tālākizglītības programmas</t>
  </si>
  <si>
    <t>2. Profesionālās pamatizglītības programmas, arodizglītības programmas un profesionālās vidējās izglītības programmas</t>
  </si>
  <si>
    <t>Profesionālās pilnveides izglītības programmas un profesionālās tālākizglītības programmas</t>
  </si>
  <si>
    <t>570 stundu programma</t>
  </si>
  <si>
    <t>480 stundu programma</t>
  </si>
  <si>
    <t>640 stundu programma</t>
  </si>
  <si>
    <t>960 stundu programma</t>
  </si>
  <si>
    <t>720 stundu programma</t>
  </si>
  <si>
    <t>Profesionālās pamatizglītības programmas, arodizglītības programmas un profesionālās vidējās izglītības programmas</t>
  </si>
  <si>
    <t>Ēdināšanas pakalpojumi</t>
  </si>
  <si>
    <t>Datorprogrammas</t>
  </si>
  <si>
    <t>Datoru lietošana</t>
  </si>
  <si>
    <t>Šūto izstrādājumu ražošanas tehnoloģija</t>
  </si>
  <si>
    <t>Elektronika un elektrotehnika</t>
  </si>
  <si>
    <t>Metālapstrāde</t>
  </si>
  <si>
    <t>Studiju programmas pilna laika studijām,  Studiju virzienu "Ekonomika", "Vadība, administrēšana un nekustamo īpašumu pārvaldība"studiju programmas</t>
  </si>
  <si>
    <t>Studiju programmas pilna laika studijām,  Studiju virziena 'Viesnīcu un restorānu serviss, tūrisma un atpūtas organizācija" studiju programmas</t>
  </si>
  <si>
    <t>Studiju programmas nepilna laika studijām, Studiju virzienu "Ekonomika", "Vadība, administrēšana un nekustamo īpašumu pārvaldība"studiju programmas</t>
  </si>
  <si>
    <t>Studiju programmas pilna laika studijām,  Studiju virziena "Informācijas tehnoloģija, datortehnika, elektronika, telekomunikācijas, datorvadība un datorzinātne"studiju programmas</t>
  </si>
  <si>
    <t>Studiju programmas nepilna laika studijām, Studiju virziena 'Viesnīcu un restorānu serviss, tūrisma un atpūtas organizācija" studiju programmas</t>
  </si>
  <si>
    <t xml:space="preserve">Studiju programmas nepilna laika studijām, Studiju virziena "Informācijas tehnoloģija, datortehnika, elektronika, telekomunikācijas, datorvadība un datorzinātne"studiju programmas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</si>
</sst>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00000000"/>
    <numFmt numFmtId="189" formatCode="0.0000000000000"/>
    <numFmt numFmtId="190" formatCode="0.00000000000000"/>
    <numFmt numFmtId="191" formatCode="0.000000000000000"/>
    <numFmt numFmtId="192" formatCode="&quot;€&quot;\ #,##0.00"/>
  </numFmts>
  <fonts count="60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57" applyFont="1">
      <alignment/>
      <protection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4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57" applyFont="1" applyBorder="1" applyAlignment="1">
      <alignment wrapText="1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2" fontId="6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57" applyFont="1" applyBorder="1">
      <alignment/>
      <protection/>
    </xf>
    <xf numFmtId="0" fontId="3" fillId="0" borderId="11" xfId="57" applyFont="1" applyBorder="1" applyAlignment="1">
      <alignment wrapText="1"/>
      <protection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1" xfId="57" applyFont="1" applyBorder="1" applyAlignment="1">
      <alignment vertical="top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top" wrapText="1"/>
    </xf>
    <xf numFmtId="0" fontId="54" fillId="0" borderId="0" xfId="0" applyFont="1" applyAlignment="1">
      <alignment horizontal="justify"/>
    </xf>
    <xf numFmtId="0" fontId="55" fillId="0" borderId="0" xfId="0" applyFont="1" applyAlignment="1">
      <alignment vertical="top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right" vertical="top"/>
    </xf>
    <xf numFmtId="2" fontId="3" fillId="0" borderId="11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 vertical="top"/>
    </xf>
    <xf numFmtId="2" fontId="3" fillId="0" borderId="0" xfId="57" applyNumberFormat="1" applyFont="1">
      <alignment/>
      <protection/>
    </xf>
    <xf numFmtId="0" fontId="5" fillId="0" borderId="0" xfId="0" applyFont="1" applyAlignment="1">
      <alignment horizontal="left" vertical="center" wrapText="1"/>
    </xf>
    <xf numFmtId="2" fontId="57" fillId="0" borderId="11" xfId="0" applyNumberFormat="1" applyFont="1" applyBorder="1" applyAlignment="1">
      <alignment horizontal="center" vertical="top"/>
    </xf>
    <xf numFmtId="0" fontId="56" fillId="0" borderId="11" xfId="0" applyFont="1" applyBorder="1" applyAlignment="1">
      <alignment/>
    </xf>
    <xf numFmtId="2" fontId="58" fillId="0" borderId="11" xfId="0" applyNumberFormat="1" applyFont="1" applyBorder="1" applyAlignment="1">
      <alignment horizontal="center" vertical="top"/>
    </xf>
    <xf numFmtId="2" fontId="57" fillId="0" borderId="11" xfId="0" applyNumberFormat="1" applyFont="1" applyBorder="1" applyAlignment="1">
      <alignment horizontal="center" vertical="top" wrapText="1"/>
    </xf>
    <xf numFmtId="2" fontId="57" fillId="0" borderId="11" xfId="0" applyNumberFormat="1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left" vertical="top" wrapText="1"/>
    </xf>
    <xf numFmtId="2" fontId="58" fillId="0" borderId="11" xfId="0" applyNumberFormat="1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11" xfId="0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0" fontId="57" fillId="0" borderId="11" xfId="57" applyFont="1" applyBorder="1">
      <alignment/>
      <protection/>
    </xf>
    <xf numFmtId="0" fontId="57" fillId="0" borderId="11" xfId="57" applyFont="1" applyBorder="1" applyAlignment="1">
      <alignment wrapText="1"/>
      <protection/>
    </xf>
    <xf numFmtId="0" fontId="57" fillId="0" borderId="0" xfId="57" applyFont="1">
      <alignment/>
      <protection/>
    </xf>
    <xf numFmtId="0" fontId="57" fillId="0" borderId="0" xfId="57" applyFont="1" applyBorder="1">
      <alignment/>
      <protection/>
    </xf>
    <xf numFmtId="0" fontId="57" fillId="0" borderId="0" xfId="57" applyFont="1" applyAlignment="1">
      <alignment horizontal="center"/>
      <protection/>
    </xf>
    <xf numFmtId="0" fontId="56" fillId="0" borderId="12" xfId="0" applyFont="1" applyBorder="1" applyAlignment="1">
      <alignment/>
    </xf>
    <xf numFmtId="0" fontId="59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2" fontId="0" fillId="0" borderId="0" xfId="0" applyNumberFormat="1" applyFont="1" applyAlignment="1">
      <alignment/>
    </xf>
    <xf numFmtId="181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 vertical="top"/>
    </xf>
    <xf numFmtId="182" fontId="5" fillId="0" borderId="0" xfId="0" applyNumberFormat="1" applyFont="1" applyAlignment="1">
      <alignment/>
    </xf>
    <xf numFmtId="2" fontId="3" fillId="0" borderId="0" xfId="57" applyNumberFormat="1" applyFont="1" applyBorder="1">
      <alignment/>
      <protection/>
    </xf>
    <xf numFmtId="2" fontId="5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/>
    </xf>
    <xf numFmtId="0" fontId="3" fillId="0" borderId="0" xfId="5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0" xfId="57" applyFont="1" applyBorder="1" applyAlignment="1">
      <alignment horizont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192" fontId="0" fillId="0" borderId="0" xfId="0" applyNumberFormat="1" applyAlignment="1">
      <alignment wrapText="1"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57" fillId="0" borderId="0" xfId="0" applyFont="1" applyAlignment="1">
      <alignment horizontal="justify" vertical="top" wrapText="1"/>
    </xf>
    <xf numFmtId="0" fontId="54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57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57" applyFont="1" applyAlignment="1">
      <alignment vertical="top" wrapText="1"/>
      <protection/>
    </xf>
    <xf numFmtId="0" fontId="3" fillId="0" borderId="10" xfId="57" applyFont="1" applyBorder="1" applyAlignment="1">
      <alignment vertical="top" wrapText="1"/>
      <protection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57" applyFont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Layout" zoomScale="90" zoomScalePageLayoutView="90" workbookViewId="0" topLeftCell="B8">
      <selection activeCell="C23" sqref="C23:J23"/>
    </sheetView>
  </sheetViews>
  <sheetFormatPr defaultColWidth="9.140625" defaultRowHeight="12.75"/>
  <cols>
    <col min="1" max="1" width="0" style="0" hidden="1" customWidth="1"/>
    <col min="2" max="2" width="9.421875" style="0" customWidth="1"/>
    <col min="9" max="9" width="23.140625" style="0" customWidth="1"/>
  </cols>
  <sheetData>
    <row r="1" spans="1:18" ht="15.75">
      <c r="A1" s="50"/>
      <c r="B1" s="50"/>
      <c r="C1" s="122" t="s">
        <v>48</v>
      </c>
      <c r="D1" s="122"/>
      <c r="E1" s="122"/>
      <c r="F1" s="122"/>
      <c r="G1" s="122"/>
      <c r="H1" s="122"/>
      <c r="I1" s="122"/>
      <c r="J1" s="122"/>
      <c r="K1" s="4"/>
      <c r="L1" s="4"/>
      <c r="M1" s="4"/>
      <c r="N1" s="4"/>
      <c r="O1" s="4"/>
      <c r="P1" s="4"/>
      <c r="Q1" s="4"/>
      <c r="R1" s="4"/>
    </row>
    <row r="2" spans="1:18" ht="15.75">
      <c r="A2" s="50"/>
      <c r="B2" s="122" t="s">
        <v>49</v>
      </c>
      <c r="C2" s="122"/>
      <c r="D2" s="122"/>
      <c r="E2" s="122"/>
      <c r="F2" s="122"/>
      <c r="G2" s="122"/>
      <c r="H2" s="122"/>
      <c r="I2" s="122"/>
      <c r="J2" s="122"/>
      <c r="K2" s="4"/>
      <c r="L2" s="4"/>
      <c r="M2" s="4"/>
      <c r="N2" s="4"/>
      <c r="O2" s="4"/>
      <c r="P2" s="4"/>
      <c r="Q2" s="4"/>
      <c r="R2" s="4"/>
    </row>
    <row r="3" spans="1:18" ht="15.75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4"/>
      <c r="L3" s="4"/>
      <c r="M3" s="4"/>
      <c r="N3" s="4"/>
      <c r="O3" s="4"/>
      <c r="P3" s="4"/>
      <c r="Q3" s="4"/>
      <c r="R3" s="4"/>
    </row>
    <row r="4" spans="1:18" ht="15.75" customHeight="1">
      <c r="A4" s="50"/>
      <c r="B4" s="122" t="s">
        <v>51</v>
      </c>
      <c r="C4" s="122"/>
      <c r="D4" s="122"/>
      <c r="E4" s="122"/>
      <c r="F4" s="122"/>
      <c r="G4" s="122"/>
      <c r="H4" s="122"/>
      <c r="I4" s="122"/>
      <c r="J4" s="122"/>
      <c r="K4" s="4"/>
      <c r="L4" s="4"/>
      <c r="M4" s="4"/>
      <c r="N4" s="4"/>
      <c r="O4" s="4"/>
      <c r="P4" s="4"/>
      <c r="Q4" s="4"/>
      <c r="R4" s="4"/>
    </row>
    <row r="5" spans="1:18" ht="12.75" customHeight="1">
      <c r="A5" s="50"/>
      <c r="B5" s="50"/>
      <c r="C5" s="50"/>
      <c r="D5" s="50"/>
      <c r="E5" s="8"/>
      <c r="F5" s="122" t="s">
        <v>40</v>
      </c>
      <c r="G5" s="122"/>
      <c r="H5" s="122"/>
      <c r="I5" s="122"/>
      <c r="J5" s="122"/>
      <c r="K5" s="4"/>
      <c r="L5" s="4"/>
      <c r="M5" s="4"/>
      <c r="N5" s="4"/>
      <c r="O5" s="4"/>
      <c r="P5" s="4"/>
      <c r="Q5" s="4"/>
      <c r="R5" s="4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10" ht="18.75">
      <c r="A11" s="1"/>
      <c r="B11" s="126" t="s">
        <v>41</v>
      </c>
      <c r="C11" s="126"/>
      <c r="D11" s="126"/>
      <c r="E11" s="126"/>
      <c r="F11" s="126"/>
      <c r="G11" s="126"/>
      <c r="H11" s="126"/>
      <c r="I11" s="126"/>
      <c r="J11" s="126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10" ht="18.75" customHeight="1">
      <c r="A13" s="1"/>
      <c r="B13" s="51" t="s">
        <v>71</v>
      </c>
      <c r="C13" s="125" t="s">
        <v>81</v>
      </c>
      <c r="D13" s="125"/>
      <c r="E13" s="125"/>
      <c r="F13" s="125"/>
      <c r="G13" s="125"/>
      <c r="H13" s="125"/>
      <c r="I13" s="125"/>
      <c r="J13" s="125"/>
    </row>
    <row r="14" spans="1:10" ht="18.75" customHeight="1">
      <c r="A14" s="1"/>
      <c r="B14" s="51" t="s">
        <v>72</v>
      </c>
      <c r="C14" s="125" t="s">
        <v>82</v>
      </c>
      <c r="D14" s="125"/>
      <c r="E14" s="125"/>
      <c r="F14" s="125"/>
      <c r="G14" s="125"/>
      <c r="H14" s="125"/>
      <c r="I14" s="125"/>
      <c r="J14" s="125"/>
    </row>
    <row r="15" spans="1:10" ht="18.75" customHeight="1">
      <c r="A15" s="1"/>
      <c r="B15" s="51" t="s">
        <v>75</v>
      </c>
      <c r="C15" s="125" t="s">
        <v>83</v>
      </c>
      <c r="D15" s="125"/>
      <c r="E15" s="125"/>
      <c r="F15" s="125"/>
      <c r="G15" s="125"/>
      <c r="H15" s="125"/>
      <c r="I15" s="125"/>
      <c r="J15" s="125"/>
    </row>
    <row r="16" spans="1:10" ht="18.75" customHeight="1">
      <c r="A16" s="1"/>
      <c r="B16" s="51" t="s">
        <v>76</v>
      </c>
      <c r="C16" s="125" t="s">
        <v>84</v>
      </c>
      <c r="D16" s="125"/>
      <c r="E16" s="125"/>
      <c r="F16" s="125"/>
      <c r="G16" s="125"/>
      <c r="H16" s="125"/>
      <c r="I16" s="125"/>
      <c r="J16" s="125"/>
    </row>
    <row r="17" spans="1:10" ht="18.75" customHeight="1">
      <c r="A17" s="1"/>
      <c r="B17" s="51" t="s">
        <v>100</v>
      </c>
      <c r="C17" s="125" t="s">
        <v>101</v>
      </c>
      <c r="D17" s="125"/>
      <c r="E17" s="125"/>
      <c r="F17" s="125"/>
      <c r="G17" s="125"/>
      <c r="H17" s="125"/>
      <c r="I17" s="125"/>
      <c r="J17" s="125"/>
    </row>
    <row r="18" spans="1:10" ht="34.5" customHeight="1">
      <c r="A18" s="1"/>
      <c r="B18" s="51" t="s">
        <v>103</v>
      </c>
      <c r="C18" s="125" t="s">
        <v>112</v>
      </c>
      <c r="D18" s="125"/>
      <c r="E18" s="125"/>
      <c r="F18" s="125"/>
      <c r="G18" s="125"/>
      <c r="H18" s="125"/>
      <c r="I18" s="125"/>
      <c r="J18" s="125"/>
    </row>
    <row r="19" spans="1:10" ht="32.25" customHeight="1">
      <c r="A19" s="1"/>
      <c r="B19" s="51" t="s">
        <v>104</v>
      </c>
      <c r="C19" s="125" t="s">
        <v>113</v>
      </c>
      <c r="D19" s="125"/>
      <c r="E19" s="125"/>
      <c r="F19" s="125"/>
      <c r="G19" s="125"/>
      <c r="H19" s="125"/>
      <c r="I19" s="125"/>
      <c r="J19" s="125"/>
    </row>
    <row r="20" spans="1:10" ht="31.5" customHeight="1">
      <c r="A20" s="1"/>
      <c r="B20" s="51" t="s">
        <v>79</v>
      </c>
      <c r="C20" s="125" t="s">
        <v>114</v>
      </c>
      <c r="D20" s="125"/>
      <c r="E20" s="125"/>
      <c r="F20" s="125"/>
      <c r="G20" s="125"/>
      <c r="H20" s="125"/>
      <c r="I20" s="125"/>
      <c r="J20" s="125"/>
    </row>
    <row r="21" spans="1:10" ht="33" customHeight="1">
      <c r="A21" s="1"/>
      <c r="B21" s="51" t="s">
        <v>80</v>
      </c>
      <c r="C21" s="125" t="s">
        <v>115</v>
      </c>
      <c r="D21" s="125"/>
      <c r="E21" s="125"/>
      <c r="F21" s="125"/>
      <c r="G21" s="125"/>
      <c r="H21" s="125"/>
      <c r="I21" s="125"/>
      <c r="J21" s="125"/>
    </row>
    <row r="22" spans="1:10" ht="33" customHeight="1">
      <c r="A22" s="1"/>
      <c r="B22" s="51" t="s">
        <v>102</v>
      </c>
      <c r="C22" s="125" t="s">
        <v>116</v>
      </c>
      <c r="D22" s="125"/>
      <c r="E22" s="125"/>
      <c r="F22" s="125"/>
      <c r="G22" s="125"/>
      <c r="H22" s="125"/>
      <c r="I22" s="125"/>
      <c r="J22" s="125"/>
    </row>
    <row r="23" spans="1:10" ht="33" customHeight="1">
      <c r="A23" s="1"/>
      <c r="B23" s="51" t="s">
        <v>125</v>
      </c>
      <c r="C23" s="125" t="s">
        <v>126</v>
      </c>
      <c r="D23" s="125"/>
      <c r="E23" s="125"/>
      <c r="F23" s="125"/>
      <c r="G23" s="125"/>
      <c r="H23" s="125"/>
      <c r="I23" s="125"/>
      <c r="J23" s="125"/>
    </row>
    <row r="24" spans="1:10" ht="48" customHeight="1">
      <c r="A24" s="1"/>
      <c r="B24" s="51" t="s">
        <v>110</v>
      </c>
      <c r="C24" s="125" t="s">
        <v>111</v>
      </c>
      <c r="D24" s="125"/>
      <c r="E24" s="125"/>
      <c r="F24" s="125"/>
      <c r="G24" s="125"/>
      <c r="H24" s="125"/>
      <c r="I24" s="125"/>
      <c r="J24" s="125"/>
    </row>
    <row r="25" spans="1:10" ht="48" customHeight="1">
      <c r="A25" s="1"/>
      <c r="B25" s="51" t="s">
        <v>118</v>
      </c>
      <c r="C25" s="125" t="s">
        <v>119</v>
      </c>
      <c r="D25" s="125"/>
      <c r="E25" s="125"/>
      <c r="F25" s="125"/>
      <c r="G25" s="125"/>
      <c r="H25" s="125"/>
      <c r="I25" s="125"/>
      <c r="J25" s="125"/>
    </row>
    <row r="26" spans="1:10" ht="48" customHeight="1">
      <c r="A26" s="1"/>
      <c r="B26" s="51" t="s">
        <v>85</v>
      </c>
      <c r="C26" s="125" t="s">
        <v>117</v>
      </c>
      <c r="D26" s="125"/>
      <c r="E26" s="125"/>
      <c r="F26" s="125"/>
      <c r="G26" s="125"/>
      <c r="H26" s="125"/>
      <c r="I26" s="125"/>
      <c r="J26" s="125"/>
    </row>
    <row r="27" spans="1:10" ht="48.75" customHeight="1">
      <c r="A27" s="1"/>
      <c r="B27" s="51" t="s">
        <v>121</v>
      </c>
      <c r="C27" s="125" t="s">
        <v>120</v>
      </c>
      <c r="D27" s="125"/>
      <c r="E27" s="125"/>
      <c r="F27" s="125"/>
      <c r="G27" s="125"/>
      <c r="H27" s="125"/>
      <c r="I27" s="125"/>
      <c r="J27" s="125"/>
    </row>
    <row r="28" spans="1:10" ht="50.25" customHeight="1">
      <c r="A28" s="1"/>
      <c r="B28" s="51" t="s">
        <v>122</v>
      </c>
      <c r="C28" s="125" t="s">
        <v>123</v>
      </c>
      <c r="D28" s="125"/>
      <c r="E28" s="125"/>
      <c r="F28" s="125"/>
      <c r="G28" s="125"/>
      <c r="H28" s="125"/>
      <c r="I28" s="125"/>
      <c r="J28" s="125"/>
    </row>
    <row r="29" spans="1:10" ht="51" customHeight="1">
      <c r="A29" s="1"/>
      <c r="B29" s="51" t="s">
        <v>86</v>
      </c>
      <c r="C29" s="125" t="s">
        <v>124</v>
      </c>
      <c r="D29" s="125"/>
      <c r="E29" s="125"/>
      <c r="F29" s="125"/>
      <c r="G29" s="125"/>
      <c r="H29" s="125"/>
      <c r="I29" s="125"/>
      <c r="J29" s="125"/>
    </row>
    <row r="30" spans="1:10" ht="30.75" customHeight="1">
      <c r="A30" s="1"/>
      <c r="B30" s="51"/>
      <c r="C30" s="127"/>
      <c r="D30" s="127"/>
      <c r="E30" s="127"/>
      <c r="F30" s="127"/>
      <c r="G30" s="127"/>
      <c r="H30" s="127"/>
      <c r="I30" s="127"/>
      <c r="J30" s="127"/>
    </row>
    <row r="31" spans="1:10" ht="15.75" customHeight="1">
      <c r="A31" s="1"/>
      <c r="B31" s="51"/>
      <c r="C31" s="123"/>
      <c r="D31" s="124"/>
      <c r="E31" s="124"/>
      <c r="F31" s="124"/>
      <c r="G31" s="124"/>
      <c r="H31" s="124"/>
      <c r="I31" s="124"/>
      <c r="J31" s="56"/>
    </row>
    <row r="32" spans="1:10" ht="14.25">
      <c r="A32" s="1"/>
      <c r="B32" s="7"/>
      <c r="C32" s="57"/>
      <c r="D32" s="57"/>
      <c r="E32" s="57"/>
      <c r="F32" s="57"/>
      <c r="G32" s="57"/>
      <c r="H32" s="57"/>
      <c r="I32" s="57"/>
      <c r="J32" s="58"/>
    </row>
    <row r="33" spans="1:10" ht="14.25">
      <c r="A33" s="1"/>
      <c r="B33" s="7"/>
      <c r="C33" s="57"/>
      <c r="D33" s="57"/>
      <c r="E33" s="57"/>
      <c r="F33" s="57"/>
      <c r="G33" s="57"/>
      <c r="H33" s="57"/>
      <c r="I33" s="57"/>
      <c r="J33" s="58"/>
    </row>
    <row r="34" spans="1:10" ht="14.25">
      <c r="A34" s="1"/>
      <c r="B34" s="1"/>
      <c r="C34" s="59"/>
      <c r="D34" s="59"/>
      <c r="E34" s="59"/>
      <c r="F34" s="59"/>
      <c r="G34" s="59"/>
      <c r="H34" s="59"/>
      <c r="I34" s="59"/>
      <c r="J34" s="58"/>
    </row>
    <row r="35" spans="1:10" ht="14.25">
      <c r="A35" s="1"/>
      <c r="B35" s="1"/>
      <c r="C35" s="59"/>
      <c r="D35" s="59"/>
      <c r="E35" s="59"/>
      <c r="F35" s="59"/>
      <c r="G35" s="59"/>
      <c r="H35" s="59"/>
      <c r="I35" s="59"/>
      <c r="J35" s="58"/>
    </row>
    <row r="36" spans="1:10" ht="14.25">
      <c r="A36" s="1"/>
      <c r="B36" s="1"/>
      <c r="C36" s="59"/>
      <c r="D36" s="59"/>
      <c r="E36" s="59"/>
      <c r="F36" s="59"/>
      <c r="G36" s="59"/>
      <c r="H36" s="59"/>
      <c r="I36" s="59"/>
      <c r="J36" s="58"/>
    </row>
    <row r="37" spans="3:10" ht="12.75">
      <c r="C37" s="58"/>
      <c r="D37" s="58"/>
      <c r="E37" s="58"/>
      <c r="F37" s="58"/>
      <c r="G37" s="58"/>
      <c r="H37" s="58"/>
      <c r="I37" s="58"/>
      <c r="J37" s="58"/>
    </row>
  </sheetData>
  <sheetProtection/>
  <mergeCells count="25">
    <mergeCell ref="C24:J24"/>
    <mergeCell ref="C25:J25"/>
    <mergeCell ref="C16:J16"/>
    <mergeCell ref="C20:J20"/>
    <mergeCell ref="C23:J23"/>
    <mergeCell ref="C30:J30"/>
    <mergeCell ref="C21:J21"/>
    <mergeCell ref="B11:J11"/>
    <mergeCell ref="C13:J13"/>
    <mergeCell ref="C14:J14"/>
    <mergeCell ref="C15:J15"/>
    <mergeCell ref="C17:J17"/>
    <mergeCell ref="C22:J22"/>
    <mergeCell ref="C18:J18"/>
    <mergeCell ref="C19:J19"/>
    <mergeCell ref="C1:J1"/>
    <mergeCell ref="B2:J2"/>
    <mergeCell ref="A3:J3"/>
    <mergeCell ref="B4:J4"/>
    <mergeCell ref="F5:J5"/>
    <mergeCell ref="C31:I31"/>
    <mergeCell ref="C26:J26"/>
    <mergeCell ref="C27:J27"/>
    <mergeCell ref="C28:J28"/>
    <mergeCell ref="C29:J29"/>
  </mergeCells>
  <printOptions/>
  <pageMargins left="0.7" right="0.4895833333333333" top="0.9895833333333334" bottom="0.75" header="0.3" footer="0.3"/>
  <pageSetup horizontalDpi="600" verticalDpi="600" orientation="portrait" paperSize="9" scale="90" r:id="rId1"/>
  <headerFooter>
    <oddFooter>&amp;C&amp;"Times New Roman,Regular"&amp;11&amp;F;  Grozījumi Ministru kabineta 2013.gada 24.septembra noteikumos Nr.1002 „Sociālās integrācijas valsts aģentūras sniegto maksas pakalpojumu cenrādis”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Layout" workbookViewId="0" topLeftCell="A55">
      <selection activeCell="B11" sqref="B11:F11"/>
    </sheetView>
  </sheetViews>
  <sheetFormatPr defaultColWidth="9.140625" defaultRowHeight="12.75"/>
  <cols>
    <col min="1" max="1" width="12.140625" style="6" customWidth="1"/>
    <col min="2" max="2" width="94.28125" style="6" customWidth="1"/>
    <col min="3" max="3" width="12.7109375" style="6" hidden="1" customWidth="1"/>
    <col min="4" max="4" width="25.8515625" style="6" hidden="1" customWidth="1"/>
    <col min="5" max="5" width="20.57421875" style="6" hidden="1" customWidth="1"/>
    <col min="6" max="6" width="31.421875" style="6" customWidth="1"/>
    <col min="7" max="16384" width="9.140625" style="3" customWidth="1"/>
  </cols>
  <sheetData>
    <row r="1" spans="1:6" ht="15.75" customHeight="1">
      <c r="A1" s="12"/>
      <c r="B1" s="133" t="s">
        <v>35</v>
      </c>
      <c r="C1" s="133"/>
      <c r="D1" s="133"/>
      <c r="E1" s="133"/>
      <c r="F1" s="134"/>
    </row>
    <row r="2" spans="1:6" ht="15.75">
      <c r="A2" s="12"/>
      <c r="B2" s="135" t="s">
        <v>39</v>
      </c>
      <c r="C2" s="135"/>
      <c r="D2" s="135"/>
      <c r="E2" s="135"/>
      <c r="F2" s="136"/>
    </row>
    <row r="3" spans="1:6" ht="15.75">
      <c r="A3" s="12"/>
      <c r="B3" s="131" t="s">
        <v>57</v>
      </c>
      <c r="C3" s="132"/>
      <c r="D3" s="132"/>
      <c r="E3" s="132"/>
      <c r="F3" s="132"/>
    </row>
    <row r="4" spans="1:6" ht="15.75">
      <c r="A4" s="12"/>
      <c r="B4" s="11"/>
      <c r="C4" s="11"/>
      <c r="D4" s="11"/>
      <c r="E4" s="13"/>
      <c r="F4" s="97"/>
    </row>
    <row r="5" spans="1:6" ht="15.75">
      <c r="A5" s="12"/>
      <c r="B5" s="15"/>
      <c r="C5" s="15"/>
      <c r="D5" s="15"/>
      <c r="E5" s="12"/>
      <c r="F5" s="11" t="s">
        <v>136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38" t="s">
        <v>5</v>
      </c>
      <c r="B7" s="138"/>
      <c r="C7" s="138"/>
      <c r="D7" s="138"/>
      <c r="E7" s="138"/>
      <c r="F7" s="138"/>
    </row>
    <row r="8" spans="1:5" ht="15.75">
      <c r="A8" s="98"/>
      <c r="B8" s="98"/>
      <c r="C8" s="98"/>
      <c r="D8" s="98"/>
      <c r="E8" s="98"/>
    </row>
    <row r="9" spans="1:5" ht="15.75" customHeight="1">
      <c r="A9" s="137" t="s">
        <v>1</v>
      </c>
      <c r="B9" s="137"/>
      <c r="C9" s="9"/>
      <c r="D9" s="9"/>
      <c r="E9" s="9"/>
    </row>
    <row r="10" spans="1:5" ht="15.75" customHeight="1">
      <c r="A10" s="137" t="s">
        <v>0</v>
      </c>
      <c r="B10" s="137"/>
      <c r="C10" s="9"/>
      <c r="D10" s="9"/>
      <c r="E10" s="9"/>
    </row>
    <row r="11" spans="1:6" ht="15" customHeight="1">
      <c r="A11" s="9"/>
      <c r="B11" s="137" t="s">
        <v>149</v>
      </c>
      <c r="C11" s="137"/>
      <c r="D11" s="137"/>
      <c r="E11" s="137"/>
      <c r="F11" s="137"/>
    </row>
    <row r="12" spans="1:6" ht="15" customHeight="1">
      <c r="A12" s="9"/>
      <c r="B12" s="137" t="s">
        <v>105</v>
      </c>
      <c r="C12" s="142"/>
      <c r="D12" s="142"/>
      <c r="E12" s="9"/>
      <c r="F12" s="14"/>
    </row>
    <row r="13" spans="1:5" ht="15.75" customHeight="1">
      <c r="A13" s="9" t="s">
        <v>2</v>
      </c>
      <c r="B13" s="9" t="s">
        <v>99</v>
      </c>
      <c r="C13" s="9"/>
      <c r="D13" s="9"/>
      <c r="E13" s="9"/>
    </row>
    <row r="14" spans="1:6" ht="63.7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69</v>
      </c>
      <c r="C16" s="26"/>
      <c r="D16" s="26"/>
      <c r="E16" s="26"/>
      <c r="F16" s="26"/>
    </row>
    <row r="17" spans="1:6" ht="15" customHeight="1">
      <c r="A17" s="27">
        <v>1100</v>
      </c>
      <c r="B17" s="27" t="s">
        <v>64</v>
      </c>
      <c r="C17" s="28">
        <v>5789.22</v>
      </c>
      <c r="D17" s="28">
        <v>0</v>
      </c>
      <c r="E17" s="28">
        <v>3074.97</v>
      </c>
      <c r="F17" s="28">
        <v>1175.58</v>
      </c>
    </row>
    <row r="18" spans="1:6" ht="15.75" customHeight="1">
      <c r="A18" s="27">
        <v>1200</v>
      </c>
      <c r="B18" s="29" t="s">
        <v>63</v>
      </c>
      <c r="C18" s="28">
        <v>1365.67</v>
      </c>
      <c r="D18" s="28">
        <v>0</v>
      </c>
      <c r="E18" s="28">
        <v>725.39</v>
      </c>
      <c r="F18" s="28">
        <v>283.2</v>
      </c>
    </row>
    <row r="19" spans="1:6" ht="15.75" hidden="1">
      <c r="A19" s="27">
        <v>2210</v>
      </c>
      <c r="B19" s="29" t="s">
        <v>27</v>
      </c>
      <c r="C19" s="28"/>
      <c r="D19" s="28"/>
      <c r="E19" s="28"/>
      <c r="F19" s="28"/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28.08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40.57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9.1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v>20</v>
      </c>
    </row>
    <row r="24" spans="1:6" ht="15" customHeight="1" hidden="1">
      <c r="A24" s="27">
        <v>2251</v>
      </c>
      <c r="B24" s="29" t="s">
        <v>61</v>
      </c>
      <c r="C24" s="28"/>
      <c r="D24" s="28"/>
      <c r="E24" s="28"/>
      <c r="F24" s="28"/>
    </row>
    <row r="25" spans="1:6" ht="15" customHeight="1" hidden="1">
      <c r="A25" s="27">
        <v>2264</v>
      </c>
      <c r="B25" s="29" t="s">
        <v>13</v>
      </c>
      <c r="C25" s="28"/>
      <c r="D25" s="28"/>
      <c r="E25" s="28"/>
      <c r="F25" s="28"/>
    </row>
    <row r="26" spans="1:6" ht="15" customHeight="1" hidden="1">
      <c r="A26" s="27">
        <v>2279</v>
      </c>
      <c r="B26" s="29" t="s">
        <v>14</v>
      </c>
      <c r="C26" s="28"/>
      <c r="D26" s="28"/>
      <c r="E26" s="28"/>
      <c r="F26" s="28"/>
    </row>
    <row r="27" spans="1:6" ht="15" customHeight="1">
      <c r="A27" s="27">
        <v>2311</v>
      </c>
      <c r="B27" s="29" t="s">
        <v>74</v>
      </c>
      <c r="C27" s="28"/>
      <c r="D27" s="28"/>
      <c r="E27" s="28"/>
      <c r="F27" s="28">
        <v>6.33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v>23.05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20.82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9.5</v>
      </c>
    </row>
    <row r="31" spans="1:6" ht="15" customHeight="1" hidden="1">
      <c r="A31" s="27">
        <v>2361</v>
      </c>
      <c r="B31" s="29" t="s">
        <v>20</v>
      </c>
      <c r="C31" s="28"/>
      <c r="D31" s="28"/>
      <c r="E31" s="28"/>
      <c r="F31" s="28"/>
    </row>
    <row r="32" spans="1:6" ht="15.75">
      <c r="A32" s="27">
        <v>2370</v>
      </c>
      <c r="B32" s="29" t="s">
        <v>70</v>
      </c>
      <c r="C32" s="28"/>
      <c r="D32" s="28"/>
      <c r="E32" s="28"/>
      <c r="F32" s="28">
        <v>6.73</v>
      </c>
    </row>
    <row r="33" spans="1:6" ht="15.7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58</v>
      </c>
      <c r="C34" s="28">
        <v>1.8</v>
      </c>
      <c r="D34" s="28">
        <v>0</v>
      </c>
      <c r="E34" s="28">
        <f>ROUND(C34/2,2)</f>
        <v>0.9</v>
      </c>
      <c r="F34" s="28">
        <v>7.92</v>
      </c>
    </row>
    <row r="35" spans="1:6" ht="15" customHeight="1">
      <c r="A35" s="27"/>
      <c r="B35" s="30" t="s">
        <v>66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1630.8799999999997</v>
      </c>
    </row>
    <row r="36" spans="1:6" ht="15" customHeight="1">
      <c r="A36" s="32"/>
      <c r="B36" s="27" t="s">
        <v>65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64</v>
      </c>
      <c r="C37" s="28">
        <v>4429</v>
      </c>
      <c r="D37" s="28">
        <v>0</v>
      </c>
      <c r="E37" s="28">
        <f aca="true" t="shared" si="0" ref="E37:E55">ROUND(C37/2,2)</f>
        <v>2214.5</v>
      </c>
      <c r="F37" s="28">
        <v>308.1</v>
      </c>
    </row>
    <row r="38" spans="1:6" ht="15.75" customHeight="1">
      <c r="A38" s="27">
        <v>1200</v>
      </c>
      <c r="B38" s="29" t="s">
        <v>63</v>
      </c>
      <c r="C38" s="28">
        <v>1044.8</v>
      </c>
      <c r="D38" s="28">
        <v>0</v>
      </c>
      <c r="E38" s="28">
        <f t="shared" si="0"/>
        <v>522.4</v>
      </c>
      <c r="F38" s="28">
        <v>74.22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8.85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7.19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1.33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0.51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4.06</v>
      </c>
    </row>
    <row r="44" spans="1:6" ht="15" customHeight="1">
      <c r="A44" s="27">
        <v>2244</v>
      </c>
      <c r="B44" s="29" t="s">
        <v>10</v>
      </c>
      <c r="C44" s="28"/>
      <c r="D44" s="28"/>
      <c r="E44" s="28"/>
      <c r="F44" s="28">
        <v>1.1</v>
      </c>
    </row>
    <row r="45" spans="1:6" ht="15.75" customHeight="1">
      <c r="A45" s="27">
        <v>2247</v>
      </c>
      <c r="B45" s="25" t="s">
        <v>60</v>
      </c>
      <c r="C45" s="28">
        <v>5.71</v>
      </c>
      <c r="D45" s="28">
        <v>0</v>
      </c>
      <c r="E45" s="28">
        <f t="shared" si="0"/>
        <v>2.86</v>
      </c>
      <c r="F45" s="28">
        <v>1.46</v>
      </c>
    </row>
    <row r="46" spans="1:6" ht="15" customHeight="1">
      <c r="A46" s="27">
        <v>2251</v>
      </c>
      <c r="B46" s="29" t="s">
        <v>61</v>
      </c>
      <c r="C46" s="28">
        <v>145.52</v>
      </c>
      <c r="D46" s="28">
        <v>0</v>
      </c>
      <c r="E46" s="28">
        <f t="shared" si="0"/>
        <v>72.76</v>
      </c>
      <c r="F46" s="28">
        <v>11.46</v>
      </c>
    </row>
    <row r="47" spans="1:6" ht="15" customHeight="1">
      <c r="A47" s="27">
        <v>2259</v>
      </c>
      <c r="B47" s="29" t="s">
        <v>62</v>
      </c>
      <c r="C47" s="28">
        <v>0.48</v>
      </c>
      <c r="D47" s="28">
        <v>0</v>
      </c>
      <c r="E47" s="28">
        <f t="shared" si="0"/>
        <v>0.24</v>
      </c>
      <c r="F47" s="28">
        <v>0.09</v>
      </c>
    </row>
    <row r="48" spans="1:6" ht="15" customHeight="1">
      <c r="A48" s="27">
        <v>2261</v>
      </c>
      <c r="B48" s="29" t="s">
        <v>11</v>
      </c>
      <c r="C48" s="28"/>
      <c r="D48" s="28"/>
      <c r="E48" s="28"/>
      <c r="F48" s="28">
        <v>3.65</v>
      </c>
    </row>
    <row r="49" spans="1:6" ht="15" customHeight="1">
      <c r="A49" s="27">
        <v>2262</v>
      </c>
      <c r="B49" s="29" t="s">
        <v>12</v>
      </c>
      <c r="C49" s="28">
        <v>63.08</v>
      </c>
      <c r="D49" s="28">
        <v>0</v>
      </c>
      <c r="E49" s="28">
        <f t="shared" si="0"/>
        <v>31.54</v>
      </c>
      <c r="F49" s="28">
        <v>12.05</v>
      </c>
    </row>
    <row r="50" spans="1:6" ht="15" customHeight="1">
      <c r="A50" s="27">
        <v>2264</v>
      </c>
      <c r="B50" s="29" t="s">
        <v>13</v>
      </c>
      <c r="C50" s="28">
        <v>1.18</v>
      </c>
      <c r="D50" s="28">
        <v>0</v>
      </c>
      <c r="E50" s="28">
        <f t="shared" si="0"/>
        <v>0.59</v>
      </c>
      <c r="F50" s="28">
        <v>0</v>
      </c>
    </row>
    <row r="51" spans="1:6" ht="15.75" customHeight="1">
      <c r="A51" s="27">
        <v>2279</v>
      </c>
      <c r="B51" s="29" t="s">
        <v>14</v>
      </c>
      <c r="C51" s="28">
        <v>259.89</v>
      </c>
      <c r="D51" s="28">
        <v>0</v>
      </c>
      <c r="E51" s="28">
        <f t="shared" si="0"/>
        <v>129.95</v>
      </c>
      <c r="F51" s="28">
        <v>1.37</v>
      </c>
    </row>
    <row r="52" spans="1:6" ht="15.75" customHeight="1">
      <c r="A52" s="27">
        <v>2311</v>
      </c>
      <c r="B52" s="29" t="s">
        <v>15</v>
      </c>
      <c r="C52" s="28">
        <v>24.47</v>
      </c>
      <c r="D52" s="28">
        <v>0</v>
      </c>
      <c r="E52" s="28">
        <f t="shared" si="0"/>
        <v>12.24</v>
      </c>
      <c r="F52" s="28">
        <v>21.62</v>
      </c>
    </row>
    <row r="53" spans="1:6" ht="15" customHeight="1">
      <c r="A53" s="27">
        <v>2312</v>
      </c>
      <c r="B53" s="29" t="s">
        <v>16</v>
      </c>
      <c r="C53" s="28">
        <v>45.22</v>
      </c>
      <c r="D53" s="28">
        <v>0</v>
      </c>
      <c r="E53" s="28">
        <f t="shared" si="0"/>
        <v>22.61</v>
      </c>
      <c r="F53" s="28">
        <v>1.51</v>
      </c>
    </row>
    <row r="54" spans="1:6" ht="15" customHeight="1">
      <c r="A54" s="27">
        <v>2322</v>
      </c>
      <c r="B54" s="29" t="s">
        <v>18</v>
      </c>
      <c r="C54" s="28">
        <v>170.03</v>
      </c>
      <c r="D54" s="28">
        <v>0</v>
      </c>
      <c r="E54" s="28">
        <f t="shared" si="0"/>
        <v>85.02</v>
      </c>
      <c r="F54" s="28">
        <v>15.88</v>
      </c>
    </row>
    <row r="55" spans="1:6" ht="15" customHeight="1">
      <c r="A55" s="27">
        <v>2350</v>
      </c>
      <c r="B55" s="29" t="s">
        <v>19</v>
      </c>
      <c r="C55" s="28">
        <v>193.6</v>
      </c>
      <c r="D55" s="28">
        <v>0</v>
      </c>
      <c r="E55" s="28">
        <f t="shared" si="0"/>
        <v>96.8</v>
      </c>
      <c r="F55" s="28">
        <v>30.81</v>
      </c>
    </row>
    <row r="56" spans="1:6" ht="15" customHeight="1">
      <c r="A56" s="27">
        <v>2361</v>
      </c>
      <c r="B56" s="29" t="s">
        <v>20</v>
      </c>
      <c r="C56" s="28"/>
      <c r="D56" s="28"/>
      <c r="E56" s="28"/>
      <c r="F56" s="28">
        <v>9.41</v>
      </c>
    </row>
    <row r="57" spans="1:6" ht="15" customHeight="1">
      <c r="A57" s="27">
        <v>2370</v>
      </c>
      <c r="B57" s="29" t="s">
        <v>70</v>
      </c>
      <c r="C57" s="28"/>
      <c r="D57" s="28"/>
      <c r="E57" s="28"/>
      <c r="F57" s="28">
        <v>7.2</v>
      </c>
    </row>
    <row r="58" spans="1:6" ht="15" customHeight="1">
      <c r="A58" s="27">
        <v>2400</v>
      </c>
      <c r="B58" s="29" t="s">
        <v>31</v>
      </c>
      <c r="C58" s="28"/>
      <c r="D58" s="28"/>
      <c r="E58" s="28"/>
      <c r="F58" s="28">
        <v>1.74</v>
      </c>
    </row>
    <row r="59" spans="1:6" ht="15" customHeight="1">
      <c r="A59" s="27">
        <v>2515</v>
      </c>
      <c r="B59" s="29" t="s">
        <v>59</v>
      </c>
      <c r="C59" s="28"/>
      <c r="D59" s="28"/>
      <c r="E59" s="28"/>
      <c r="F59" s="28">
        <v>4.71</v>
      </c>
    </row>
    <row r="60" spans="1:6" ht="15" customHeight="1">
      <c r="A60" s="27">
        <v>2519</v>
      </c>
      <c r="B60" s="29" t="s">
        <v>24</v>
      </c>
      <c r="C60" s="28"/>
      <c r="D60" s="28"/>
      <c r="E60" s="28"/>
      <c r="F60" s="28">
        <v>10.4</v>
      </c>
    </row>
    <row r="61" spans="1:6" ht="15" customHeight="1">
      <c r="A61" s="27">
        <v>5232</v>
      </c>
      <c r="B61" s="29" t="s">
        <v>23</v>
      </c>
      <c r="C61" s="28"/>
      <c r="D61" s="28"/>
      <c r="E61" s="28"/>
      <c r="F61" s="28">
        <v>74.19</v>
      </c>
    </row>
    <row r="62" spans="1:6" ht="15" customHeight="1">
      <c r="A62" s="27">
        <v>5240</v>
      </c>
      <c r="B62" s="29" t="s">
        <v>25</v>
      </c>
      <c r="C62" s="28"/>
      <c r="D62" s="28"/>
      <c r="E62" s="28"/>
      <c r="F62" s="28">
        <v>14.93</v>
      </c>
    </row>
    <row r="63" spans="1:6" ht="15" customHeight="1">
      <c r="A63" s="27">
        <v>5250</v>
      </c>
      <c r="B63" s="29" t="s">
        <v>26</v>
      </c>
      <c r="C63" s="28"/>
      <c r="D63" s="28"/>
      <c r="E63" s="28"/>
      <c r="F63" s="28">
        <v>57.32</v>
      </c>
    </row>
    <row r="64" spans="1:6" ht="15" customHeight="1">
      <c r="A64" s="32"/>
      <c r="B64" s="34" t="s">
        <v>67</v>
      </c>
      <c r="C64" s="31">
        <f>SUM(C37:C55)</f>
        <v>6639.500000000003</v>
      </c>
      <c r="D64" s="31">
        <f>SUM(D37:D55)</f>
        <v>0</v>
      </c>
      <c r="E64" s="31">
        <f>SUM(E37:E55)</f>
        <v>3319.7800000000007</v>
      </c>
      <c r="F64" s="31">
        <f>SUM(F37:F63)</f>
        <v>685.1600000000001</v>
      </c>
    </row>
    <row r="65" spans="1:6" ht="15" customHeight="1">
      <c r="A65" s="32"/>
      <c r="B65" s="34" t="s">
        <v>32</v>
      </c>
      <c r="C65" s="31" t="e">
        <f>#REF!+C28</f>
        <v>#REF!</v>
      </c>
      <c r="D65" s="31" t="e">
        <f>#REF!+D28</f>
        <v>#REF!</v>
      </c>
      <c r="E65" s="31" t="e">
        <f>#REF!+E28</f>
        <v>#REF!</v>
      </c>
      <c r="F65" s="31">
        <f>F35+F64</f>
        <v>2316.04</v>
      </c>
    </row>
    <row r="66" spans="1:2" ht="15.75">
      <c r="A66" s="35"/>
      <c r="B66" s="20"/>
    </row>
    <row r="67" spans="1:6" ht="15.75" customHeight="1">
      <c r="A67" s="137" t="s">
        <v>45</v>
      </c>
      <c r="B67" s="137"/>
      <c r="C67" s="10">
        <v>148</v>
      </c>
      <c r="D67" s="21">
        <v>0</v>
      </c>
      <c r="E67" s="21">
        <v>74</v>
      </c>
      <c r="F67" s="108">
        <v>1</v>
      </c>
    </row>
    <row r="68" spans="1:6" ht="15.75" customHeight="1">
      <c r="A68" s="137" t="s">
        <v>46</v>
      </c>
      <c r="B68" s="137"/>
      <c r="C68" s="36" t="e">
        <f>#REF!/C67</f>
        <v>#REF!</v>
      </c>
      <c r="D68" s="37">
        <v>0</v>
      </c>
      <c r="E68" s="37" t="e">
        <f>#REF!/E67</f>
        <v>#REF!</v>
      </c>
      <c r="F68" s="37">
        <f>F65/F67</f>
        <v>2316.04</v>
      </c>
    </row>
    <row r="69" spans="1:6" ht="15.75" customHeight="1">
      <c r="A69" s="9"/>
      <c r="B69" s="9"/>
      <c r="C69" s="36"/>
      <c r="D69" s="36"/>
      <c r="E69" s="36"/>
      <c r="F69" s="36"/>
    </row>
    <row r="70" spans="1:6" s="2" customFormat="1" ht="15.75">
      <c r="A70" s="139" t="s">
        <v>37</v>
      </c>
      <c r="B70" s="140"/>
      <c r="C70" s="39"/>
      <c r="D70" s="39"/>
      <c r="E70" s="39"/>
      <c r="F70" s="39"/>
    </row>
    <row r="71" spans="1:6" s="2" customFormat="1" ht="15.75">
      <c r="A71" s="139" t="s">
        <v>54</v>
      </c>
      <c r="B71" s="140"/>
      <c r="C71" s="16"/>
      <c r="D71" s="40"/>
      <c r="E71" s="39"/>
      <c r="F71" s="39"/>
    </row>
    <row r="72" spans="1:6" s="2" customFormat="1" ht="15.75">
      <c r="A72" s="17"/>
      <c r="B72" s="17"/>
      <c r="C72" s="17"/>
      <c r="D72" s="17"/>
      <c r="E72" s="17"/>
      <c r="F72" s="17"/>
    </row>
    <row r="73" spans="1:6" s="2" customFormat="1" ht="15.75">
      <c r="A73" s="17" t="s">
        <v>38</v>
      </c>
      <c r="B73" s="17"/>
      <c r="C73" s="17"/>
      <c r="D73" s="17"/>
      <c r="E73" s="17"/>
      <c r="F73" s="65"/>
    </row>
    <row r="74" spans="1:6" s="2" customFormat="1" ht="15.75">
      <c r="A74" s="17"/>
      <c r="B74" s="17"/>
      <c r="C74" s="17"/>
      <c r="D74" s="17"/>
      <c r="E74" s="17"/>
      <c r="F74" s="17"/>
    </row>
    <row r="75" spans="1:6" s="2" customFormat="1" ht="15.75">
      <c r="A75" s="17" t="s">
        <v>47</v>
      </c>
      <c r="B75" s="18"/>
      <c r="C75" s="18"/>
      <c r="D75" s="18"/>
      <c r="E75" s="18"/>
      <c r="F75" s="18"/>
    </row>
    <row r="76" spans="1:6" s="2" customFormat="1" ht="13.5" customHeight="1">
      <c r="A76" s="17"/>
      <c r="B76" s="97"/>
      <c r="C76" s="19"/>
      <c r="D76" s="19"/>
      <c r="E76" s="17"/>
      <c r="F76" s="17"/>
    </row>
    <row r="77" spans="1:6" s="2" customFormat="1" ht="13.5" customHeight="1">
      <c r="A77" s="17"/>
      <c r="B77" s="19"/>
      <c r="C77" s="17"/>
      <c r="D77" s="17"/>
      <c r="E77" s="17"/>
      <c r="F77" s="17"/>
    </row>
    <row r="78" spans="1:6" s="1" customFormat="1" ht="15">
      <c r="A78" s="6"/>
      <c r="B78" s="6"/>
      <c r="C78" s="101"/>
      <c r="D78" s="6"/>
      <c r="E78" s="6"/>
      <c r="F78" s="6"/>
    </row>
  </sheetData>
  <sheetProtection/>
  <mergeCells count="12">
    <mergeCell ref="B12:D12"/>
    <mergeCell ref="A67:B67"/>
    <mergeCell ref="A68:B68"/>
    <mergeCell ref="A70:B70"/>
    <mergeCell ref="A71:B71"/>
    <mergeCell ref="B1:F1"/>
    <mergeCell ref="B2:F2"/>
    <mergeCell ref="B3:F3"/>
    <mergeCell ref="A7:F7"/>
    <mergeCell ref="A9:B9"/>
    <mergeCell ref="A10:B10"/>
    <mergeCell ref="B11:F11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Layout" workbookViewId="0" topLeftCell="A57">
      <selection activeCell="B11" sqref="B11:F11"/>
    </sheetView>
  </sheetViews>
  <sheetFormatPr defaultColWidth="9.140625" defaultRowHeight="12.75"/>
  <cols>
    <col min="1" max="1" width="12.8515625" style="6" customWidth="1"/>
    <col min="2" max="2" width="95.00390625" style="6" customWidth="1"/>
    <col min="3" max="3" width="12.7109375" style="6" hidden="1" customWidth="1"/>
    <col min="4" max="4" width="25.8515625" style="6" hidden="1" customWidth="1"/>
    <col min="5" max="5" width="4.57421875" style="6" hidden="1" customWidth="1"/>
    <col min="6" max="6" width="32.57421875" style="6" customWidth="1"/>
    <col min="7" max="16384" width="9.140625" style="3" customWidth="1"/>
  </cols>
  <sheetData>
    <row r="1" spans="1:6" ht="15.75" customHeight="1">
      <c r="A1" s="12"/>
      <c r="B1" s="133" t="s">
        <v>35</v>
      </c>
      <c r="C1" s="133"/>
      <c r="D1" s="133"/>
      <c r="E1" s="133"/>
      <c r="F1" s="134"/>
    </row>
    <row r="2" spans="1:6" ht="15.75">
      <c r="A2" s="12"/>
      <c r="B2" s="135" t="s">
        <v>39</v>
      </c>
      <c r="C2" s="135"/>
      <c r="D2" s="135"/>
      <c r="E2" s="135"/>
      <c r="F2" s="136"/>
    </row>
    <row r="3" spans="1:6" ht="15.75">
      <c r="A3" s="12"/>
      <c r="B3" s="131" t="s">
        <v>57</v>
      </c>
      <c r="C3" s="132"/>
      <c r="D3" s="132"/>
      <c r="E3" s="132"/>
      <c r="F3" s="132"/>
    </row>
    <row r="4" spans="1:6" ht="15.75">
      <c r="A4" s="12"/>
      <c r="B4" s="11"/>
      <c r="C4" s="11"/>
      <c r="D4" s="11"/>
      <c r="E4" s="13"/>
      <c r="F4" s="97"/>
    </row>
    <row r="5" spans="1:6" ht="15.75">
      <c r="A5" s="12"/>
      <c r="B5" s="15"/>
      <c r="C5" s="15"/>
      <c r="D5" s="15"/>
      <c r="E5" s="12"/>
      <c r="F5" s="11" t="s">
        <v>136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38" t="s">
        <v>5</v>
      </c>
      <c r="B7" s="138"/>
      <c r="C7" s="138"/>
      <c r="D7" s="138"/>
      <c r="E7" s="138"/>
      <c r="F7" s="138"/>
    </row>
    <row r="8" spans="1:5" ht="15.75">
      <c r="A8" s="98"/>
      <c r="B8" s="98"/>
      <c r="C8" s="98"/>
      <c r="D8" s="98"/>
      <c r="E8" s="98"/>
    </row>
    <row r="9" spans="1:5" ht="15.75" customHeight="1">
      <c r="A9" s="137" t="s">
        <v>1</v>
      </c>
      <c r="B9" s="137"/>
      <c r="C9" s="9"/>
      <c r="D9" s="9"/>
      <c r="E9" s="9"/>
    </row>
    <row r="10" spans="1:5" ht="15.75" customHeight="1">
      <c r="A10" s="137" t="s">
        <v>0</v>
      </c>
      <c r="B10" s="137"/>
      <c r="C10" s="9"/>
      <c r="D10" s="9"/>
      <c r="E10" s="9"/>
    </row>
    <row r="11" spans="1:6" ht="15" customHeight="1">
      <c r="A11" s="9"/>
      <c r="B11" s="137" t="s">
        <v>149</v>
      </c>
      <c r="C11" s="137"/>
      <c r="D11" s="137"/>
      <c r="E11" s="137"/>
      <c r="F11" s="137"/>
    </row>
    <row r="12" spans="1:6" ht="15" customHeight="1">
      <c r="A12" s="9"/>
      <c r="B12" s="137" t="s">
        <v>109</v>
      </c>
      <c r="C12" s="142"/>
      <c r="D12" s="142"/>
      <c r="E12" s="9"/>
      <c r="F12" s="14"/>
    </row>
    <row r="13" spans="1:5" ht="15.75" customHeight="1">
      <c r="A13" s="9" t="s">
        <v>2</v>
      </c>
      <c r="B13" s="9" t="s">
        <v>99</v>
      </c>
      <c r="C13" s="9"/>
      <c r="D13" s="9"/>
      <c r="E13" s="9"/>
    </row>
    <row r="14" spans="1:6" ht="56.2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69</v>
      </c>
      <c r="C16" s="26"/>
      <c r="D16" s="26"/>
      <c r="E16" s="26"/>
      <c r="F16" s="26"/>
    </row>
    <row r="17" spans="1:6" ht="15" customHeight="1">
      <c r="A17" s="27">
        <v>1100</v>
      </c>
      <c r="B17" s="27" t="s">
        <v>64</v>
      </c>
      <c r="C17" s="28">
        <v>5789.22</v>
      </c>
      <c r="D17" s="28">
        <v>0</v>
      </c>
      <c r="E17" s="28">
        <v>3074.97</v>
      </c>
      <c r="F17" s="28">
        <v>1103.79</v>
      </c>
    </row>
    <row r="18" spans="1:6" ht="15.75" customHeight="1">
      <c r="A18" s="27">
        <v>1200</v>
      </c>
      <c r="B18" s="29" t="s">
        <v>63</v>
      </c>
      <c r="C18" s="28">
        <v>1365.67</v>
      </c>
      <c r="D18" s="28">
        <v>0</v>
      </c>
      <c r="E18" s="28">
        <v>725.39</v>
      </c>
      <c r="F18" s="28">
        <v>265.9</v>
      </c>
    </row>
    <row r="19" spans="1:6" ht="15.75" hidden="1">
      <c r="A19" s="27">
        <v>2210</v>
      </c>
      <c r="B19" s="29" t="s">
        <v>27</v>
      </c>
      <c r="C19" s="28"/>
      <c r="D19" s="28"/>
      <c r="E19" s="28"/>
      <c r="F19" s="28"/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12.48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20.29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6.91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v>19.74</v>
      </c>
    </row>
    <row r="24" spans="1:6" ht="15" customHeight="1" hidden="1">
      <c r="A24" s="27">
        <v>2251</v>
      </c>
      <c r="B24" s="29" t="s">
        <v>61</v>
      </c>
      <c r="C24" s="28"/>
      <c r="D24" s="28"/>
      <c r="E24" s="28"/>
      <c r="F24" s="28"/>
    </row>
    <row r="25" spans="1:6" ht="15" customHeight="1" hidden="1">
      <c r="A25" s="27">
        <v>2264</v>
      </c>
      <c r="B25" s="29" t="s">
        <v>13</v>
      </c>
      <c r="C25" s="28"/>
      <c r="D25" s="28"/>
      <c r="E25" s="28"/>
      <c r="F25" s="28"/>
    </row>
    <row r="26" spans="1:6" ht="15" customHeight="1" hidden="1">
      <c r="A26" s="27">
        <v>2279</v>
      </c>
      <c r="B26" s="29" t="s">
        <v>14</v>
      </c>
      <c r="C26" s="28"/>
      <c r="D26" s="28"/>
      <c r="E26" s="28"/>
      <c r="F26" s="28"/>
    </row>
    <row r="27" spans="1:6" ht="15" customHeight="1">
      <c r="A27" s="27">
        <v>2311</v>
      </c>
      <c r="B27" s="29" t="s">
        <v>74</v>
      </c>
      <c r="C27" s="28"/>
      <c r="D27" s="28"/>
      <c r="E27" s="28"/>
      <c r="F27" s="28">
        <v>13.6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v>12.43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20.82</v>
      </c>
    </row>
    <row r="30" spans="1:6" ht="15" customHeight="1" hidden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/>
    </row>
    <row r="31" spans="1:6" ht="15" customHeight="1" hidden="1">
      <c r="A31" s="27">
        <v>2361</v>
      </c>
      <c r="B31" s="29" t="s">
        <v>20</v>
      </c>
      <c r="C31" s="28"/>
      <c r="D31" s="28"/>
      <c r="E31" s="28"/>
      <c r="F31" s="28"/>
    </row>
    <row r="32" spans="1:6" ht="15.75">
      <c r="A32" s="27">
        <v>2370</v>
      </c>
      <c r="B32" s="29" t="s">
        <v>70</v>
      </c>
      <c r="C32" s="28"/>
      <c r="D32" s="28"/>
      <c r="E32" s="28"/>
      <c r="F32" s="28">
        <v>13.6</v>
      </c>
    </row>
    <row r="33" spans="1:6" ht="15.7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58</v>
      </c>
      <c r="C34" s="28">
        <v>1.8</v>
      </c>
      <c r="D34" s="28">
        <v>0</v>
      </c>
      <c r="E34" s="28">
        <f>ROUND(C34/2,2)</f>
        <v>0.9</v>
      </c>
      <c r="F34" s="28">
        <v>8.32</v>
      </c>
    </row>
    <row r="35" spans="1:6" ht="15" customHeight="1">
      <c r="A35" s="27"/>
      <c r="B35" s="30" t="s">
        <v>66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1497.8799999999999</v>
      </c>
    </row>
    <row r="36" spans="1:6" ht="15" customHeight="1">
      <c r="A36" s="32"/>
      <c r="B36" s="27" t="s">
        <v>65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64</v>
      </c>
      <c r="C37" s="28">
        <v>4429</v>
      </c>
      <c r="D37" s="28">
        <v>0</v>
      </c>
      <c r="E37" s="28">
        <f aca="true" t="shared" si="0" ref="E37:E55">ROUND(C37/2,2)</f>
        <v>2214.5</v>
      </c>
      <c r="F37" s="28">
        <v>268.18</v>
      </c>
    </row>
    <row r="38" spans="1:6" ht="15.75" customHeight="1">
      <c r="A38" s="27">
        <v>1200</v>
      </c>
      <c r="B38" s="29" t="s">
        <v>63</v>
      </c>
      <c r="C38" s="28">
        <v>1044.8</v>
      </c>
      <c r="D38" s="28">
        <v>0</v>
      </c>
      <c r="E38" s="28">
        <f t="shared" si="0"/>
        <v>522.4</v>
      </c>
      <c r="F38" s="28">
        <v>64.6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94">
        <v>7.63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94">
        <v>6.2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94">
        <v>1.15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94">
        <v>0.44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94">
        <v>4.29</v>
      </c>
    </row>
    <row r="44" spans="1:6" ht="15" customHeight="1">
      <c r="A44" s="27">
        <v>2244</v>
      </c>
      <c r="B44" s="29" t="s">
        <v>10</v>
      </c>
      <c r="C44" s="28"/>
      <c r="D44" s="28"/>
      <c r="E44" s="28"/>
      <c r="F44" s="94">
        <v>0.95</v>
      </c>
    </row>
    <row r="45" spans="1:6" ht="15.75" customHeight="1">
      <c r="A45" s="27">
        <v>2247</v>
      </c>
      <c r="B45" s="25" t="s">
        <v>60</v>
      </c>
      <c r="C45" s="28">
        <v>5.71</v>
      </c>
      <c r="D45" s="28">
        <v>0</v>
      </c>
      <c r="E45" s="28">
        <f t="shared" si="0"/>
        <v>2.86</v>
      </c>
      <c r="F45" s="94">
        <v>1.26</v>
      </c>
    </row>
    <row r="46" spans="1:6" ht="15" customHeight="1">
      <c r="A46" s="27">
        <v>2251</v>
      </c>
      <c r="B46" s="29" t="s">
        <v>61</v>
      </c>
      <c r="C46" s="28">
        <v>145.52</v>
      </c>
      <c r="D46" s="28">
        <v>0</v>
      </c>
      <c r="E46" s="28">
        <f t="shared" si="0"/>
        <v>72.76</v>
      </c>
      <c r="F46" s="94">
        <v>9.87</v>
      </c>
    </row>
    <row r="47" spans="1:6" ht="15" customHeight="1" hidden="1">
      <c r="A47" s="27">
        <v>2259</v>
      </c>
      <c r="B47" s="29" t="s">
        <v>62</v>
      </c>
      <c r="C47" s="28">
        <v>0.48</v>
      </c>
      <c r="D47" s="28">
        <v>0</v>
      </c>
      <c r="E47" s="28">
        <f t="shared" si="0"/>
        <v>0.24</v>
      </c>
      <c r="F47" s="94"/>
    </row>
    <row r="48" spans="1:6" ht="15" customHeight="1">
      <c r="A48" s="27">
        <v>2261</v>
      </c>
      <c r="B48" s="29" t="s">
        <v>11</v>
      </c>
      <c r="C48" s="28"/>
      <c r="D48" s="28"/>
      <c r="E48" s="28"/>
      <c r="F48" s="94">
        <v>3.14</v>
      </c>
    </row>
    <row r="49" spans="1:6" ht="15" customHeight="1">
      <c r="A49" s="27">
        <v>2262</v>
      </c>
      <c r="B49" s="29" t="s">
        <v>12</v>
      </c>
      <c r="C49" s="28">
        <v>63.08</v>
      </c>
      <c r="D49" s="28">
        <v>0</v>
      </c>
      <c r="E49" s="28">
        <f t="shared" si="0"/>
        <v>31.54</v>
      </c>
      <c r="F49" s="94">
        <v>10.38</v>
      </c>
    </row>
    <row r="50" spans="1:6" ht="15" customHeight="1" hidden="1">
      <c r="A50" s="27">
        <v>2264</v>
      </c>
      <c r="B50" s="29" t="s">
        <v>13</v>
      </c>
      <c r="C50" s="28">
        <v>1.18</v>
      </c>
      <c r="D50" s="28">
        <v>0</v>
      </c>
      <c r="E50" s="28">
        <f t="shared" si="0"/>
        <v>0.59</v>
      </c>
      <c r="F50" s="94"/>
    </row>
    <row r="51" spans="1:6" ht="15.75" customHeight="1">
      <c r="A51" s="27">
        <v>2279</v>
      </c>
      <c r="B51" s="29" t="s">
        <v>14</v>
      </c>
      <c r="C51" s="28">
        <v>259.89</v>
      </c>
      <c r="D51" s="28">
        <v>0</v>
      </c>
      <c r="E51" s="28">
        <f t="shared" si="0"/>
        <v>129.95</v>
      </c>
      <c r="F51" s="94">
        <v>1.18</v>
      </c>
    </row>
    <row r="52" spans="1:6" ht="15.75" customHeight="1">
      <c r="A52" s="27">
        <v>2311</v>
      </c>
      <c r="B52" s="29" t="s">
        <v>15</v>
      </c>
      <c r="C52" s="28">
        <v>24.47</v>
      </c>
      <c r="D52" s="28">
        <v>0</v>
      </c>
      <c r="E52" s="28">
        <f t="shared" si="0"/>
        <v>12.24</v>
      </c>
      <c r="F52" s="94">
        <v>18.62</v>
      </c>
    </row>
    <row r="53" spans="1:6" ht="15" customHeight="1">
      <c r="A53" s="27">
        <v>2312</v>
      </c>
      <c r="B53" s="29" t="s">
        <v>16</v>
      </c>
      <c r="C53" s="28">
        <v>45.22</v>
      </c>
      <c r="D53" s="28">
        <v>0</v>
      </c>
      <c r="E53" s="28">
        <f t="shared" si="0"/>
        <v>22.61</v>
      </c>
      <c r="F53" s="94">
        <v>1.3</v>
      </c>
    </row>
    <row r="54" spans="1:6" ht="15" customHeight="1">
      <c r="A54" s="27">
        <v>2322</v>
      </c>
      <c r="B54" s="29" t="s">
        <v>18</v>
      </c>
      <c r="C54" s="28">
        <v>170.03</v>
      </c>
      <c r="D54" s="28">
        <v>0</v>
      </c>
      <c r="E54" s="28">
        <f t="shared" si="0"/>
        <v>85.02</v>
      </c>
      <c r="F54" s="94">
        <v>13.67</v>
      </c>
    </row>
    <row r="55" spans="1:6" ht="15" customHeight="1">
      <c r="A55" s="27">
        <v>2350</v>
      </c>
      <c r="B55" s="29" t="s">
        <v>19</v>
      </c>
      <c r="C55" s="28">
        <v>193.6</v>
      </c>
      <c r="D55" s="28">
        <v>0</v>
      </c>
      <c r="E55" s="28">
        <f t="shared" si="0"/>
        <v>96.8</v>
      </c>
      <c r="F55" s="94">
        <v>26.53</v>
      </c>
    </row>
    <row r="56" spans="1:6" ht="15" customHeight="1">
      <c r="A56" s="27">
        <v>2361</v>
      </c>
      <c r="B56" s="29" t="s">
        <v>20</v>
      </c>
      <c r="C56" s="28"/>
      <c r="D56" s="28"/>
      <c r="E56" s="28"/>
      <c r="F56" s="94">
        <v>8.1</v>
      </c>
    </row>
    <row r="57" spans="1:6" ht="15" customHeight="1">
      <c r="A57" s="27">
        <v>2370</v>
      </c>
      <c r="B57" s="29" t="s">
        <v>70</v>
      </c>
      <c r="C57" s="28"/>
      <c r="D57" s="28"/>
      <c r="E57" s="28"/>
      <c r="F57" s="94">
        <v>6.2</v>
      </c>
    </row>
    <row r="58" spans="1:6" ht="15" customHeight="1">
      <c r="A58" s="27">
        <v>2400</v>
      </c>
      <c r="B58" s="29" t="s">
        <v>31</v>
      </c>
      <c r="C58" s="28"/>
      <c r="D58" s="28"/>
      <c r="E58" s="28"/>
      <c r="F58" s="94">
        <v>1.5</v>
      </c>
    </row>
    <row r="59" spans="1:6" ht="15" customHeight="1">
      <c r="A59" s="27">
        <v>2515</v>
      </c>
      <c r="B59" s="29" t="s">
        <v>59</v>
      </c>
      <c r="C59" s="28"/>
      <c r="D59" s="28"/>
      <c r="E59" s="28"/>
      <c r="F59" s="94">
        <v>4.1</v>
      </c>
    </row>
    <row r="60" spans="1:6" ht="15" customHeight="1">
      <c r="A60" s="27">
        <v>2519</v>
      </c>
      <c r="B60" s="29" t="s">
        <v>24</v>
      </c>
      <c r="C60" s="28"/>
      <c r="D60" s="28"/>
      <c r="E60" s="28"/>
      <c r="F60" s="94">
        <v>8.96</v>
      </c>
    </row>
    <row r="61" spans="1:6" ht="15" customHeight="1">
      <c r="A61" s="27">
        <v>5232</v>
      </c>
      <c r="B61" s="29" t="s">
        <v>23</v>
      </c>
      <c r="C61" s="28"/>
      <c r="D61" s="28"/>
      <c r="E61" s="28"/>
      <c r="F61" s="94">
        <v>63.88</v>
      </c>
    </row>
    <row r="62" spans="1:6" ht="15" customHeight="1">
      <c r="A62" s="27">
        <v>5240</v>
      </c>
      <c r="B62" s="29" t="s">
        <v>25</v>
      </c>
      <c r="C62" s="28"/>
      <c r="D62" s="28"/>
      <c r="E62" s="28"/>
      <c r="F62" s="94">
        <v>12.86</v>
      </c>
    </row>
    <row r="63" spans="1:6" ht="15" customHeight="1">
      <c r="A63" s="27">
        <v>5250</v>
      </c>
      <c r="B63" s="29" t="s">
        <v>26</v>
      </c>
      <c r="C63" s="28"/>
      <c r="D63" s="28"/>
      <c r="E63" s="28"/>
      <c r="F63" s="94">
        <v>51.38</v>
      </c>
    </row>
    <row r="64" spans="1:6" ht="15" customHeight="1">
      <c r="A64" s="32"/>
      <c r="B64" s="34" t="s">
        <v>67</v>
      </c>
      <c r="C64" s="31">
        <f>SUM(C37:C55)</f>
        <v>6639.500000000003</v>
      </c>
      <c r="D64" s="31">
        <f>SUM(D37:D55)</f>
        <v>0</v>
      </c>
      <c r="E64" s="31">
        <f>SUM(E37:E55)</f>
        <v>3319.7800000000007</v>
      </c>
      <c r="F64" s="31">
        <f>SUM(F37:F63)</f>
        <v>596.37</v>
      </c>
    </row>
    <row r="65" spans="1:6" ht="15" customHeight="1">
      <c r="A65" s="32"/>
      <c r="B65" s="34" t="s">
        <v>32</v>
      </c>
      <c r="C65" s="31" t="e">
        <f>#REF!+C28</f>
        <v>#REF!</v>
      </c>
      <c r="D65" s="31" t="e">
        <f>#REF!+D28</f>
        <v>#REF!</v>
      </c>
      <c r="E65" s="31" t="e">
        <f>#REF!+E28</f>
        <v>#REF!</v>
      </c>
      <c r="F65" s="31">
        <f>F35+F64</f>
        <v>2094.25</v>
      </c>
    </row>
    <row r="66" spans="1:2" ht="15.75">
      <c r="A66" s="35"/>
      <c r="B66" s="20"/>
    </row>
    <row r="67" spans="1:6" ht="15.75" customHeight="1">
      <c r="A67" s="137" t="s">
        <v>45</v>
      </c>
      <c r="B67" s="137"/>
      <c r="C67" s="10">
        <v>148</v>
      </c>
      <c r="D67" s="21">
        <v>0</v>
      </c>
      <c r="E67" s="21">
        <v>74</v>
      </c>
      <c r="F67" s="108">
        <v>1</v>
      </c>
    </row>
    <row r="68" spans="1:6" ht="15.75" customHeight="1">
      <c r="A68" s="137" t="s">
        <v>46</v>
      </c>
      <c r="B68" s="137"/>
      <c r="C68" s="36" t="e">
        <f>#REF!/C67</f>
        <v>#REF!</v>
      </c>
      <c r="D68" s="37">
        <v>0</v>
      </c>
      <c r="E68" s="37" t="e">
        <f>#REF!/E67</f>
        <v>#REF!</v>
      </c>
      <c r="F68" s="109">
        <f>F65/F67</f>
        <v>2094.25</v>
      </c>
    </row>
    <row r="69" spans="1:6" ht="15.75" customHeight="1">
      <c r="A69" s="9"/>
      <c r="B69" s="9"/>
      <c r="C69" s="36"/>
      <c r="D69" s="36"/>
      <c r="E69" s="36"/>
      <c r="F69" s="36"/>
    </row>
    <row r="70" spans="1:6" s="2" customFormat="1" ht="15.75">
      <c r="A70" s="139" t="s">
        <v>37</v>
      </c>
      <c r="B70" s="140"/>
      <c r="C70" s="39"/>
      <c r="D70" s="39"/>
      <c r="E70" s="39"/>
      <c r="F70" s="39"/>
    </row>
    <row r="71" spans="1:6" s="2" customFormat="1" ht="15.75">
      <c r="A71" s="139" t="s">
        <v>54</v>
      </c>
      <c r="B71" s="140"/>
      <c r="C71" s="16"/>
      <c r="D71" s="40"/>
      <c r="E71" s="39"/>
      <c r="F71" s="39"/>
    </row>
    <row r="72" spans="1:6" s="2" customFormat="1" ht="15.75">
      <c r="A72" s="17"/>
      <c r="B72" s="17"/>
      <c r="C72" s="17"/>
      <c r="D72" s="17"/>
      <c r="E72" s="17"/>
      <c r="F72" s="17"/>
    </row>
    <row r="73" spans="1:6" s="2" customFormat="1" ht="15.75">
      <c r="A73" s="17" t="s">
        <v>38</v>
      </c>
      <c r="B73" s="17"/>
      <c r="C73" s="17"/>
      <c r="D73" s="17"/>
      <c r="E73" s="17"/>
      <c r="F73" s="65"/>
    </row>
    <row r="74" spans="1:6" s="2" customFormat="1" ht="15.75">
      <c r="A74" s="17"/>
      <c r="B74" s="17"/>
      <c r="C74" s="17"/>
      <c r="D74" s="17"/>
      <c r="E74" s="17"/>
      <c r="F74" s="17"/>
    </row>
    <row r="75" spans="1:6" s="2" customFormat="1" ht="15.75">
      <c r="A75" s="17" t="s">
        <v>47</v>
      </c>
      <c r="B75" s="18"/>
      <c r="C75" s="18"/>
      <c r="D75" s="18"/>
      <c r="E75" s="18"/>
      <c r="F75" s="18"/>
    </row>
    <row r="76" spans="1:6" s="2" customFormat="1" ht="13.5" customHeight="1">
      <c r="A76" s="17"/>
      <c r="B76" s="97"/>
      <c r="C76" s="19"/>
      <c r="D76" s="19"/>
      <c r="E76" s="17"/>
      <c r="F76" s="17"/>
    </row>
    <row r="77" spans="1:6" s="2" customFormat="1" ht="13.5" customHeight="1">
      <c r="A77" s="17"/>
      <c r="B77" s="19"/>
      <c r="C77" s="17"/>
      <c r="D77" s="17"/>
      <c r="E77" s="17"/>
      <c r="F77" s="17"/>
    </row>
    <row r="78" spans="1:6" s="1" customFormat="1" ht="15">
      <c r="A78" s="6"/>
      <c r="B78" s="6"/>
      <c r="C78" s="101"/>
      <c r="D78" s="6"/>
      <c r="E78" s="6"/>
      <c r="F78" s="6"/>
    </row>
  </sheetData>
  <sheetProtection/>
  <mergeCells count="12">
    <mergeCell ref="B12:D12"/>
    <mergeCell ref="A67:B67"/>
    <mergeCell ref="A68:B68"/>
    <mergeCell ref="A70:B70"/>
    <mergeCell ref="A71:B71"/>
    <mergeCell ref="B1:F1"/>
    <mergeCell ref="B2:F2"/>
    <mergeCell ref="B3:F3"/>
    <mergeCell ref="A7:F7"/>
    <mergeCell ref="A9:B9"/>
    <mergeCell ref="A10:B10"/>
    <mergeCell ref="B11:F11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Layout" zoomScale="90" zoomScaleNormal="90" zoomScalePageLayoutView="90" workbookViewId="0" topLeftCell="A60">
      <selection activeCell="B11" sqref="B11:F11"/>
    </sheetView>
  </sheetViews>
  <sheetFormatPr defaultColWidth="9.140625" defaultRowHeight="12.75"/>
  <cols>
    <col min="1" max="1" width="12.7109375" style="6" customWidth="1"/>
    <col min="2" max="2" width="97.8515625" style="6" customWidth="1"/>
    <col min="3" max="3" width="12.7109375" style="6" hidden="1" customWidth="1"/>
    <col min="4" max="4" width="25.8515625" style="6" hidden="1" customWidth="1"/>
    <col min="5" max="5" width="20.57421875" style="6" hidden="1" customWidth="1"/>
    <col min="6" max="6" width="32.57421875" style="6" customWidth="1"/>
    <col min="7" max="16384" width="9.140625" style="3" customWidth="1"/>
  </cols>
  <sheetData>
    <row r="1" spans="1:6" ht="15.75" customHeight="1">
      <c r="A1" s="12"/>
      <c r="B1" s="133" t="s">
        <v>35</v>
      </c>
      <c r="C1" s="133"/>
      <c r="D1" s="133"/>
      <c r="E1" s="133"/>
      <c r="F1" s="134"/>
    </row>
    <row r="2" spans="1:6" ht="15.75">
      <c r="A2" s="12"/>
      <c r="B2" s="135" t="s">
        <v>39</v>
      </c>
      <c r="C2" s="135"/>
      <c r="D2" s="135"/>
      <c r="E2" s="135"/>
      <c r="F2" s="136"/>
    </row>
    <row r="3" spans="1:6" ht="15.75">
      <c r="A3" s="12"/>
      <c r="B3" s="131" t="s">
        <v>57</v>
      </c>
      <c r="C3" s="132"/>
      <c r="D3" s="132"/>
      <c r="E3" s="132"/>
      <c r="F3" s="132"/>
    </row>
    <row r="4" spans="1:6" ht="15.75">
      <c r="A4" s="12"/>
      <c r="B4" s="11"/>
      <c r="C4" s="11"/>
      <c r="D4" s="11"/>
      <c r="E4" s="13"/>
      <c r="F4" s="97"/>
    </row>
    <row r="5" spans="1:6" ht="15.75">
      <c r="A5" s="12"/>
      <c r="B5" s="15"/>
      <c r="C5" s="15"/>
      <c r="D5" s="15"/>
      <c r="E5" s="12"/>
      <c r="F5" s="11" t="s">
        <v>136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38" t="s">
        <v>5</v>
      </c>
      <c r="B7" s="138"/>
      <c r="C7" s="138"/>
      <c r="D7" s="138"/>
      <c r="E7" s="138"/>
      <c r="F7" s="138"/>
    </row>
    <row r="8" spans="1:5" ht="15.75">
      <c r="A8" s="98"/>
      <c r="B8" s="98"/>
      <c r="C8" s="98"/>
      <c r="D8" s="98"/>
      <c r="E8" s="98"/>
    </row>
    <row r="9" spans="1:5" ht="15.75" customHeight="1">
      <c r="A9" s="137" t="s">
        <v>1</v>
      </c>
      <c r="B9" s="137"/>
      <c r="C9" s="9"/>
      <c r="D9" s="9"/>
      <c r="E9" s="9"/>
    </row>
    <row r="10" spans="1:5" ht="15.75" customHeight="1">
      <c r="A10" s="137" t="s">
        <v>0</v>
      </c>
      <c r="B10" s="137"/>
      <c r="C10" s="9"/>
      <c r="D10" s="9"/>
      <c r="E10" s="9"/>
    </row>
    <row r="11" spans="1:6" ht="15" customHeight="1">
      <c r="A11" s="9"/>
      <c r="B11" s="137" t="s">
        <v>149</v>
      </c>
      <c r="C11" s="137"/>
      <c r="D11" s="137"/>
      <c r="E11" s="137"/>
      <c r="F11" s="137"/>
    </row>
    <row r="12" spans="1:6" ht="15" customHeight="1">
      <c r="A12" s="9"/>
      <c r="B12" s="137" t="s">
        <v>106</v>
      </c>
      <c r="C12" s="142"/>
      <c r="D12" s="142"/>
      <c r="E12" s="9"/>
      <c r="F12" s="14"/>
    </row>
    <row r="13" spans="1:5" ht="15.75" customHeight="1">
      <c r="A13" s="9" t="s">
        <v>2</v>
      </c>
      <c r="B13" s="9" t="s">
        <v>99</v>
      </c>
      <c r="C13" s="9"/>
      <c r="D13" s="9"/>
      <c r="E13" s="9"/>
    </row>
    <row r="14" spans="1:6" ht="66.7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69</v>
      </c>
      <c r="C16" s="26"/>
      <c r="D16" s="26"/>
      <c r="E16" s="26"/>
      <c r="F16" s="26"/>
    </row>
    <row r="17" spans="1:6" ht="15" customHeight="1">
      <c r="A17" s="27">
        <v>1100</v>
      </c>
      <c r="B17" s="27" t="s">
        <v>64</v>
      </c>
      <c r="C17" s="28">
        <v>5789.22</v>
      </c>
      <c r="D17" s="28">
        <v>0</v>
      </c>
      <c r="E17" s="28">
        <v>3074.97</v>
      </c>
      <c r="F17" s="28">
        <v>1015.21</v>
      </c>
    </row>
    <row r="18" spans="1:6" ht="15.75" customHeight="1">
      <c r="A18" s="27">
        <v>1200</v>
      </c>
      <c r="B18" s="29" t="s">
        <v>63</v>
      </c>
      <c r="C18" s="28">
        <v>1365.67</v>
      </c>
      <c r="D18" s="28">
        <v>0</v>
      </c>
      <c r="E18" s="28">
        <v>725.39</v>
      </c>
      <c r="F18" s="28">
        <v>244.56</v>
      </c>
    </row>
    <row r="19" spans="1:6" ht="15.75">
      <c r="A19" s="27">
        <v>2210</v>
      </c>
      <c r="B19" s="29" t="s">
        <v>27</v>
      </c>
      <c r="C19" s="28"/>
      <c r="D19" s="28"/>
      <c r="E19" s="28"/>
      <c r="F19" s="28">
        <v>5.53</v>
      </c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12.48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23.67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6.91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v>19.74</v>
      </c>
    </row>
    <row r="24" spans="1:6" ht="15" customHeight="1">
      <c r="A24" s="27">
        <v>2251</v>
      </c>
      <c r="B24" s="29" t="s">
        <v>61</v>
      </c>
      <c r="C24" s="28"/>
      <c r="D24" s="28"/>
      <c r="E24" s="28"/>
      <c r="F24" s="28">
        <v>20.07</v>
      </c>
    </row>
    <row r="25" spans="1:6" ht="15" customHeight="1" hidden="1">
      <c r="A25" s="27">
        <v>2264</v>
      </c>
      <c r="B25" s="29" t="s">
        <v>13</v>
      </c>
      <c r="C25" s="28"/>
      <c r="D25" s="28"/>
      <c r="E25" s="28"/>
      <c r="F25" s="28"/>
    </row>
    <row r="26" spans="1:6" ht="15" customHeight="1">
      <c r="A26" s="27">
        <v>2279</v>
      </c>
      <c r="B26" s="29" t="s">
        <v>14</v>
      </c>
      <c r="C26" s="28"/>
      <c r="D26" s="28"/>
      <c r="E26" s="28"/>
      <c r="F26" s="28">
        <v>15.73</v>
      </c>
    </row>
    <row r="27" spans="1:6" ht="15" customHeight="1">
      <c r="A27" s="27">
        <v>2311</v>
      </c>
      <c r="B27" s="29" t="s">
        <v>74</v>
      </c>
      <c r="C27" s="28"/>
      <c r="D27" s="28"/>
      <c r="E27" s="28"/>
      <c r="F27" s="28">
        <v>25.73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v>8.86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24.29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1.43</v>
      </c>
    </row>
    <row r="31" spans="1:6" ht="15" customHeight="1" hidden="1">
      <c r="A31" s="27">
        <v>2361</v>
      </c>
      <c r="B31" s="29" t="s">
        <v>20</v>
      </c>
      <c r="C31" s="28"/>
      <c r="D31" s="28"/>
      <c r="E31" s="28"/>
      <c r="F31" s="28"/>
    </row>
    <row r="32" spans="1:6" ht="15.75">
      <c r="A32" s="27">
        <v>2370</v>
      </c>
      <c r="B32" s="29" t="s">
        <v>70</v>
      </c>
      <c r="C32" s="28"/>
      <c r="D32" s="28"/>
      <c r="E32" s="28"/>
      <c r="F32" s="28">
        <v>14.33</v>
      </c>
    </row>
    <row r="33" spans="1:6" ht="15.7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58</v>
      </c>
      <c r="C34" s="28">
        <v>1.8</v>
      </c>
      <c r="D34" s="28">
        <v>0</v>
      </c>
      <c r="E34" s="28">
        <f>ROUND(C34/2,2)</f>
        <v>0.9</v>
      </c>
      <c r="F34" s="28">
        <v>7.17</v>
      </c>
    </row>
    <row r="35" spans="1:6" ht="15" customHeight="1">
      <c r="A35" s="27"/>
      <c r="B35" s="30" t="s">
        <v>66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1445.71</v>
      </c>
    </row>
    <row r="36" spans="1:6" ht="15" customHeight="1">
      <c r="A36" s="32"/>
      <c r="B36" s="27" t="s">
        <v>65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64</v>
      </c>
      <c r="C37" s="28">
        <v>4429</v>
      </c>
      <c r="D37" s="28">
        <v>0</v>
      </c>
      <c r="E37" s="28">
        <f aca="true" t="shared" si="0" ref="E37:E55">ROUND(C37/2,2)</f>
        <v>2214.5</v>
      </c>
      <c r="F37" s="28">
        <v>304.32</v>
      </c>
    </row>
    <row r="38" spans="1:6" ht="15.75" customHeight="1">
      <c r="A38" s="27">
        <v>1200</v>
      </c>
      <c r="B38" s="29" t="s">
        <v>63</v>
      </c>
      <c r="C38" s="28">
        <v>1044.8</v>
      </c>
      <c r="D38" s="28">
        <v>0</v>
      </c>
      <c r="E38" s="28">
        <f t="shared" si="0"/>
        <v>522.4</v>
      </c>
      <c r="F38" s="28">
        <v>73.31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8.86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7.2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1.33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0.51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4.98</v>
      </c>
    </row>
    <row r="44" spans="1:6" ht="15" customHeight="1">
      <c r="A44" s="27">
        <v>2244</v>
      </c>
      <c r="B44" s="29" t="s">
        <v>10</v>
      </c>
      <c r="C44" s="28"/>
      <c r="D44" s="28"/>
      <c r="E44" s="28"/>
      <c r="F44" s="28">
        <v>1.1</v>
      </c>
    </row>
    <row r="45" spans="1:6" ht="15.75" customHeight="1">
      <c r="A45" s="27">
        <v>2247</v>
      </c>
      <c r="B45" s="25" t="s">
        <v>60</v>
      </c>
      <c r="C45" s="28">
        <v>5.71</v>
      </c>
      <c r="D45" s="28">
        <v>0</v>
      </c>
      <c r="E45" s="28">
        <f t="shared" si="0"/>
        <v>2.86</v>
      </c>
      <c r="F45" s="28">
        <v>1.46</v>
      </c>
    </row>
    <row r="46" spans="1:6" ht="15" customHeight="1">
      <c r="A46" s="27">
        <v>2251</v>
      </c>
      <c r="B46" s="29" t="s">
        <v>61</v>
      </c>
      <c r="C46" s="28">
        <v>145.52</v>
      </c>
      <c r="D46" s="28">
        <v>0</v>
      </c>
      <c r="E46" s="28">
        <f t="shared" si="0"/>
        <v>72.76</v>
      </c>
      <c r="F46" s="28">
        <v>11.46</v>
      </c>
    </row>
    <row r="47" spans="1:6" ht="15" customHeight="1">
      <c r="A47" s="27">
        <v>2259</v>
      </c>
      <c r="B47" s="29" t="s">
        <v>62</v>
      </c>
      <c r="C47" s="28">
        <v>0.48</v>
      </c>
      <c r="D47" s="28">
        <v>0</v>
      </c>
      <c r="E47" s="28">
        <f t="shared" si="0"/>
        <v>0.24</v>
      </c>
      <c r="F47" s="28">
        <v>0.09</v>
      </c>
    </row>
    <row r="48" spans="1:6" ht="15" customHeight="1">
      <c r="A48" s="27">
        <v>2261</v>
      </c>
      <c r="B48" s="29" t="s">
        <v>11</v>
      </c>
      <c r="C48" s="28"/>
      <c r="D48" s="28"/>
      <c r="E48" s="28"/>
      <c r="F48" s="28">
        <v>3.65</v>
      </c>
    </row>
    <row r="49" spans="1:6" ht="15" customHeight="1">
      <c r="A49" s="27">
        <v>2262</v>
      </c>
      <c r="B49" s="29" t="s">
        <v>12</v>
      </c>
      <c r="C49" s="28">
        <v>63.08</v>
      </c>
      <c r="D49" s="28">
        <v>0</v>
      </c>
      <c r="E49" s="28">
        <f t="shared" si="0"/>
        <v>31.54</v>
      </c>
      <c r="F49" s="28">
        <v>12.05</v>
      </c>
    </row>
    <row r="50" spans="1:6" ht="15" customHeight="1" hidden="1">
      <c r="A50" s="27">
        <v>2264</v>
      </c>
      <c r="B50" s="29" t="s">
        <v>13</v>
      </c>
      <c r="C50" s="28">
        <v>1.18</v>
      </c>
      <c r="D50" s="28">
        <v>0</v>
      </c>
      <c r="E50" s="28">
        <f t="shared" si="0"/>
        <v>0.59</v>
      </c>
      <c r="F50" s="28">
        <v>0</v>
      </c>
    </row>
    <row r="51" spans="1:6" ht="15.75" customHeight="1">
      <c r="A51" s="27">
        <v>2279</v>
      </c>
      <c r="B51" s="29" t="s">
        <v>14</v>
      </c>
      <c r="C51" s="28">
        <v>259.89</v>
      </c>
      <c r="D51" s="28">
        <v>0</v>
      </c>
      <c r="E51" s="28">
        <f t="shared" si="0"/>
        <v>129.95</v>
      </c>
      <c r="F51" s="28">
        <v>1.37</v>
      </c>
    </row>
    <row r="52" spans="1:6" ht="15.75" customHeight="1">
      <c r="A52" s="27">
        <v>2311</v>
      </c>
      <c r="B52" s="29" t="s">
        <v>15</v>
      </c>
      <c r="C52" s="28">
        <v>24.47</v>
      </c>
      <c r="D52" s="28">
        <v>0</v>
      </c>
      <c r="E52" s="28">
        <f t="shared" si="0"/>
        <v>12.24</v>
      </c>
      <c r="F52" s="28">
        <v>21.62</v>
      </c>
    </row>
    <row r="53" spans="1:6" ht="15" customHeight="1">
      <c r="A53" s="27">
        <v>2312</v>
      </c>
      <c r="B53" s="29" t="s">
        <v>16</v>
      </c>
      <c r="C53" s="28">
        <v>45.22</v>
      </c>
      <c r="D53" s="28">
        <v>0</v>
      </c>
      <c r="E53" s="28">
        <f t="shared" si="0"/>
        <v>22.61</v>
      </c>
      <c r="F53" s="28">
        <v>1.51</v>
      </c>
    </row>
    <row r="54" spans="1:6" ht="15" customHeight="1">
      <c r="A54" s="27">
        <v>2322</v>
      </c>
      <c r="B54" s="29" t="s">
        <v>18</v>
      </c>
      <c r="C54" s="28">
        <v>170.03</v>
      </c>
      <c r="D54" s="28">
        <v>0</v>
      </c>
      <c r="E54" s="28">
        <f t="shared" si="0"/>
        <v>85.02</v>
      </c>
      <c r="F54" s="28">
        <v>15.88</v>
      </c>
    </row>
    <row r="55" spans="1:6" ht="15" customHeight="1">
      <c r="A55" s="27">
        <v>2350</v>
      </c>
      <c r="B55" s="29" t="s">
        <v>19</v>
      </c>
      <c r="C55" s="28">
        <v>193.6</v>
      </c>
      <c r="D55" s="28">
        <v>0</v>
      </c>
      <c r="E55" s="28">
        <f t="shared" si="0"/>
        <v>96.8</v>
      </c>
      <c r="F55" s="28">
        <v>30.81</v>
      </c>
    </row>
    <row r="56" spans="1:6" ht="15" customHeight="1">
      <c r="A56" s="27">
        <v>2361</v>
      </c>
      <c r="B56" s="29" t="s">
        <v>20</v>
      </c>
      <c r="C56" s="28"/>
      <c r="D56" s="28"/>
      <c r="E56" s="28"/>
      <c r="F56" s="28">
        <v>9.41</v>
      </c>
    </row>
    <row r="57" spans="1:6" ht="15" customHeight="1">
      <c r="A57" s="27">
        <v>2370</v>
      </c>
      <c r="B57" s="29" t="s">
        <v>70</v>
      </c>
      <c r="C57" s="28"/>
      <c r="D57" s="28"/>
      <c r="E57" s="28"/>
      <c r="F57" s="28">
        <v>7.2</v>
      </c>
    </row>
    <row r="58" spans="1:6" ht="15" customHeight="1">
      <c r="A58" s="27">
        <v>2400</v>
      </c>
      <c r="B58" s="29" t="s">
        <v>31</v>
      </c>
      <c r="C58" s="28"/>
      <c r="D58" s="28"/>
      <c r="E58" s="28"/>
      <c r="F58" s="28">
        <v>1.74</v>
      </c>
    </row>
    <row r="59" spans="1:6" ht="15" customHeight="1">
      <c r="A59" s="27">
        <v>2515</v>
      </c>
      <c r="B59" s="29" t="s">
        <v>59</v>
      </c>
      <c r="C59" s="28"/>
      <c r="D59" s="28"/>
      <c r="E59" s="28"/>
      <c r="F59" s="28">
        <v>4.71</v>
      </c>
    </row>
    <row r="60" spans="1:6" ht="15" customHeight="1">
      <c r="A60" s="27">
        <v>2519</v>
      </c>
      <c r="B60" s="29" t="s">
        <v>24</v>
      </c>
      <c r="C60" s="28"/>
      <c r="D60" s="28"/>
      <c r="E60" s="28"/>
      <c r="F60" s="28">
        <v>10.4</v>
      </c>
    </row>
    <row r="61" spans="1:6" ht="15" customHeight="1">
      <c r="A61" s="27">
        <v>5232</v>
      </c>
      <c r="B61" s="29" t="s">
        <v>23</v>
      </c>
      <c r="C61" s="28"/>
      <c r="D61" s="28"/>
      <c r="E61" s="28"/>
      <c r="F61" s="28">
        <v>74.19</v>
      </c>
    </row>
    <row r="62" spans="1:6" ht="15" customHeight="1">
      <c r="A62" s="27">
        <v>5240</v>
      </c>
      <c r="B62" s="29" t="s">
        <v>25</v>
      </c>
      <c r="C62" s="28"/>
      <c r="D62" s="28"/>
      <c r="E62" s="28"/>
      <c r="F62" s="28">
        <v>14.93</v>
      </c>
    </row>
    <row r="63" spans="1:6" ht="15" customHeight="1">
      <c r="A63" s="27">
        <v>5250</v>
      </c>
      <c r="B63" s="29" t="s">
        <v>26</v>
      </c>
      <c r="C63" s="28"/>
      <c r="D63" s="28"/>
      <c r="E63" s="28"/>
      <c r="F63" s="28">
        <v>59.67</v>
      </c>
    </row>
    <row r="64" spans="1:6" ht="15" customHeight="1">
      <c r="A64" s="32"/>
      <c r="B64" s="34" t="s">
        <v>67</v>
      </c>
      <c r="C64" s="31">
        <f>SUM(C37:C55)</f>
        <v>6639.500000000003</v>
      </c>
      <c r="D64" s="31">
        <f>SUM(D37:D55)</f>
        <v>0</v>
      </c>
      <c r="E64" s="31">
        <f>SUM(E37:E55)</f>
        <v>3319.7800000000007</v>
      </c>
      <c r="F64" s="31">
        <f>SUM(F37:F63)</f>
        <v>683.76</v>
      </c>
    </row>
    <row r="65" spans="1:6" ht="15" customHeight="1">
      <c r="A65" s="32"/>
      <c r="B65" s="34" t="s">
        <v>32</v>
      </c>
      <c r="C65" s="31" t="e">
        <f>#REF!+C28</f>
        <v>#REF!</v>
      </c>
      <c r="D65" s="31" t="e">
        <f>#REF!+D28</f>
        <v>#REF!</v>
      </c>
      <c r="E65" s="31" t="e">
        <f>#REF!+E28</f>
        <v>#REF!</v>
      </c>
      <c r="F65" s="31">
        <f>F35+F64</f>
        <v>2129.4700000000003</v>
      </c>
    </row>
    <row r="66" spans="1:2" ht="15.75">
      <c r="A66" s="35"/>
      <c r="B66" s="20"/>
    </row>
    <row r="67" spans="1:6" ht="15.75" customHeight="1">
      <c r="A67" s="137" t="s">
        <v>45</v>
      </c>
      <c r="B67" s="137"/>
      <c r="C67" s="10">
        <v>148</v>
      </c>
      <c r="D67" s="21">
        <v>0</v>
      </c>
      <c r="E67" s="21">
        <v>74</v>
      </c>
      <c r="F67" s="108">
        <v>1</v>
      </c>
    </row>
    <row r="68" spans="1:6" ht="15.75" customHeight="1">
      <c r="A68" s="137" t="s">
        <v>46</v>
      </c>
      <c r="B68" s="137"/>
      <c r="C68" s="36" t="e">
        <f>#REF!/C67</f>
        <v>#REF!</v>
      </c>
      <c r="D68" s="37">
        <v>0</v>
      </c>
      <c r="E68" s="37" t="e">
        <f>#REF!/E67</f>
        <v>#REF!</v>
      </c>
      <c r="F68" s="109">
        <f>F65/F67</f>
        <v>2129.4700000000003</v>
      </c>
    </row>
    <row r="69" spans="1:6" ht="15.75" customHeight="1">
      <c r="A69" s="9"/>
      <c r="B69" s="9"/>
      <c r="C69" s="36"/>
      <c r="D69" s="36"/>
      <c r="E69" s="36"/>
      <c r="F69" s="36"/>
    </row>
    <row r="70" spans="1:6" s="2" customFormat="1" ht="15.75">
      <c r="A70" s="139" t="s">
        <v>37</v>
      </c>
      <c r="B70" s="140"/>
      <c r="C70" s="39"/>
      <c r="D70" s="39"/>
      <c r="E70" s="39"/>
      <c r="F70" s="39"/>
    </row>
    <row r="71" spans="1:6" s="2" customFormat="1" ht="15.75">
      <c r="A71" s="139" t="s">
        <v>54</v>
      </c>
      <c r="B71" s="140"/>
      <c r="C71" s="16"/>
      <c r="D71" s="40"/>
      <c r="E71" s="39"/>
      <c r="F71" s="39"/>
    </row>
    <row r="72" spans="1:6" s="2" customFormat="1" ht="15.75">
      <c r="A72" s="17"/>
      <c r="B72" s="17"/>
      <c r="C72" s="17"/>
      <c r="D72" s="17"/>
      <c r="E72" s="17"/>
      <c r="F72" s="17"/>
    </row>
    <row r="73" spans="1:6" s="2" customFormat="1" ht="15.75">
      <c r="A73" s="17" t="s">
        <v>38</v>
      </c>
      <c r="B73" s="17"/>
      <c r="C73" s="17"/>
      <c r="D73" s="17"/>
      <c r="E73" s="17"/>
      <c r="F73" s="65"/>
    </row>
    <row r="74" spans="1:6" s="2" customFormat="1" ht="15.75">
      <c r="A74" s="17"/>
      <c r="B74" s="17"/>
      <c r="C74" s="17"/>
      <c r="D74" s="17"/>
      <c r="E74" s="17"/>
      <c r="F74" s="17"/>
    </row>
    <row r="75" spans="1:6" s="2" customFormat="1" ht="15.75">
      <c r="A75" s="17" t="s">
        <v>47</v>
      </c>
      <c r="B75" s="18"/>
      <c r="C75" s="18"/>
      <c r="D75" s="18"/>
      <c r="E75" s="18"/>
      <c r="F75" s="18"/>
    </row>
    <row r="76" spans="1:6" s="2" customFormat="1" ht="13.5" customHeight="1">
      <c r="A76" s="17"/>
      <c r="B76" s="97"/>
      <c r="C76" s="19"/>
      <c r="D76" s="19"/>
      <c r="E76" s="17"/>
      <c r="F76" s="17"/>
    </row>
    <row r="77" spans="1:6" s="2" customFormat="1" ht="13.5" customHeight="1">
      <c r="A77" s="17"/>
      <c r="B77" s="19"/>
      <c r="C77" s="17"/>
      <c r="D77" s="17"/>
      <c r="E77" s="17"/>
      <c r="F77" s="17"/>
    </row>
    <row r="78" spans="1:6" s="1" customFormat="1" ht="15">
      <c r="A78" s="6"/>
      <c r="B78" s="6"/>
      <c r="C78" s="101"/>
      <c r="D78" s="6"/>
      <c r="E78" s="6"/>
      <c r="F78" s="6"/>
    </row>
  </sheetData>
  <sheetProtection/>
  <mergeCells count="12">
    <mergeCell ref="A67:B67"/>
    <mergeCell ref="A68:B68"/>
    <mergeCell ref="A70:B70"/>
    <mergeCell ref="A71:B71"/>
    <mergeCell ref="B12:D12"/>
    <mergeCell ref="B3:F3"/>
    <mergeCell ref="B1:F1"/>
    <mergeCell ref="B2:F2"/>
    <mergeCell ref="A9:B9"/>
    <mergeCell ref="A10:B10"/>
    <mergeCell ref="A7:F7"/>
    <mergeCell ref="B11:F11"/>
  </mergeCells>
  <printOptions/>
  <pageMargins left="0.7086614173228347" right="0.7086614173228347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62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view="pageLayout" zoomScale="90" zoomScaleNormal="90" zoomScalePageLayoutView="90" workbookViewId="0" topLeftCell="A51">
      <selection activeCell="B11" sqref="B11:F11"/>
    </sheetView>
  </sheetViews>
  <sheetFormatPr defaultColWidth="9.140625" defaultRowHeight="12.75"/>
  <cols>
    <col min="1" max="1" width="12.28125" style="6" customWidth="1"/>
    <col min="2" max="2" width="97.8515625" style="6" customWidth="1"/>
    <col min="3" max="3" width="12.8515625" style="6" hidden="1" customWidth="1"/>
    <col min="4" max="4" width="25.8515625" style="6" hidden="1" customWidth="1"/>
    <col min="5" max="5" width="23.28125" style="6" hidden="1" customWidth="1"/>
    <col min="6" max="6" width="33.140625" style="6" customWidth="1"/>
    <col min="7" max="16384" width="9.140625" style="3" customWidth="1"/>
  </cols>
  <sheetData>
    <row r="1" spans="1:6" ht="15.75" customHeight="1">
      <c r="A1" s="12"/>
      <c r="B1" s="133" t="s">
        <v>35</v>
      </c>
      <c r="C1" s="133"/>
      <c r="D1" s="133"/>
      <c r="E1" s="133"/>
      <c r="F1" s="134"/>
    </row>
    <row r="2" spans="1:6" ht="15.75">
      <c r="A2" s="12"/>
      <c r="B2" s="135" t="s">
        <v>39</v>
      </c>
      <c r="C2" s="135"/>
      <c r="D2" s="135"/>
      <c r="E2" s="135"/>
      <c r="F2" s="136"/>
    </row>
    <row r="3" spans="1:6" ht="15.75">
      <c r="A3" s="12"/>
      <c r="B3" s="131" t="s">
        <v>57</v>
      </c>
      <c r="C3" s="132"/>
      <c r="D3" s="132"/>
      <c r="E3" s="132"/>
      <c r="F3" s="132"/>
    </row>
    <row r="4" spans="1:6" ht="15.75">
      <c r="A4" s="12"/>
      <c r="B4" s="11"/>
      <c r="C4" s="11"/>
      <c r="D4" s="11"/>
      <c r="E4" s="13"/>
      <c r="F4" s="97"/>
    </row>
    <row r="5" spans="1:6" ht="15.75">
      <c r="A5" s="12"/>
      <c r="B5" s="15"/>
      <c r="C5" s="15"/>
      <c r="D5" s="15"/>
      <c r="E5" s="12"/>
      <c r="F5" s="11" t="s">
        <v>137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38" t="s">
        <v>5</v>
      </c>
      <c r="B7" s="138"/>
      <c r="C7" s="138"/>
      <c r="D7" s="138"/>
      <c r="E7" s="138"/>
      <c r="F7" s="138"/>
    </row>
    <row r="8" spans="1:5" ht="15.75">
      <c r="A8" s="98"/>
      <c r="B8" s="98"/>
      <c r="C8" s="98"/>
      <c r="D8" s="98"/>
      <c r="E8" s="98"/>
    </row>
    <row r="9" spans="1:5" ht="15" customHeight="1">
      <c r="A9" s="137" t="s">
        <v>1</v>
      </c>
      <c r="B9" s="137"/>
      <c r="C9" s="9"/>
      <c r="D9" s="9"/>
      <c r="E9" s="9"/>
    </row>
    <row r="10" spans="1:5" ht="15" customHeight="1">
      <c r="A10" s="137" t="s">
        <v>0</v>
      </c>
      <c r="B10" s="137"/>
      <c r="C10" s="9"/>
      <c r="D10" s="9"/>
      <c r="E10" s="9"/>
    </row>
    <row r="11" spans="1:6" ht="15" customHeight="1">
      <c r="A11" s="9"/>
      <c r="B11" s="137" t="s">
        <v>149</v>
      </c>
      <c r="C11" s="137"/>
      <c r="D11" s="137"/>
      <c r="E11" s="137"/>
      <c r="F11" s="137"/>
    </row>
    <row r="12" spans="1:6" ht="15" customHeight="1">
      <c r="A12" s="9"/>
      <c r="B12" s="137" t="s">
        <v>107</v>
      </c>
      <c r="C12" s="142"/>
      <c r="D12" s="142"/>
      <c r="E12" s="9"/>
      <c r="F12" s="14"/>
    </row>
    <row r="13" spans="1:5" ht="15" customHeight="1">
      <c r="A13" s="9" t="s">
        <v>2</v>
      </c>
      <c r="B13" s="9" t="s">
        <v>99</v>
      </c>
      <c r="C13" s="9"/>
      <c r="D13" s="9"/>
      <c r="E13" s="9"/>
    </row>
    <row r="14" spans="1:6" ht="67.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69</v>
      </c>
      <c r="C16" s="26"/>
      <c r="D16" s="26"/>
      <c r="E16" s="26"/>
      <c r="F16" s="26"/>
    </row>
    <row r="17" spans="1:6" ht="15.75">
      <c r="A17" s="27">
        <v>1100</v>
      </c>
      <c r="B17" s="27" t="s">
        <v>64</v>
      </c>
      <c r="C17" s="28">
        <v>5789.22</v>
      </c>
      <c r="D17" s="28">
        <v>0</v>
      </c>
      <c r="E17" s="28">
        <v>3074.97</v>
      </c>
      <c r="F17" s="28">
        <v>1003.3</v>
      </c>
    </row>
    <row r="18" spans="1:6" ht="15.75" customHeight="1">
      <c r="A18" s="27">
        <v>1200</v>
      </c>
      <c r="B18" s="29" t="s">
        <v>63</v>
      </c>
      <c r="C18" s="28">
        <v>1365.67</v>
      </c>
      <c r="D18" s="28">
        <v>0</v>
      </c>
      <c r="E18" s="28">
        <v>725.39</v>
      </c>
      <c r="F18" s="28">
        <v>241.7</v>
      </c>
    </row>
    <row r="19" spans="1:6" ht="15" customHeight="1" hidden="1">
      <c r="A19" s="27">
        <v>2210</v>
      </c>
      <c r="B19" s="29" t="s">
        <v>27</v>
      </c>
      <c r="C19" s="28"/>
      <c r="D19" s="28"/>
      <c r="E19" s="28"/>
      <c r="F19" s="28">
        <v>0</v>
      </c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14.16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40.43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22.45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v>42.86</v>
      </c>
    </row>
    <row r="24" spans="1:6" ht="15" customHeight="1" hidden="1">
      <c r="A24" s="27">
        <v>2251</v>
      </c>
      <c r="B24" s="29" t="s">
        <v>61</v>
      </c>
      <c r="C24" s="28"/>
      <c r="D24" s="28"/>
      <c r="E24" s="28"/>
      <c r="F24" s="28">
        <v>0</v>
      </c>
    </row>
    <row r="25" spans="1:6" ht="15" customHeight="1" hidden="1">
      <c r="A25" s="27">
        <v>2261</v>
      </c>
      <c r="B25" s="29" t="s">
        <v>11</v>
      </c>
      <c r="C25" s="28"/>
      <c r="D25" s="28"/>
      <c r="E25" s="28"/>
      <c r="F25" s="28"/>
    </row>
    <row r="26" spans="1:6" ht="15" customHeight="1" hidden="1">
      <c r="A26" s="27">
        <v>2279</v>
      </c>
      <c r="B26" s="29" t="s">
        <v>14</v>
      </c>
      <c r="C26" s="28"/>
      <c r="D26" s="28"/>
      <c r="E26" s="28"/>
      <c r="F26" s="28">
        <v>0</v>
      </c>
    </row>
    <row r="27" spans="1:6" ht="15" customHeight="1">
      <c r="A27" s="27">
        <v>2311</v>
      </c>
      <c r="B27" s="29" t="s">
        <v>74</v>
      </c>
      <c r="C27" s="28"/>
      <c r="D27" s="28"/>
      <c r="E27" s="28"/>
      <c r="F27" s="28">
        <v>24.22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v>36.53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41.23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28.01</v>
      </c>
    </row>
    <row r="31" spans="1:6" ht="15.75">
      <c r="A31" s="27">
        <v>2361</v>
      </c>
      <c r="B31" s="29" t="s">
        <v>20</v>
      </c>
      <c r="C31" s="28"/>
      <c r="D31" s="28"/>
      <c r="E31" s="28"/>
      <c r="F31" s="28">
        <v>23.51</v>
      </c>
    </row>
    <row r="32" spans="1:6" ht="15.75">
      <c r="A32" s="27">
        <v>2370</v>
      </c>
      <c r="B32" s="29" t="s">
        <v>70</v>
      </c>
      <c r="C32" s="28"/>
      <c r="D32" s="28"/>
      <c r="E32" s="28"/>
      <c r="F32" s="28">
        <v>77.82</v>
      </c>
    </row>
    <row r="33" spans="1:6" ht="1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58</v>
      </c>
      <c r="C34" s="28">
        <v>1.8</v>
      </c>
      <c r="D34" s="28">
        <v>0</v>
      </c>
      <c r="E34" s="28">
        <f>ROUND(C34/2,2)</f>
        <v>0.9</v>
      </c>
      <c r="F34" s="28">
        <v>64.46</v>
      </c>
    </row>
    <row r="35" spans="1:6" ht="15" customHeight="1">
      <c r="A35" s="27"/>
      <c r="B35" s="30" t="s">
        <v>66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1660.68</v>
      </c>
    </row>
    <row r="36" spans="1:6" ht="15" customHeight="1">
      <c r="A36" s="32"/>
      <c r="B36" s="27" t="s">
        <v>65</v>
      </c>
      <c r="C36" s="26"/>
      <c r="D36" s="26"/>
      <c r="E36" s="26"/>
      <c r="F36" s="26"/>
    </row>
    <row r="37" spans="1:6" ht="15.75" customHeight="1">
      <c r="A37" s="27">
        <v>1100</v>
      </c>
      <c r="B37" s="27" t="s">
        <v>64</v>
      </c>
      <c r="C37" s="28">
        <v>4429</v>
      </c>
      <c r="D37" s="28">
        <v>0</v>
      </c>
      <c r="E37" s="28">
        <f aca="true" t="shared" si="0" ref="E37:E55">ROUND(C37/2,2)</f>
        <v>2214.5</v>
      </c>
      <c r="F37" s="28">
        <v>230.35</v>
      </c>
    </row>
    <row r="38" spans="1:6" ht="15.75" customHeight="1">
      <c r="A38" s="27">
        <v>1200</v>
      </c>
      <c r="B38" s="29" t="s">
        <v>63</v>
      </c>
      <c r="C38" s="28">
        <v>1044.8</v>
      </c>
      <c r="D38" s="28">
        <v>0</v>
      </c>
      <c r="E38" s="28">
        <f t="shared" si="0"/>
        <v>522.4</v>
      </c>
      <c r="F38" s="28">
        <v>55.49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8.86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11.46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2.07</v>
      </c>
    </row>
    <row r="42" spans="1:6" ht="15.7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7.9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7.76</v>
      </c>
    </row>
    <row r="44" spans="1:6" ht="15.75">
      <c r="A44" s="27">
        <v>2244</v>
      </c>
      <c r="B44" s="29" t="s">
        <v>10</v>
      </c>
      <c r="C44" s="28"/>
      <c r="D44" s="28"/>
      <c r="E44" s="28"/>
      <c r="F44" s="28">
        <v>31.11</v>
      </c>
    </row>
    <row r="45" spans="1:6" ht="15.75">
      <c r="A45" s="27">
        <v>2247</v>
      </c>
      <c r="B45" s="25" t="s">
        <v>60</v>
      </c>
      <c r="C45" s="28">
        <v>5.71</v>
      </c>
      <c r="D45" s="28">
        <v>0</v>
      </c>
      <c r="E45" s="28">
        <f t="shared" si="0"/>
        <v>2.86</v>
      </c>
      <c r="F45" s="28">
        <v>2.28</v>
      </c>
    </row>
    <row r="46" spans="1:6" ht="15" customHeight="1">
      <c r="A46" s="27">
        <v>2251</v>
      </c>
      <c r="B46" s="29" t="s">
        <v>61</v>
      </c>
      <c r="C46" s="28">
        <v>145.52</v>
      </c>
      <c r="D46" s="28">
        <v>0</v>
      </c>
      <c r="E46" s="28">
        <f t="shared" si="0"/>
        <v>72.76</v>
      </c>
      <c r="F46" s="28">
        <v>11.46</v>
      </c>
    </row>
    <row r="47" spans="1:6" ht="15" customHeight="1">
      <c r="A47" s="27">
        <v>2259</v>
      </c>
      <c r="B47" s="29" t="s">
        <v>62</v>
      </c>
      <c r="C47" s="28">
        <v>0.48</v>
      </c>
      <c r="D47" s="28">
        <v>0</v>
      </c>
      <c r="E47" s="28">
        <f t="shared" si="0"/>
        <v>0.24</v>
      </c>
      <c r="F47" s="28">
        <v>0.14</v>
      </c>
    </row>
    <row r="48" spans="1:6" ht="15" customHeight="1">
      <c r="A48" s="27">
        <v>2261</v>
      </c>
      <c r="B48" s="29" t="s">
        <v>11</v>
      </c>
      <c r="C48" s="28"/>
      <c r="D48" s="28"/>
      <c r="E48" s="28"/>
      <c r="F48" s="28">
        <v>5.69</v>
      </c>
    </row>
    <row r="49" spans="1:6" ht="15" customHeight="1">
      <c r="A49" s="27">
        <v>2262</v>
      </c>
      <c r="B49" s="29" t="s">
        <v>12</v>
      </c>
      <c r="C49" s="28">
        <v>63.08</v>
      </c>
      <c r="D49" s="28">
        <v>0</v>
      </c>
      <c r="E49" s="28">
        <f t="shared" si="0"/>
        <v>31.54</v>
      </c>
      <c r="F49" s="28">
        <v>12.05</v>
      </c>
    </row>
    <row r="50" spans="1:6" ht="15.75" customHeight="1">
      <c r="A50" s="27">
        <v>2264</v>
      </c>
      <c r="B50" s="29" t="s">
        <v>13</v>
      </c>
      <c r="C50" s="28">
        <v>1.18</v>
      </c>
      <c r="D50" s="28">
        <v>0</v>
      </c>
      <c r="E50" s="28">
        <f t="shared" si="0"/>
        <v>0.59</v>
      </c>
      <c r="F50" s="28">
        <v>0.14</v>
      </c>
    </row>
    <row r="51" spans="1:6" ht="15.75">
      <c r="A51" s="27">
        <v>2279</v>
      </c>
      <c r="B51" s="29" t="s">
        <v>14</v>
      </c>
      <c r="C51" s="28">
        <v>259.89</v>
      </c>
      <c r="D51" s="28">
        <v>0</v>
      </c>
      <c r="E51" s="28">
        <f t="shared" si="0"/>
        <v>129.95</v>
      </c>
      <c r="F51" s="28">
        <v>4.09</v>
      </c>
    </row>
    <row r="52" spans="1:6" ht="15.75" hidden="1">
      <c r="A52" s="27">
        <v>2311</v>
      </c>
      <c r="B52" s="29" t="s">
        <v>15</v>
      </c>
      <c r="C52" s="28">
        <v>24.47</v>
      </c>
      <c r="D52" s="28">
        <v>0</v>
      </c>
      <c r="E52" s="28">
        <f t="shared" si="0"/>
        <v>12.24</v>
      </c>
      <c r="F52" s="28"/>
    </row>
    <row r="53" spans="1:6" ht="15.75" hidden="1">
      <c r="A53" s="27">
        <v>2312</v>
      </c>
      <c r="B53" s="29" t="s">
        <v>16</v>
      </c>
      <c r="C53" s="28">
        <v>45.22</v>
      </c>
      <c r="D53" s="28">
        <v>0</v>
      </c>
      <c r="E53" s="28">
        <f t="shared" si="0"/>
        <v>22.61</v>
      </c>
      <c r="F53" s="28"/>
    </row>
    <row r="54" spans="1:6" ht="15.75">
      <c r="A54" s="27">
        <v>2322</v>
      </c>
      <c r="B54" s="29" t="s">
        <v>18</v>
      </c>
      <c r="C54" s="28">
        <v>170.03</v>
      </c>
      <c r="D54" s="28">
        <v>0</v>
      </c>
      <c r="E54" s="28">
        <f t="shared" si="0"/>
        <v>85.02</v>
      </c>
      <c r="F54" s="28">
        <v>15.88</v>
      </c>
    </row>
    <row r="55" spans="1:6" ht="15" customHeight="1">
      <c r="A55" s="27">
        <v>2350</v>
      </c>
      <c r="B55" s="29" t="s">
        <v>19</v>
      </c>
      <c r="C55" s="28">
        <v>193.6</v>
      </c>
      <c r="D55" s="28">
        <v>0</v>
      </c>
      <c r="E55" s="28">
        <f t="shared" si="0"/>
        <v>96.8</v>
      </c>
      <c r="F55" s="28">
        <v>30.81</v>
      </c>
    </row>
    <row r="56" spans="1:6" ht="15.75">
      <c r="A56" s="27">
        <v>2361</v>
      </c>
      <c r="B56" s="29" t="s">
        <v>20</v>
      </c>
      <c r="C56" s="28"/>
      <c r="D56" s="28"/>
      <c r="E56" s="28"/>
      <c r="F56" s="28">
        <v>9.41</v>
      </c>
    </row>
    <row r="57" spans="1:6" ht="15" customHeight="1">
      <c r="A57" s="27">
        <v>2370</v>
      </c>
      <c r="B57" s="29" t="s">
        <v>70</v>
      </c>
      <c r="C57" s="28"/>
      <c r="D57" s="28"/>
      <c r="E57" s="28"/>
      <c r="F57" s="28">
        <v>7.2</v>
      </c>
    </row>
    <row r="58" spans="1:6" ht="15.75">
      <c r="A58" s="27">
        <v>2400</v>
      </c>
      <c r="B58" s="29" t="s">
        <v>31</v>
      </c>
      <c r="C58" s="28"/>
      <c r="D58" s="28"/>
      <c r="E58" s="28"/>
      <c r="F58" s="28">
        <v>2.71</v>
      </c>
    </row>
    <row r="59" spans="1:6" ht="15.75">
      <c r="A59" s="27">
        <v>2513</v>
      </c>
      <c r="B59" s="29" t="s">
        <v>22</v>
      </c>
      <c r="C59" s="28"/>
      <c r="D59" s="28"/>
      <c r="E59" s="28"/>
      <c r="F59" s="28">
        <v>6.52</v>
      </c>
    </row>
    <row r="60" spans="1:6" ht="15.75">
      <c r="A60" s="27">
        <v>2515</v>
      </c>
      <c r="B60" s="29" t="s">
        <v>59</v>
      </c>
      <c r="C60" s="28"/>
      <c r="D60" s="28"/>
      <c r="E60" s="28"/>
      <c r="F60" s="28">
        <v>7.33</v>
      </c>
    </row>
    <row r="61" spans="1:6" ht="15.75">
      <c r="A61" s="27">
        <v>2519</v>
      </c>
      <c r="B61" s="29" t="s">
        <v>24</v>
      </c>
      <c r="C61" s="28"/>
      <c r="D61" s="28"/>
      <c r="E61" s="28"/>
      <c r="F61" s="28">
        <v>16.23</v>
      </c>
    </row>
    <row r="62" spans="1:6" ht="15.75">
      <c r="A62" s="27">
        <v>5232</v>
      </c>
      <c r="B62" s="29" t="s">
        <v>23</v>
      </c>
      <c r="C62" s="28"/>
      <c r="D62" s="28"/>
      <c r="E62" s="28"/>
      <c r="F62" s="28">
        <v>62.04</v>
      </c>
    </row>
    <row r="63" spans="1:6" ht="15.75" hidden="1">
      <c r="A63" s="27">
        <v>5240</v>
      </c>
      <c r="B63" s="29" t="s">
        <v>25</v>
      </c>
      <c r="C63" s="28"/>
      <c r="D63" s="28"/>
      <c r="E63" s="28"/>
      <c r="F63" s="28">
        <v>0</v>
      </c>
    </row>
    <row r="64" spans="1:6" ht="15" customHeight="1">
      <c r="A64" s="27">
        <v>5250</v>
      </c>
      <c r="B64" s="29" t="s">
        <v>26</v>
      </c>
      <c r="C64" s="28"/>
      <c r="D64" s="28"/>
      <c r="E64" s="28"/>
      <c r="F64" s="28">
        <v>27.31</v>
      </c>
    </row>
    <row r="65" spans="1:6" ht="15" customHeight="1">
      <c r="A65" s="32"/>
      <c r="B65" s="34" t="s">
        <v>67</v>
      </c>
      <c r="C65" s="31">
        <f>SUM(C37:C55)</f>
        <v>6639.500000000003</v>
      </c>
      <c r="D65" s="31">
        <f>SUM(D37:D55)</f>
        <v>0</v>
      </c>
      <c r="E65" s="31">
        <f>SUM(E37:E55)</f>
        <v>3319.7800000000007</v>
      </c>
      <c r="F65" s="31">
        <f>SUM(F37:F64)</f>
        <v>576.2899999999997</v>
      </c>
    </row>
    <row r="66" spans="1:6" ht="15.75">
      <c r="A66" s="32"/>
      <c r="B66" s="34" t="s">
        <v>32</v>
      </c>
      <c r="C66" s="31" t="e">
        <f>#REF!+C28</f>
        <v>#REF!</v>
      </c>
      <c r="D66" s="31" t="e">
        <f>#REF!+D28</f>
        <v>#REF!</v>
      </c>
      <c r="E66" s="31" t="e">
        <f>#REF!+E28</f>
        <v>#REF!</v>
      </c>
      <c r="F66" s="31">
        <f>F35+F65</f>
        <v>2236.97</v>
      </c>
    </row>
    <row r="67" spans="1:2" ht="15.75">
      <c r="A67" s="35"/>
      <c r="B67" s="20"/>
    </row>
    <row r="68" spans="1:6" ht="15.75">
      <c r="A68" s="137" t="s">
        <v>45</v>
      </c>
      <c r="B68" s="137"/>
      <c r="C68" s="10">
        <v>2172</v>
      </c>
      <c r="D68" s="21">
        <v>0</v>
      </c>
      <c r="E68" s="21">
        <v>1086</v>
      </c>
      <c r="F68" s="108">
        <v>1</v>
      </c>
    </row>
    <row r="69" spans="1:6" ht="15.75">
      <c r="A69" s="137" t="s">
        <v>46</v>
      </c>
      <c r="B69" s="137"/>
      <c r="C69" s="36" t="e">
        <f>C66/C68</f>
        <v>#REF!</v>
      </c>
      <c r="D69" s="37">
        <v>0</v>
      </c>
      <c r="E69" s="37" t="e">
        <f>E66/E68</f>
        <v>#REF!</v>
      </c>
      <c r="F69" s="109">
        <f>F66/F68</f>
        <v>2236.97</v>
      </c>
    </row>
    <row r="70" spans="1:6" ht="15.75">
      <c r="A70" s="9"/>
      <c r="B70" s="9"/>
      <c r="C70" s="36"/>
      <c r="D70" s="36"/>
      <c r="E70" s="36"/>
      <c r="F70" s="36"/>
    </row>
    <row r="71" spans="1:6" s="2" customFormat="1" ht="15.75">
      <c r="A71" s="139" t="s">
        <v>37</v>
      </c>
      <c r="B71" s="140"/>
      <c r="C71" s="39"/>
      <c r="D71" s="39"/>
      <c r="E71" s="39"/>
      <c r="F71" s="39"/>
    </row>
    <row r="72" spans="1:6" s="2" customFormat="1" ht="15.75">
      <c r="A72" s="139" t="s">
        <v>54</v>
      </c>
      <c r="B72" s="140"/>
      <c r="C72" s="16"/>
      <c r="D72" s="40"/>
      <c r="E72" s="39"/>
      <c r="F72" s="39"/>
    </row>
    <row r="73" spans="1:6" s="2" customFormat="1" ht="15.75">
      <c r="A73" s="17"/>
      <c r="B73" s="17"/>
      <c r="C73" s="17"/>
      <c r="D73" s="17"/>
      <c r="E73" s="17"/>
      <c r="F73" s="65"/>
    </row>
    <row r="74" spans="1:6" s="2" customFormat="1" ht="15.75">
      <c r="A74" s="17" t="s">
        <v>38</v>
      </c>
      <c r="B74" s="17"/>
      <c r="C74" s="17"/>
      <c r="D74" s="17"/>
      <c r="E74" s="17"/>
      <c r="F74" s="17"/>
    </row>
    <row r="75" spans="1:6" s="2" customFormat="1" ht="15.75">
      <c r="A75" s="17"/>
      <c r="B75" s="17"/>
      <c r="C75" s="17"/>
      <c r="D75" s="17"/>
      <c r="E75" s="17"/>
      <c r="F75" s="17"/>
    </row>
    <row r="76" spans="1:6" s="2" customFormat="1" ht="15.75">
      <c r="A76" s="17" t="s">
        <v>47</v>
      </c>
      <c r="B76" s="18"/>
      <c r="C76" s="18"/>
      <c r="D76" s="18"/>
      <c r="E76" s="18"/>
      <c r="F76" s="18"/>
    </row>
    <row r="77" spans="1:6" s="2" customFormat="1" ht="13.5" customHeight="1">
      <c r="A77" s="17"/>
      <c r="B77" s="97"/>
      <c r="C77" s="19"/>
      <c r="D77" s="19"/>
      <c r="E77" s="17"/>
      <c r="F77" s="17"/>
    </row>
    <row r="78" spans="1:6" s="2" customFormat="1" ht="13.5" customHeight="1">
      <c r="A78" s="17"/>
      <c r="B78" s="19"/>
      <c r="C78" s="17"/>
      <c r="D78" s="17"/>
      <c r="E78" s="17"/>
      <c r="F78" s="17"/>
    </row>
    <row r="79" spans="1:6" s="1" customFormat="1" ht="15">
      <c r="A79" s="6"/>
      <c r="B79" s="6"/>
      <c r="C79" s="101"/>
      <c r="D79" s="6"/>
      <c r="E79" s="6"/>
      <c r="F79" s="6"/>
    </row>
  </sheetData>
  <sheetProtection/>
  <mergeCells count="12">
    <mergeCell ref="A68:B68"/>
    <mergeCell ref="A69:B69"/>
    <mergeCell ref="A71:B71"/>
    <mergeCell ref="A72:B72"/>
    <mergeCell ref="B12:D12"/>
    <mergeCell ref="B3:F3"/>
    <mergeCell ref="B1:F1"/>
    <mergeCell ref="B2:F2"/>
    <mergeCell ref="A9:B9"/>
    <mergeCell ref="A10:B10"/>
    <mergeCell ref="A7:F7"/>
    <mergeCell ref="B11:F11"/>
  </mergeCells>
  <printOptions/>
  <pageMargins left="0.7086614173228347" right="0.7086614173228347" top="0.7480314960629921" bottom="0.7480314960629921" header="0.31496062992125984" footer="0.31496062992125984"/>
  <pageSetup firstPageNumber="7" useFirstPageNumber="1" fitToHeight="0" fitToWidth="1" horizontalDpi="600" verticalDpi="600" orientation="portrait" paperSize="9" scale="62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view="pageLayout" workbookViewId="0" topLeftCell="A52">
      <selection activeCell="B11" sqref="B11:F11"/>
    </sheetView>
  </sheetViews>
  <sheetFormatPr defaultColWidth="9.140625" defaultRowHeight="12.75"/>
  <cols>
    <col min="1" max="1" width="12.28125" style="6" customWidth="1"/>
    <col min="2" max="2" width="94.8515625" style="6" customWidth="1"/>
    <col min="3" max="3" width="12.8515625" style="6" hidden="1" customWidth="1"/>
    <col min="4" max="4" width="25.8515625" style="6" hidden="1" customWidth="1"/>
    <col min="5" max="5" width="23.28125" style="6" hidden="1" customWidth="1"/>
    <col min="6" max="6" width="32.00390625" style="6" customWidth="1"/>
    <col min="7" max="16384" width="9.140625" style="3" customWidth="1"/>
  </cols>
  <sheetData>
    <row r="1" spans="1:6" ht="15.75" customHeight="1">
      <c r="A1" s="12"/>
      <c r="B1" s="133" t="s">
        <v>35</v>
      </c>
      <c r="C1" s="133"/>
      <c r="D1" s="133"/>
      <c r="E1" s="133"/>
      <c r="F1" s="134"/>
    </row>
    <row r="2" spans="1:6" ht="15.75">
      <c r="A2" s="12"/>
      <c r="B2" s="135" t="s">
        <v>39</v>
      </c>
      <c r="C2" s="135"/>
      <c r="D2" s="135"/>
      <c r="E2" s="135"/>
      <c r="F2" s="136"/>
    </row>
    <row r="3" spans="1:6" ht="15.75">
      <c r="A3" s="12"/>
      <c r="B3" s="131" t="s">
        <v>57</v>
      </c>
      <c r="C3" s="132"/>
      <c r="D3" s="132"/>
      <c r="E3" s="132"/>
      <c r="F3" s="132"/>
    </row>
    <row r="4" spans="1:6" ht="15.75">
      <c r="A4" s="12"/>
      <c r="B4" s="11"/>
      <c r="C4" s="11"/>
      <c r="D4" s="11"/>
      <c r="E4" s="13"/>
      <c r="F4" s="97"/>
    </row>
    <row r="5" spans="1:6" ht="15.75">
      <c r="A5" s="12"/>
      <c r="B5" s="15"/>
      <c r="C5" s="15"/>
      <c r="D5" s="15"/>
      <c r="E5" s="12"/>
      <c r="F5" s="11" t="s">
        <v>137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38" t="s">
        <v>5</v>
      </c>
      <c r="B7" s="138"/>
      <c r="C7" s="138"/>
      <c r="D7" s="138"/>
      <c r="E7" s="138"/>
      <c r="F7" s="138"/>
    </row>
    <row r="8" spans="1:5" ht="15.75">
      <c r="A8" s="98"/>
      <c r="B8" s="98"/>
      <c r="C8" s="98"/>
      <c r="D8" s="98"/>
      <c r="E8" s="98"/>
    </row>
    <row r="9" spans="1:5" ht="15" customHeight="1">
      <c r="A9" s="137" t="s">
        <v>1</v>
      </c>
      <c r="B9" s="137"/>
      <c r="C9" s="9"/>
      <c r="D9" s="9"/>
      <c r="E9" s="9"/>
    </row>
    <row r="10" spans="1:5" ht="15" customHeight="1">
      <c r="A10" s="137" t="s">
        <v>0</v>
      </c>
      <c r="B10" s="137"/>
      <c r="C10" s="9"/>
      <c r="D10" s="9"/>
      <c r="E10" s="9"/>
    </row>
    <row r="11" spans="1:6" ht="15" customHeight="1">
      <c r="A11" s="9"/>
      <c r="B11" s="137" t="s">
        <v>149</v>
      </c>
      <c r="C11" s="137"/>
      <c r="D11" s="137"/>
      <c r="E11" s="137"/>
      <c r="F11" s="137"/>
    </row>
    <row r="12" spans="1:6" ht="15" customHeight="1">
      <c r="A12" s="9"/>
      <c r="B12" s="137" t="s">
        <v>108</v>
      </c>
      <c r="C12" s="142"/>
      <c r="D12" s="142"/>
      <c r="E12" s="9"/>
      <c r="F12" s="14"/>
    </row>
    <row r="13" spans="1:5" ht="15" customHeight="1">
      <c r="A13" s="9" t="s">
        <v>2</v>
      </c>
      <c r="B13" s="9" t="s">
        <v>99</v>
      </c>
      <c r="C13" s="9"/>
      <c r="D13" s="9"/>
      <c r="E13" s="9"/>
    </row>
    <row r="14" spans="1:6" ht="67.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4.25" customHeight="1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69</v>
      </c>
      <c r="C16" s="26"/>
      <c r="D16" s="26"/>
      <c r="E16" s="26"/>
      <c r="F16" s="26"/>
    </row>
    <row r="17" spans="1:6" ht="15" customHeight="1">
      <c r="A17" s="27">
        <v>1100</v>
      </c>
      <c r="B17" s="27" t="s">
        <v>64</v>
      </c>
      <c r="C17" s="28">
        <v>5789.22</v>
      </c>
      <c r="D17" s="28">
        <v>0</v>
      </c>
      <c r="E17" s="28">
        <v>3074.97</v>
      </c>
      <c r="F17" s="28">
        <v>1115.08</v>
      </c>
    </row>
    <row r="18" spans="1:6" ht="15.75" customHeight="1">
      <c r="A18" s="27">
        <v>1200</v>
      </c>
      <c r="B18" s="29" t="s">
        <v>63</v>
      </c>
      <c r="C18" s="28">
        <v>1365.67</v>
      </c>
      <c r="D18" s="28">
        <v>0</v>
      </c>
      <c r="E18" s="28">
        <v>725.39</v>
      </c>
      <c r="F18" s="28">
        <v>268.62</v>
      </c>
    </row>
    <row r="19" spans="1:6" ht="15" customHeight="1" hidden="1">
      <c r="A19" s="27">
        <v>2210</v>
      </c>
      <c r="B19" s="29" t="s">
        <v>27</v>
      </c>
      <c r="C19" s="28"/>
      <c r="D19" s="28"/>
      <c r="E19" s="28"/>
      <c r="F19" s="28"/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18.8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53.69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29.81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v>46.92</v>
      </c>
    </row>
    <row r="24" spans="1:6" ht="15" customHeight="1" hidden="1">
      <c r="A24" s="27">
        <v>2251</v>
      </c>
      <c r="B24" s="29" t="s">
        <v>61</v>
      </c>
      <c r="C24" s="28"/>
      <c r="D24" s="28"/>
      <c r="E24" s="28"/>
      <c r="F24" s="28"/>
    </row>
    <row r="25" spans="1:6" ht="15" customHeight="1" hidden="1">
      <c r="A25" s="27">
        <v>2261</v>
      </c>
      <c r="B25" s="29" t="s">
        <v>11</v>
      </c>
      <c r="C25" s="28"/>
      <c r="D25" s="28"/>
      <c r="E25" s="28"/>
      <c r="F25" s="28"/>
    </row>
    <row r="26" spans="1:6" ht="15" customHeight="1" hidden="1">
      <c r="A26" s="27">
        <v>2279</v>
      </c>
      <c r="B26" s="29" t="s">
        <v>14</v>
      </c>
      <c r="C26" s="28"/>
      <c r="D26" s="28"/>
      <c r="E26" s="28"/>
      <c r="F26" s="28"/>
    </row>
    <row r="27" spans="1:6" ht="15" customHeight="1">
      <c r="A27" s="27">
        <v>2311</v>
      </c>
      <c r="B27" s="29" t="s">
        <v>74</v>
      </c>
      <c r="C27" s="28"/>
      <c r="D27" s="28"/>
      <c r="E27" s="28"/>
      <c r="F27" s="28">
        <v>22.16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v>48.51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54.75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27.2</v>
      </c>
    </row>
    <row r="31" spans="1:6" ht="15.75">
      <c r="A31" s="27">
        <v>2361</v>
      </c>
      <c r="B31" s="29" t="s">
        <v>20</v>
      </c>
      <c r="C31" s="28"/>
      <c r="D31" s="28"/>
      <c r="E31" s="28"/>
      <c r="F31" s="28">
        <v>31.22</v>
      </c>
    </row>
    <row r="32" spans="1:6" ht="15.75">
      <c r="A32" s="27">
        <v>2370</v>
      </c>
      <c r="B32" s="29" t="s">
        <v>70</v>
      </c>
      <c r="C32" s="28"/>
      <c r="D32" s="28"/>
      <c r="E32" s="28"/>
      <c r="F32" s="28">
        <v>103.34</v>
      </c>
    </row>
    <row r="33" spans="1:6" ht="1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58</v>
      </c>
      <c r="C34" s="28">
        <v>1.8</v>
      </c>
      <c r="D34" s="28">
        <v>0</v>
      </c>
      <c r="E34" s="28">
        <f>ROUND(C34/2,2)</f>
        <v>0.9</v>
      </c>
      <c r="F34" s="28">
        <v>85.6</v>
      </c>
    </row>
    <row r="35" spans="1:6" ht="15" customHeight="1">
      <c r="A35" s="27"/>
      <c r="B35" s="30" t="s">
        <v>66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1905.6999999999998</v>
      </c>
    </row>
    <row r="36" spans="1:6" ht="15" customHeight="1">
      <c r="A36" s="32"/>
      <c r="B36" s="27" t="s">
        <v>65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64</v>
      </c>
      <c r="C37" s="28">
        <v>4429</v>
      </c>
      <c r="D37" s="28">
        <v>0</v>
      </c>
      <c r="E37" s="28">
        <f aca="true" t="shared" si="0" ref="E37:E55">ROUND(C37/2,2)</f>
        <v>2214.5</v>
      </c>
      <c r="F37" s="28">
        <v>264.82</v>
      </c>
    </row>
    <row r="38" spans="1:6" ht="15" customHeight="1">
      <c r="A38" s="27">
        <v>1200</v>
      </c>
      <c r="B38" s="29" t="s">
        <v>63</v>
      </c>
      <c r="C38" s="28">
        <v>1044.8</v>
      </c>
      <c r="D38" s="28">
        <v>0</v>
      </c>
      <c r="E38" s="28">
        <f t="shared" si="0"/>
        <v>522.4</v>
      </c>
      <c r="F38" s="28">
        <v>63.79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8.86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11.46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2.07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7.9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7.76</v>
      </c>
    </row>
    <row r="44" spans="1:6" ht="15.75">
      <c r="A44" s="27">
        <v>2244</v>
      </c>
      <c r="B44" s="29" t="s">
        <v>10</v>
      </c>
      <c r="C44" s="28"/>
      <c r="D44" s="28"/>
      <c r="E44" s="28"/>
      <c r="F44" s="28">
        <v>31.11</v>
      </c>
    </row>
    <row r="45" spans="1:6" ht="15.75">
      <c r="A45" s="27">
        <v>2247</v>
      </c>
      <c r="B45" s="25" t="s">
        <v>60</v>
      </c>
      <c r="C45" s="28">
        <v>5.71</v>
      </c>
      <c r="D45" s="28">
        <v>0</v>
      </c>
      <c r="E45" s="28">
        <f t="shared" si="0"/>
        <v>2.86</v>
      </c>
      <c r="F45" s="28">
        <v>2.28</v>
      </c>
    </row>
    <row r="46" spans="1:6" ht="15" customHeight="1">
      <c r="A46" s="27">
        <v>2251</v>
      </c>
      <c r="B46" s="29" t="s">
        <v>61</v>
      </c>
      <c r="C46" s="28">
        <v>145.52</v>
      </c>
      <c r="D46" s="28">
        <v>0</v>
      </c>
      <c r="E46" s="28">
        <f t="shared" si="0"/>
        <v>72.76</v>
      </c>
      <c r="F46" s="28">
        <v>11.46</v>
      </c>
    </row>
    <row r="47" spans="1:6" ht="15" customHeight="1">
      <c r="A47" s="27">
        <v>2259</v>
      </c>
      <c r="B47" s="29" t="s">
        <v>62</v>
      </c>
      <c r="C47" s="28">
        <v>0.48</v>
      </c>
      <c r="D47" s="28">
        <v>0</v>
      </c>
      <c r="E47" s="28">
        <f t="shared" si="0"/>
        <v>0.24</v>
      </c>
      <c r="F47" s="28">
        <v>0.14</v>
      </c>
    </row>
    <row r="48" spans="1:6" ht="15" customHeight="1">
      <c r="A48" s="27">
        <v>2261</v>
      </c>
      <c r="B48" s="29" t="s">
        <v>11</v>
      </c>
      <c r="C48" s="28"/>
      <c r="D48" s="28"/>
      <c r="E48" s="28"/>
      <c r="F48" s="28">
        <v>5.69</v>
      </c>
    </row>
    <row r="49" spans="1:6" ht="15" customHeight="1">
      <c r="A49" s="27">
        <v>2262</v>
      </c>
      <c r="B49" s="29" t="s">
        <v>12</v>
      </c>
      <c r="C49" s="28">
        <v>63.08</v>
      </c>
      <c r="D49" s="28">
        <v>0</v>
      </c>
      <c r="E49" s="28">
        <f t="shared" si="0"/>
        <v>31.54</v>
      </c>
      <c r="F49" s="28">
        <v>12.05</v>
      </c>
    </row>
    <row r="50" spans="1:6" ht="15.75" customHeight="1">
      <c r="A50" s="27">
        <v>2264</v>
      </c>
      <c r="B50" s="29" t="s">
        <v>13</v>
      </c>
      <c r="C50" s="28">
        <v>1.18</v>
      </c>
      <c r="D50" s="28">
        <v>0</v>
      </c>
      <c r="E50" s="28">
        <f t="shared" si="0"/>
        <v>0.59</v>
      </c>
      <c r="F50" s="28">
        <v>0.14</v>
      </c>
    </row>
    <row r="51" spans="1:6" ht="15.75">
      <c r="A51" s="27">
        <v>2279</v>
      </c>
      <c r="B51" s="29" t="s">
        <v>14</v>
      </c>
      <c r="C51" s="28">
        <v>259.89</v>
      </c>
      <c r="D51" s="28">
        <v>0</v>
      </c>
      <c r="E51" s="28">
        <f t="shared" si="0"/>
        <v>129.95</v>
      </c>
      <c r="F51" s="28">
        <v>4.09</v>
      </c>
    </row>
    <row r="52" spans="1:6" ht="15.75">
      <c r="A52" s="27">
        <v>2311</v>
      </c>
      <c r="B52" s="29" t="s">
        <v>15</v>
      </c>
      <c r="C52" s="28">
        <v>24.47</v>
      </c>
      <c r="D52" s="28">
        <v>0</v>
      </c>
      <c r="E52" s="28">
        <f t="shared" si="0"/>
        <v>12.24</v>
      </c>
      <c r="F52" s="28">
        <v>5.62</v>
      </c>
    </row>
    <row r="53" spans="1:6" ht="15.75">
      <c r="A53" s="27">
        <v>2312</v>
      </c>
      <c r="B53" s="29" t="s">
        <v>16</v>
      </c>
      <c r="C53" s="28">
        <v>45.22</v>
      </c>
      <c r="D53" s="28">
        <v>0</v>
      </c>
      <c r="E53" s="28">
        <f t="shared" si="0"/>
        <v>22.61</v>
      </c>
      <c r="F53" s="28">
        <v>5.73</v>
      </c>
    </row>
    <row r="54" spans="1:6" ht="15.75">
      <c r="A54" s="27">
        <v>2322</v>
      </c>
      <c r="B54" s="29" t="s">
        <v>18</v>
      </c>
      <c r="C54" s="28">
        <v>170.03</v>
      </c>
      <c r="D54" s="28">
        <v>0</v>
      </c>
      <c r="E54" s="28">
        <f t="shared" si="0"/>
        <v>85.02</v>
      </c>
      <c r="F54" s="28">
        <v>15.88</v>
      </c>
    </row>
    <row r="55" spans="1:6" ht="15" customHeight="1">
      <c r="A55" s="27">
        <v>2350</v>
      </c>
      <c r="B55" s="29" t="s">
        <v>19</v>
      </c>
      <c r="C55" s="28">
        <v>193.6</v>
      </c>
      <c r="D55" s="28">
        <v>0</v>
      </c>
      <c r="E55" s="28">
        <f t="shared" si="0"/>
        <v>96.8</v>
      </c>
      <c r="F55" s="28">
        <v>20.81</v>
      </c>
    </row>
    <row r="56" spans="1:6" ht="15.75">
      <c r="A56" s="27">
        <v>2361</v>
      </c>
      <c r="B56" s="29" t="s">
        <v>20</v>
      </c>
      <c r="C56" s="28"/>
      <c r="D56" s="28"/>
      <c r="E56" s="28"/>
      <c r="F56" s="28">
        <v>9.41</v>
      </c>
    </row>
    <row r="57" spans="1:6" ht="15" customHeight="1">
      <c r="A57" s="27">
        <v>2370</v>
      </c>
      <c r="B57" s="29" t="s">
        <v>70</v>
      </c>
      <c r="C57" s="28"/>
      <c r="D57" s="28"/>
      <c r="E57" s="28"/>
      <c r="F57" s="28">
        <v>7.2</v>
      </c>
    </row>
    <row r="58" spans="1:6" ht="15.75">
      <c r="A58" s="27">
        <v>2400</v>
      </c>
      <c r="B58" s="29" t="s">
        <v>31</v>
      </c>
      <c r="C58" s="28"/>
      <c r="D58" s="28"/>
      <c r="E58" s="28"/>
      <c r="F58" s="28">
        <v>2.71</v>
      </c>
    </row>
    <row r="59" spans="1:6" ht="15.75">
      <c r="A59" s="27">
        <v>2513</v>
      </c>
      <c r="B59" s="29" t="s">
        <v>22</v>
      </c>
      <c r="C59" s="28"/>
      <c r="D59" s="28"/>
      <c r="E59" s="28"/>
      <c r="F59" s="28">
        <v>6.52</v>
      </c>
    </row>
    <row r="60" spans="1:6" ht="15.75">
      <c r="A60" s="27">
        <v>2515</v>
      </c>
      <c r="B60" s="29" t="s">
        <v>59</v>
      </c>
      <c r="C60" s="28"/>
      <c r="D60" s="28"/>
      <c r="E60" s="28"/>
      <c r="F60" s="28">
        <v>7.33</v>
      </c>
    </row>
    <row r="61" spans="1:6" ht="15.75">
      <c r="A61" s="27">
        <v>2519</v>
      </c>
      <c r="B61" s="29" t="s">
        <v>24</v>
      </c>
      <c r="C61" s="28"/>
      <c r="D61" s="28"/>
      <c r="E61" s="28"/>
      <c r="F61" s="28">
        <v>16.23</v>
      </c>
    </row>
    <row r="62" spans="1:6" ht="15.75">
      <c r="A62" s="27">
        <v>5232</v>
      </c>
      <c r="B62" s="29" t="s">
        <v>23</v>
      </c>
      <c r="C62" s="28"/>
      <c r="D62" s="28"/>
      <c r="E62" s="28"/>
      <c r="F62" s="28">
        <v>62.04</v>
      </c>
    </row>
    <row r="63" spans="1:6" ht="15.75" hidden="1">
      <c r="A63" s="27">
        <v>5240</v>
      </c>
      <c r="B63" s="29" t="s">
        <v>25</v>
      </c>
      <c r="C63" s="28"/>
      <c r="D63" s="28"/>
      <c r="E63" s="28"/>
      <c r="F63" s="28"/>
    </row>
    <row r="64" spans="1:6" ht="15" customHeight="1">
      <c r="A64" s="27">
        <v>5250</v>
      </c>
      <c r="B64" s="29" t="s">
        <v>26</v>
      </c>
      <c r="C64" s="28"/>
      <c r="D64" s="28"/>
      <c r="E64" s="28"/>
      <c r="F64" s="28">
        <v>25.84</v>
      </c>
    </row>
    <row r="65" spans="1:6" ht="15" customHeight="1">
      <c r="A65" s="32"/>
      <c r="B65" s="34" t="s">
        <v>67</v>
      </c>
      <c r="C65" s="31">
        <f>SUM(C37:C55)</f>
        <v>6639.500000000003</v>
      </c>
      <c r="D65" s="31">
        <f>SUM(D37:D55)</f>
        <v>0</v>
      </c>
      <c r="E65" s="31">
        <f>SUM(E37:E55)</f>
        <v>3319.7800000000007</v>
      </c>
      <c r="F65" s="31">
        <f>SUM(F37:F64)</f>
        <v>618.9399999999999</v>
      </c>
    </row>
    <row r="66" spans="1:6" ht="15.75">
      <c r="A66" s="32"/>
      <c r="B66" s="34" t="s">
        <v>32</v>
      </c>
      <c r="C66" s="31" t="e">
        <f>#REF!+C28</f>
        <v>#REF!</v>
      </c>
      <c r="D66" s="31" t="e">
        <f>#REF!+D28</f>
        <v>#REF!</v>
      </c>
      <c r="E66" s="31" t="e">
        <f>#REF!+E28</f>
        <v>#REF!</v>
      </c>
      <c r="F66" s="31">
        <f>F35+F65</f>
        <v>2524.64</v>
      </c>
    </row>
    <row r="67" spans="1:2" ht="15.75">
      <c r="A67" s="35"/>
      <c r="B67" s="20"/>
    </row>
    <row r="68" spans="1:6" ht="15.75">
      <c r="A68" s="137" t="s">
        <v>45</v>
      </c>
      <c r="B68" s="137"/>
      <c r="C68" s="10">
        <v>2172</v>
      </c>
      <c r="D68" s="21">
        <v>0</v>
      </c>
      <c r="E68" s="21">
        <v>1086</v>
      </c>
      <c r="F68" s="108">
        <v>1</v>
      </c>
    </row>
    <row r="69" spans="1:6" ht="15.75">
      <c r="A69" s="137" t="s">
        <v>46</v>
      </c>
      <c r="B69" s="137"/>
      <c r="C69" s="36" t="e">
        <f>C66/C68</f>
        <v>#REF!</v>
      </c>
      <c r="D69" s="37">
        <v>0</v>
      </c>
      <c r="E69" s="37" t="e">
        <f>E66/E68</f>
        <v>#REF!</v>
      </c>
      <c r="F69" s="109">
        <f>F66/F68</f>
        <v>2524.64</v>
      </c>
    </row>
    <row r="70" spans="1:6" ht="15.75">
      <c r="A70" s="9"/>
      <c r="B70" s="9"/>
      <c r="C70" s="36"/>
      <c r="D70" s="36"/>
      <c r="E70" s="36"/>
      <c r="F70" s="36"/>
    </row>
    <row r="71" spans="1:6" s="2" customFormat="1" ht="15.75">
      <c r="A71" s="139" t="s">
        <v>37</v>
      </c>
      <c r="B71" s="140"/>
      <c r="C71" s="39"/>
      <c r="D71" s="39"/>
      <c r="E71" s="39"/>
      <c r="F71" s="39"/>
    </row>
    <row r="72" spans="1:6" s="2" customFormat="1" ht="15.75">
      <c r="A72" s="139" t="s">
        <v>54</v>
      </c>
      <c r="B72" s="140"/>
      <c r="C72" s="16"/>
      <c r="D72" s="40"/>
      <c r="E72" s="39"/>
      <c r="F72" s="39"/>
    </row>
    <row r="73" spans="1:6" s="2" customFormat="1" ht="15.75">
      <c r="A73" s="17"/>
      <c r="B73" s="17"/>
      <c r="C73" s="17"/>
      <c r="D73" s="17"/>
      <c r="E73" s="17"/>
      <c r="F73" s="65"/>
    </row>
    <row r="74" spans="1:6" s="2" customFormat="1" ht="15.75">
      <c r="A74" s="17" t="s">
        <v>38</v>
      </c>
      <c r="B74" s="17"/>
      <c r="C74" s="17"/>
      <c r="D74" s="17"/>
      <c r="E74" s="17"/>
      <c r="F74" s="17"/>
    </row>
    <row r="75" spans="1:6" s="2" customFormat="1" ht="15.75">
      <c r="A75" s="17"/>
      <c r="B75" s="17"/>
      <c r="C75" s="17"/>
      <c r="D75" s="17"/>
      <c r="E75" s="17"/>
      <c r="F75" s="17"/>
    </row>
    <row r="76" spans="1:6" s="2" customFormat="1" ht="15.75">
      <c r="A76" s="17" t="s">
        <v>47</v>
      </c>
      <c r="B76" s="18"/>
      <c r="C76" s="18"/>
      <c r="D76" s="18"/>
      <c r="E76" s="18"/>
      <c r="F76" s="18"/>
    </row>
    <row r="77" spans="1:6" s="2" customFormat="1" ht="13.5" customHeight="1">
      <c r="A77" s="17"/>
      <c r="B77" s="97"/>
      <c r="C77" s="19"/>
      <c r="D77" s="19"/>
      <c r="E77" s="17"/>
      <c r="F77" s="17"/>
    </row>
    <row r="78" spans="1:6" s="2" customFormat="1" ht="13.5" customHeight="1">
      <c r="A78" s="17"/>
      <c r="B78" s="19"/>
      <c r="C78" s="17"/>
      <c r="D78" s="17"/>
      <c r="E78" s="17"/>
      <c r="F78" s="17"/>
    </row>
    <row r="79" spans="1:6" s="1" customFormat="1" ht="15">
      <c r="A79" s="6"/>
      <c r="B79" s="6"/>
      <c r="C79" s="101"/>
      <c r="D79" s="6"/>
      <c r="E79" s="6"/>
      <c r="F79" s="6"/>
    </row>
  </sheetData>
  <sheetProtection/>
  <mergeCells count="12">
    <mergeCell ref="A72:B72"/>
    <mergeCell ref="B1:F1"/>
    <mergeCell ref="B2:F2"/>
    <mergeCell ref="B3:F3"/>
    <mergeCell ref="A7:F7"/>
    <mergeCell ref="A9:B9"/>
    <mergeCell ref="B11:F11"/>
    <mergeCell ref="A10:B10"/>
    <mergeCell ref="B12:D12"/>
    <mergeCell ref="A68:B68"/>
    <mergeCell ref="A69:B69"/>
    <mergeCell ref="A71:B71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view="pageLayout" workbookViewId="0" topLeftCell="A52">
      <selection activeCell="B11" sqref="B11:F11"/>
    </sheetView>
  </sheetViews>
  <sheetFormatPr defaultColWidth="9.140625" defaultRowHeight="12.75"/>
  <cols>
    <col min="1" max="1" width="12.00390625" style="6" customWidth="1"/>
    <col min="2" max="2" width="94.8515625" style="6" customWidth="1"/>
    <col min="3" max="3" width="12.8515625" style="6" hidden="1" customWidth="1"/>
    <col min="4" max="4" width="25.8515625" style="6" hidden="1" customWidth="1"/>
    <col min="5" max="5" width="16.421875" style="6" hidden="1" customWidth="1"/>
    <col min="6" max="6" width="31.7109375" style="6" customWidth="1"/>
    <col min="7" max="16384" width="9.140625" style="3" customWidth="1"/>
  </cols>
  <sheetData>
    <row r="1" spans="1:6" ht="15.75" customHeight="1">
      <c r="A1" s="12"/>
      <c r="B1" s="133" t="s">
        <v>35</v>
      </c>
      <c r="C1" s="133"/>
      <c r="D1" s="133"/>
      <c r="E1" s="133"/>
      <c r="F1" s="134"/>
    </row>
    <row r="2" spans="1:6" ht="15.75">
      <c r="A2" s="12"/>
      <c r="B2" s="135" t="s">
        <v>39</v>
      </c>
      <c r="C2" s="135"/>
      <c r="D2" s="135"/>
      <c r="E2" s="135"/>
      <c r="F2" s="136"/>
    </row>
    <row r="3" spans="1:6" ht="15.75">
      <c r="A3" s="12"/>
      <c r="B3" s="131" t="s">
        <v>57</v>
      </c>
      <c r="C3" s="132"/>
      <c r="D3" s="132"/>
      <c r="E3" s="132"/>
      <c r="F3" s="132"/>
    </row>
    <row r="4" spans="1:6" ht="15.75">
      <c r="A4" s="12"/>
      <c r="B4" s="11"/>
      <c r="C4" s="11"/>
      <c r="D4" s="11"/>
      <c r="E4" s="13"/>
      <c r="F4" s="97"/>
    </row>
    <row r="5" spans="1:6" ht="15.75">
      <c r="A5" s="12"/>
      <c r="B5" s="15"/>
      <c r="C5" s="15"/>
      <c r="D5" s="15"/>
      <c r="E5" s="12"/>
      <c r="F5" s="11" t="s">
        <v>137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38" t="s">
        <v>5</v>
      </c>
      <c r="B7" s="138"/>
      <c r="C7" s="138"/>
      <c r="D7" s="138"/>
      <c r="E7" s="138"/>
      <c r="F7" s="138"/>
    </row>
    <row r="8" spans="1:5" ht="15.75">
      <c r="A8" s="98"/>
      <c r="B8" s="98"/>
      <c r="C8" s="98"/>
      <c r="D8" s="98"/>
      <c r="E8" s="98"/>
    </row>
    <row r="9" spans="1:5" ht="15" customHeight="1">
      <c r="A9" s="137" t="s">
        <v>1</v>
      </c>
      <c r="B9" s="137"/>
      <c r="C9" s="9"/>
      <c r="D9" s="9"/>
      <c r="E9" s="9"/>
    </row>
    <row r="10" spans="1:5" ht="15" customHeight="1">
      <c r="A10" s="137" t="s">
        <v>0</v>
      </c>
      <c r="B10" s="137"/>
      <c r="C10" s="9"/>
      <c r="D10" s="9"/>
      <c r="E10" s="9"/>
    </row>
    <row r="11" spans="1:6" ht="15" customHeight="1">
      <c r="A11" s="9"/>
      <c r="B11" s="137" t="s">
        <v>149</v>
      </c>
      <c r="C11" s="137"/>
      <c r="D11" s="137"/>
      <c r="E11" s="137"/>
      <c r="F11" s="137"/>
    </row>
    <row r="12" spans="1:6" ht="15" customHeight="1">
      <c r="A12" s="9"/>
      <c r="B12" s="137" t="s">
        <v>127</v>
      </c>
      <c r="C12" s="142"/>
      <c r="D12" s="142"/>
      <c r="E12" s="9"/>
      <c r="F12" s="14"/>
    </row>
    <row r="13" spans="1:5" ht="15" customHeight="1">
      <c r="A13" s="9" t="s">
        <v>2</v>
      </c>
      <c r="B13" s="9" t="s">
        <v>99</v>
      </c>
      <c r="C13" s="9"/>
      <c r="D13" s="9"/>
      <c r="E13" s="9"/>
    </row>
    <row r="14" spans="1:6" ht="60.7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4.25" customHeight="1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69</v>
      </c>
      <c r="C16" s="26"/>
      <c r="D16" s="26"/>
      <c r="E16" s="26"/>
      <c r="F16" s="26"/>
    </row>
    <row r="17" spans="1:6" ht="15" customHeight="1">
      <c r="A17" s="27">
        <v>1100</v>
      </c>
      <c r="B17" s="27" t="s">
        <v>64</v>
      </c>
      <c r="C17" s="28">
        <v>5789.22</v>
      </c>
      <c r="D17" s="28">
        <v>0</v>
      </c>
      <c r="E17" s="28">
        <v>3074.97</v>
      </c>
      <c r="F17" s="28">
        <v>1113.97</v>
      </c>
    </row>
    <row r="18" spans="1:6" ht="15.75" customHeight="1">
      <c r="A18" s="27">
        <v>1200</v>
      </c>
      <c r="B18" s="29" t="s">
        <v>63</v>
      </c>
      <c r="C18" s="28">
        <v>1365.67</v>
      </c>
      <c r="D18" s="28">
        <v>0</v>
      </c>
      <c r="E18" s="28">
        <v>725.39</v>
      </c>
      <c r="F18" s="28">
        <v>268.36</v>
      </c>
    </row>
    <row r="19" spans="1:6" ht="15" customHeight="1" hidden="1">
      <c r="A19" s="27">
        <v>2210</v>
      </c>
      <c r="B19" s="29" t="s">
        <v>27</v>
      </c>
      <c r="C19" s="28"/>
      <c r="D19" s="28"/>
      <c r="E19" s="28"/>
      <c r="F19" s="28"/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13.15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18.64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24.12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v>39.48</v>
      </c>
    </row>
    <row r="24" spans="1:6" ht="15" customHeight="1" hidden="1">
      <c r="A24" s="27">
        <v>2251</v>
      </c>
      <c r="B24" s="29" t="s">
        <v>61</v>
      </c>
      <c r="C24" s="28"/>
      <c r="D24" s="28"/>
      <c r="E24" s="28"/>
      <c r="F24" s="28"/>
    </row>
    <row r="25" spans="1:6" ht="15" customHeight="1" hidden="1">
      <c r="A25" s="27">
        <v>2261</v>
      </c>
      <c r="B25" s="29" t="s">
        <v>11</v>
      </c>
      <c r="C25" s="28"/>
      <c r="D25" s="28"/>
      <c r="E25" s="28"/>
      <c r="F25" s="28"/>
    </row>
    <row r="26" spans="1:6" ht="15" customHeight="1" hidden="1">
      <c r="A26" s="27">
        <v>2279</v>
      </c>
      <c r="B26" s="29" t="s">
        <v>14</v>
      </c>
      <c r="C26" s="28"/>
      <c r="D26" s="28"/>
      <c r="E26" s="28"/>
      <c r="F26" s="28"/>
    </row>
    <row r="27" spans="1:6" ht="15" customHeight="1">
      <c r="A27" s="27">
        <v>2311</v>
      </c>
      <c r="B27" s="29" t="s">
        <v>74</v>
      </c>
      <c r="C27" s="28"/>
      <c r="D27" s="28"/>
      <c r="E27" s="28"/>
      <c r="F27" s="28">
        <v>16.89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v>120.61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26.47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72.36</v>
      </c>
    </row>
    <row r="31" spans="1:6" ht="15.75" hidden="1">
      <c r="A31" s="27">
        <v>2361</v>
      </c>
      <c r="B31" s="29" t="s">
        <v>20</v>
      </c>
      <c r="C31" s="28"/>
      <c r="D31" s="28"/>
      <c r="E31" s="28"/>
      <c r="F31" s="28"/>
    </row>
    <row r="32" spans="1:6" ht="15.75">
      <c r="A32" s="27">
        <v>2370</v>
      </c>
      <c r="B32" s="29" t="s">
        <v>70</v>
      </c>
      <c r="C32" s="28"/>
      <c r="D32" s="28"/>
      <c r="E32" s="28"/>
      <c r="F32" s="28">
        <v>63.32</v>
      </c>
    </row>
    <row r="33" spans="1:6" ht="1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58</v>
      </c>
      <c r="C34" s="28">
        <v>1.8</v>
      </c>
      <c r="D34" s="28">
        <v>0</v>
      </c>
      <c r="E34" s="28">
        <f>ROUND(C34/2,2)</f>
        <v>0.9</v>
      </c>
      <c r="F34" s="28">
        <v>47.8</v>
      </c>
    </row>
    <row r="35" spans="1:6" ht="15" customHeight="1">
      <c r="A35" s="27"/>
      <c r="B35" s="30" t="s">
        <v>66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1825.1699999999998</v>
      </c>
    </row>
    <row r="36" spans="1:6" ht="15" customHeight="1">
      <c r="A36" s="32"/>
      <c r="B36" s="27" t="s">
        <v>65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64</v>
      </c>
      <c r="C37" s="28">
        <v>4429</v>
      </c>
      <c r="D37" s="28">
        <v>0</v>
      </c>
      <c r="E37" s="28">
        <f aca="true" t="shared" si="0" ref="E37:E55">ROUND(C37/2,2)</f>
        <v>2214.5</v>
      </c>
      <c r="F37" s="28">
        <v>299.94</v>
      </c>
    </row>
    <row r="38" spans="1:6" ht="15" customHeight="1">
      <c r="A38" s="27">
        <v>1200</v>
      </c>
      <c r="B38" s="29" t="s">
        <v>63</v>
      </c>
      <c r="C38" s="28">
        <v>1044.8</v>
      </c>
      <c r="D38" s="28">
        <v>0</v>
      </c>
      <c r="E38" s="28">
        <f t="shared" si="0"/>
        <v>522.4</v>
      </c>
      <c r="F38" s="28">
        <v>72.25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9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11.64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2.1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8.02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7.88</v>
      </c>
    </row>
    <row r="44" spans="1:6" ht="15.75">
      <c r="A44" s="27">
        <v>2244</v>
      </c>
      <c r="B44" s="29" t="s">
        <v>10</v>
      </c>
      <c r="C44" s="28"/>
      <c r="D44" s="28"/>
      <c r="E44" s="28"/>
      <c r="F44" s="28">
        <v>31.59</v>
      </c>
    </row>
    <row r="45" spans="1:6" ht="15.75">
      <c r="A45" s="27">
        <v>2247</v>
      </c>
      <c r="B45" s="25" t="s">
        <v>60</v>
      </c>
      <c r="C45" s="28">
        <v>5.71</v>
      </c>
      <c r="D45" s="28">
        <v>0</v>
      </c>
      <c r="E45" s="28">
        <f t="shared" si="0"/>
        <v>2.86</v>
      </c>
      <c r="F45" s="28">
        <v>2.32</v>
      </c>
    </row>
    <row r="46" spans="1:6" ht="15" customHeight="1">
      <c r="A46" s="27">
        <v>2251</v>
      </c>
      <c r="B46" s="29" t="s">
        <v>61</v>
      </c>
      <c r="C46" s="28">
        <v>145.52</v>
      </c>
      <c r="D46" s="28">
        <v>0</v>
      </c>
      <c r="E46" s="28">
        <f t="shared" si="0"/>
        <v>72.76</v>
      </c>
      <c r="F46" s="28">
        <v>11.64</v>
      </c>
    </row>
    <row r="47" spans="1:6" ht="15" customHeight="1">
      <c r="A47" s="27">
        <v>2259</v>
      </c>
      <c r="B47" s="29" t="s">
        <v>62</v>
      </c>
      <c r="C47" s="28">
        <v>0.48</v>
      </c>
      <c r="D47" s="28">
        <v>0</v>
      </c>
      <c r="E47" s="28">
        <f t="shared" si="0"/>
        <v>0.24</v>
      </c>
      <c r="F47" s="28">
        <v>0.14</v>
      </c>
    </row>
    <row r="48" spans="1:6" ht="15" customHeight="1">
      <c r="A48" s="27">
        <v>2261</v>
      </c>
      <c r="B48" s="29" t="s">
        <v>11</v>
      </c>
      <c r="C48" s="28"/>
      <c r="D48" s="28"/>
      <c r="E48" s="28"/>
      <c r="F48" s="28">
        <v>5.78</v>
      </c>
    </row>
    <row r="49" spans="1:6" ht="15" customHeight="1">
      <c r="A49" s="27">
        <v>2262</v>
      </c>
      <c r="B49" s="29" t="s">
        <v>12</v>
      </c>
      <c r="C49" s="28">
        <v>63.08</v>
      </c>
      <c r="D49" s="28">
        <v>0</v>
      </c>
      <c r="E49" s="28">
        <f t="shared" si="0"/>
        <v>31.54</v>
      </c>
      <c r="F49" s="28">
        <v>12.24</v>
      </c>
    </row>
    <row r="50" spans="1:6" ht="15.75" customHeight="1">
      <c r="A50" s="27">
        <v>2264</v>
      </c>
      <c r="B50" s="29" t="s">
        <v>13</v>
      </c>
      <c r="C50" s="28">
        <v>1.18</v>
      </c>
      <c r="D50" s="28">
        <v>0</v>
      </c>
      <c r="E50" s="28">
        <f t="shared" si="0"/>
        <v>0.59</v>
      </c>
      <c r="F50" s="28">
        <v>0.14</v>
      </c>
    </row>
    <row r="51" spans="1:6" ht="15.75">
      <c r="A51" s="27">
        <v>2279</v>
      </c>
      <c r="B51" s="29" t="s">
        <v>14</v>
      </c>
      <c r="C51" s="28">
        <v>259.89</v>
      </c>
      <c r="D51" s="28">
        <v>0</v>
      </c>
      <c r="E51" s="28">
        <f t="shared" si="0"/>
        <v>129.95</v>
      </c>
      <c r="F51" s="28">
        <v>4.15</v>
      </c>
    </row>
    <row r="52" spans="1:6" ht="15.75">
      <c r="A52" s="27">
        <v>2311</v>
      </c>
      <c r="B52" s="29" t="s">
        <v>15</v>
      </c>
      <c r="C52" s="28">
        <v>24.47</v>
      </c>
      <c r="D52" s="28">
        <v>0</v>
      </c>
      <c r="E52" s="28">
        <f t="shared" si="0"/>
        <v>12.24</v>
      </c>
      <c r="F52" s="28">
        <v>5.71</v>
      </c>
    </row>
    <row r="53" spans="1:6" ht="15.75">
      <c r="A53" s="27">
        <v>2312</v>
      </c>
      <c r="B53" s="29" t="s">
        <v>16</v>
      </c>
      <c r="C53" s="28">
        <v>45.22</v>
      </c>
      <c r="D53" s="28">
        <v>0</v>
      </c>
      <c r="E53" s="28">
        <f t="shared" si="0"/>
        <v>22.61</v>
      </c>
      <c r="F53" s="28">
        <v>5.82</v>
      </c>
    </row>
    <row r="54" spans="1:6" ht="15.75">
      <c r="A54" s="27">
        <v>2322</v>
      </c>
      <c r="B54" s="29" t="s">
        <v>18</v>
      </c>
      <c r="C54" s="28">
        <v>170.03</v>
      </c>
      <c r="D54" s="28">
        <v>0</v>
      </c>
      <c r="E54" s="28">
        <f t="shared" si="0"/>
        <v>85.02</v>
      </c>
      <c r="F54" s="28">
        <v>16.13</v>
      </c>
    </row>
    <row r="55" spans="1:6" ht="15" customHeight="1">
      <c r="A55" s="27">
        <v>2350</v>
      </c>
      <c r="B55" s="29" t="s">
        <v>19</v>
      </c>
      <c r="C55" s="28">
        <v>193.6</v>
      </c>
      <c r="D55" s="28">
        <v>0</v>
      </c>
      <c r="E55" s="28">
        <f t="shared" si="0"/>
        <v>96.8</v>
      </c>
      <c r="F55" s="28">
        <v>21.13</v>
      </c>
    </row>
    <row r="56" spans="1:6" ht="15.75">
      <c r="A56" s="27">
        <v>2361</v>
      </c>
      <c r="B56" s="29" t="s">
        <v>20</v>
      </c>
      <c r="C56" s="28"/>
      <c r="D56" s="28"/>
      <c r="E56" s="28"/>
      <c r="F56" s="28">
        <v>9.56</v>
      </c>
    </row>
    <row r="57" spans="1:6" ht="15" customHeight="1">
      <c r="A57" s="27">
        <v>2370</v>
      </c>
      <c r="B57" s="29" t="s">
        <v>70</v>
      </c>
      <c r="C57" s="28"/>
      <c r="D57" s="28"/>
      <c r="E57" s="28"/>
      <c r="F57" s="28">
        <v>7.31</v>
      </c>
    </row>
    <row r="58" spans="1:6" ht="15.75">
      <c r="A58" s="27">
        <v>2400</v>
      </c>
      <c r="B58" s="29" t="s">
        <v>31</v>
      </c>
      <c r="C58" s="28"/>
      <c r="D58" s="28"/>
      <c r="E58" s="28"/>
      <c r="F58" s="28">
        <v>2.75</v>
      </c>
    </row>
    <row r="59" spans="1:6" ht="15.75">
      <c r="A59" s="27">
        <v>2513</v>
      </c>
      <c r="B59" s="29" t="s">
        <v>22</v>
      </c>
      <c r="C59" s="28"/>
      <c r="D59" s="28"/>
      <c r="E59" s="28"/>
      <c r="F59" s="28">
        <v>6.62</v>
      </c>
    </row>
    <row r="60" spans="1:6" ht="15.75">
      <c r="A60" s="27">
        <v>2515</v>
      </c>
      <c r="B60" s="29" t="s">
        <v>59</v>
      </c>
      <c r="C60" s="28"/>
      <c r="D60" s="28"/>
      <c r="E60" s="28"/>
      <c r="F60" s="28">
        <v>7.44</v>
      </c>
    </row>
    <row r="61" spans="1:6" ht="15.75">
      <c r="A61" s="27">
        <v>2519</v>
      </c>
      <c r="B61" s="29" t="s">
        <v>24</v>
      </c>
      <c r="C61" s="28"/>
      <c r="D61" s="28"/>
      <c r="E61" s="28"/>
      <c r="F61" s="28">
        <v>16.48</v>
      </c>
    </row>
    <row r="62" spans="1:6" ht="15.75">
      <c r="A62" s="27">
        <v>5232</v>
      </c>
      <c r="B62" s="29" t="s">
        <v>23</v>
      </c>
      <c r="C62" s="28"/>
      <c r="D62" s="28"/>
      <c r="E62" s="28"/>
      <c r="F62" s="28">
        <v>63.37</v>
      </c>
    </row>
    <row r="63" spans="1:6" ht="15.75" hidden="1">
      <c r="A63" s="27">
        <v>5240</v>
      </c>
      <c r="B63" s="29" t="s">
        <v>25</v>
      </c>
      <c r="C63" s="28"/>
      <c r="D63" s="28"/>
      <c r="E63" s="28"/>
      <c r="F63" s="28"/>
    </row>
    <row r="64" spans="1:6" ht="15" customHeight="1">
      <c r="A64" s="27">
        <v>5250</v>
      </c>
      <c r="B64" s="29" t="s">
        <v>26</v>
      </c>
      <c r="C64" s="28"/>
      <c r="D64" s="28"/>
      <c r="E64" s="28"/>
      <c r="F64" s="28">
        <v>25.84</v>
      </c>
    </row>
    <row r="65" spans="1:6" ht="15" customHeight="1">
      <c r="A65" s="32"/>
      <c r="B65" s="34" t="s">
        <v>67</v>
      </c>
      <c r="C65" s="31">
        <f>SUM(C37:C55)</f>
        <v>6639.500000000003</v>
      </c>
      <c r="D65" s="31">
        <f>SUM(D37:D55)</f>
        <v>0</v>
      </c>
      <c r="E65" s="31">
        <f>SUM(E37:E55)</f>
        <v>3319.7800000000007</v>
      </c>
      <c r="F65" s="31">
        <f>SUM(F37:F64)</f>
        <v>666.9899999999999</v>
      </c>
    </row>
    <row r="66" spans="1:6" ht="15.75">
      <c r="A66" s="32"/>
      <c r="B66" s="34" t="s">
        <v>32</v>
      </c>
      <c r="C66" s="31" t="e">
        <f>#REF!+C28</f>
        <v>#REF!</v>
      </c>
      <c r="D66" s="31" t="e">
        <f>#REF!+D28</f>
        <v>#REF!</v>
      </c>
      <c r="E66" s="31" t="e">
        <f>#REF!+E28</f>
        <v>#REF!</v>
      </c>
      <c r="F66" s="31">
        <f>F35+F65</f>
        <v>2492.16</v>
      </c>
    </row>
    <row r="67" spans="1:2" ht="15.75">
      <c r="A67" s="35"/>
      <c r="B67" s="20"/>
    </row>
    <row r="68" spans="1:6" ht="15.75">
      <c r="A68" s="137" t="s">
        <v>45</v>
      </c>
      <c r="B68" s="137"/>
      <c r="C68" s="10">
        <v>2172</v>
      </c>
      <c r="D68" s="21">
        <v>0</v>
      </c>
      <c r="E68" s="21">
        <v>1086</v>
      </c>
      <c r="F68" s="108">
        <v>1</v>
      </c>
    </row>
    <row r="69" spans="1:6" ht="15.75">
      <c r="A69" s="137" t="s">
        <v>46</v>
      </c>
      <c r="B69" s="137"/>
      <c r="C69" s="36" t="e">
        <f>C66/C68</f>
        <v>#REF!</v>
      </c>
      <c r="D69" s="37">
        <v>0</v>
      </c>
      <c r="E69" s="37" t="e">
        <f>E66/E68</f>
        <v>#REF!</v>
      </c>
      <c r="F69" s="109">
        <f>F66/F68</f>
        <v>2492.16</v>
      </c>
    </row>
    <row r="70" spans="1:6" ht="15.75">
      <c r="A70" s="9"/>
      <c r="B70" s="9"/>
      <c r="C70" s="36"/>
      <c r="D70" s="36"/>
      <c r="E70" s="36"/>
      <c r="F70" s="36"/>
    </row>
    <row r="71" spans="1:6" s="2" customFormat="1" ht="15.75">
      <c r="A71" s="139" t="s">
        <v>37</v>
      </c>
      <c r="B71" s="140"/>
      <c r="C71" s="39"/>
      <c r="D71" s="39"/>
      <c r="E71" s="39"/>
      <c r="F71" s="39"/>
    </row>
    <row r="72" spans="1:6" s="2" customFormat="1" ht="15.75">
      <c r="A72" s="139" t="s">
        <v>54</v>
      </c>
      <c r="B72" s="140"/>
      <c r="C72" s="16"/>
      <c r="D72" s="40"/>
      <c r="E72" s="39"/>
      <c r="F72" s="39"/>
    </row>
    <row r="73" spans="1:6" s="2" customFormat="1" ht="15.75">
      <c r="A73" s="17"/>
      <c r="B73" s="17"/>
      <c r="C73" s="17"/>
      <c r="D73" s="17"/>
      <c r="E73" s="17"/>
      <c r="F73" s="65"/>
    </row>
    <row r="74" spans="1:6" s="2" customFormat="1" ht="15.75">
      <c r="A74" s="17" t="s">
        <v>38</v>
      </c>
      <c r="B74" s="17"/>
      <c r="C74" s="17"/>
      <c r="D74" s="17"/>
      <c r="E74" s="17"/>
      <c r="F74" s="17"/>
    </row>
    <row r="75" spans="1:6" s="2" customFormat="1" ht="15.75">
      <c r="A75" s="17"/>
      <c r="B75" s="17"/>
      <c r="C75" s="17"/>
      <c r="D75" s="17"/>
      <c r="E75" s="17"/>
      <c r="F75" s="17"/>
    </row>
    <row r="76" spans="1:6" s="2" customFormat="1" ht="15.75">
      <c r="A76" s="17" t="s">
        <v>47</v>
      </c>
      <c r="B76" s="18"/>
      <c r="C76" s="18"/>
      <c r="D76" s="18"/>
      <c r="E76" s="18"/>
      <c r="F76" s="18"/>
    </row>
    <row r="77" spans="1:6" s="2" customFormat="1" ht="13.5" customHeight="1">
      <c r="A77" s="17"/>
      <c r="B77" s="97"/>
      <c r="C77" s="19"/>
      <c r="D77" s="19"/>
      <c r="E77" s="17"/>
      <c r="F77" s="17"/>
    </row>
    <row r="78" spans="1:6" s="2" customFormat="1" ht="13.5" customHeight="1">
      <c r="A78" s="17"/>
      <c r="B78" s="19"/>
      <c r="C78" s="17"/>
      <c r="D78" s="17"/>
      <c r="E78" s="17"/>
      <c r="F78" s="17"/>
    </row>
    <row r="79" spans="1:6" s="1" customFormat="1" ht="15">
      <c r="A79" s="6"/>
      <c r="B79" s="6"/>
      <c r="C79" s="101"/>
      <c r="D79" s="6"/>
      <c r="E79" s="6"/>
      <c r="F79" s="6"/>
    </row>
  </sheetData>
  <sheetProtection/>
  <mergeCells count="12">
    <mergeCell ref="A72:B72"/>
    <mergeCell ref="B1:F1"/>
    <mergeCell ref="B2:F2"/>
    <mergeCell ref="B3:F3"/>
    <mergeCell ref="A7:F7"/>
    <mergeCell ref="A9:B9"/>
    <mergeCell ref="B11:F11"/>
    <mergeCell ref="A10:B10"/>
    <mergeCell ref="B12:D12"/>
    <mergeCell ref="A68:B68"/>
    <mergeCell ref="A69:B69"/>
    <mergeCell ref="A71:B71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view="pageLayout" workbookViewId="0" topLeftCell="A53">
      <selection activeCell="B11" sqref="B11"/>
    </sheetView>
  </sheetViews>
  <sheetFormatPr defaultColWidth="9.140625" defaultRowHeight="12.75"/>
  <cols>
    <col min="1" max="1" width="12.421875" style="6" customWidth="1"/>
    <col min="2" max="2" width="94.00390625" style="6" customWidth="1"/>
    <col min="3" max="3" width="31.7109375" style="6" customWidth="1"/>
  </cols>
  <sheetData>
    <row r="1" spans="1:3" ht="15.75">
      <c r="A1" s="13"/>
      <c r="B1" s="133" t="s">
        <v>35</v>
      </c>
      <c r="C1" s="133"/>
    </row>
    <row r="2" spans="1:3" ht="15.75">
      <c r="A2" s="13"/>
      <c r="B2" s="135" t="s">
        <v>39</v>
      </c>
      <c r="C2" s="135"/>
    </row>
    <row r="3" spans="1:3" ht="15.75">
      <c r="A3" s="13"/>
      <c r="B3" s="11"/>
      <c r="C3" s="97"/>
    </row>
    <row r="4" spans="1:3" ht="15.75">
      <c r="A4" s="13"/>
      <c r="B4" s="131" t="s">
        <v>57</v>
      </c>
      <c r="C4" s="131"/>
    </row>
    <row r="5" spans="1:3" ht="15.75">
      <c r="A5" s="13"/>
      <c r="B5" s="135" t="s">
        <v>138</v>
      </c>
      <c r="C5" s="135"/>
    </row>
    <row r="6" spans="1:3" ht="15.75">
      <c r="A6" s="138" t="s">
        <v>5</v>
      </c>
      <c r="B6" s="138"/>
      <c r="C6" s="138"/>
    </row>
    <row r="7" spans="1:3" ht="15.75">
      <c r="A7" s="137" t="s">
        <v>1</v>
      </c>
      <c r="B7" s="137"/>
      <c r="C7" s="9"/>
    </row>
    <row r="8" spans="1:3" ht="15.75">
      <c r="A8" s="137" t="s">
        <v>0</v>
      </c>
      <c r="B8" s="137"/>
      <c r="C8" s="9"/>
    </row>
    <row r="9" spans="1:3" ht="15.75">
      <c r="A9" s="9"/>
      <c r="B9" s="9" t="s">
        <v>89</v>
      </c>
      <c r="C9" s="9"/>
    </row>
    <row r="10" spans="1:3" ht="15.75">
      <c r="A10" s="9"/>
      <c r="B10" s="137" t="s">
        <v>91</v>
      </c>
      <c r="C10" s="142"/>
    </row>
    <row r="11" spans="1:3" ht="31.5">
      <c r="A11" s="9"/>
      <c r="B11" s="9" t="s">
        <v>90</v>
      </c>
      <c r="C11" s="9"/>
    </row>
    <row r="12" spans="1:3" ht="15.75">
      <c r="A12" s="9" t="s">
        <v>2</v>
      </c>
      <c r="B12" s="9" t="s">
        <v>99</v>
      </c>
      <c r="C12" s="9"/>
    </row>
    <row r="13" spans="1:3" ht="54.75" customHeight="1">
      <c r="A13" s="54" t="s">
        <v>3</v>
      </c>
      <c r="B13" s="54" t="s">
        <v>4</v>
      </c>
      <c r="C13" s="54" t="s">
        <v>53</v>
      </c>
    </row>
    <row r="14" spans="1:3" ht="15.75">
      <c r="A14" s="22">
        <v>1</v>
      </c>
      <c r="B14" s="23">
        <v>2</v>
      </c>
      <c r="C14" s="23">
        <v>3</v>
      </c>
    </row>
    <row r="15" spans="1:3" ht="15.75">
      <c r="A15" s="24"/>
      <c r="B15" s="25" t="s">
        <v>69</v>
      </c>
      <c r="C15" s="32"/>
    </row>
    <row r="16" spans="1:3" ht="15.75">
      <c r="A16" s="27">
        <v>1100</v>
      </c>
      <c r="B16" s="27" t="s">
        <v>64</v>
      </c>
      <c r="C16" s="94">
        <v>900.84</v>
      </c>
    </row>
    <row r="17" spans="1:3" ht="15.75" customHeight="1">
      <c r="A17" s="27">
        <v>1200</v>
      </c>
      <c r="B17" s="29" t="s">
        <v>63</v>
      </c>
      <c r="C17" s="94">
        <v>217.01</v>
      </c>
    </row>
    <row r="18" spans="1:3" ht="15.75">
      <c r="A18" s="27">
        <v>2210</v>
      </c>
      <c r="B18" s="29" t="s">
        <v>27</v>
      </c>
      <c r="C18" s="94">
        <f>26.04/5</f>
        <v>5.208</v>
      </c>
    </row>
    <row r="19" spans="1:3" ht="15.75">
      <c r="A19" s="27">
        <v>2222</v>
      </c>
      <c r="B19" s="29" t="s">
        <v>28</v>
      </c>
      <c r="C19" s="94">
        <f>65.09/5</f>
        <v>13.018</v>
      </c>
    </row>
    <row r="20" spans="1:3" ht="15.75">
      <c r="A20" s="27">
        <v>2223</v>
      </c>
      <c r="B20" s="29" t="s">
        <v>29</v>
      </c>
      <c r="C20" s="94">
        <f>78.27/5</f>
        <v>15.654</v>
      </c>
    </row>
    <row r="21" spans="1:3" ht="15.75">
      <c r="A21" s="27">
        <v>2243</v>
      </c>
      <c r="B21" s="29" t="s">
        <v>9</v>
      </c>
      <c r="C21" s="94">
        <f>20.59/5</f>
        <v>4.118</v>
      </c>
    </row>
    <row r="22" spans="1:3" ht="15.75">
      <c r="A22" s="27">
        <v>2244</v>
      </c>
      <c r="B22" s="29" t="s">
        <v>10</v>
      </c>
      <c r="C22" s="94">
        <f>122.05/5</f>
        <v>24.41</v>
      </c>
    </row>
    <row r="23" spans="1:3" ht="15" customHeight="1">
      <c r="A23" s="27">
        <v>2251</v>
      </c>
      <c r="B23" s="29" t="s">
        <v>61</v>
      </c>
      <c r="C23" s="94">
        <f>95.09/5</f>
        <v>19.018</v>
      </c>
    </row>
    <row r="24" spans="1:3" ht="15.75" hidden="1">
      <c r="A24" s="27">
        <v>2261</v>
      </c>
      <c r="B24" s="29" t="s">
        <v>11</v>
      </c>
      <c r="C24" s="94">
        <v>0</v>
      </c>
    </row>
    <row r="25" spans="1:3" ht="15.75" hidden="1">
      <c r="A25" s="27">
        <v>2264</v>
      </c>
      <c r="B25" s="29" t="s">
        <v>13</v>
      </c>
      <c r="C25" s="94">
        <v>0</v>
      </c>
    </row>
    <row r="26" spans="1:3" ht="15.75">
      <c r="A26" s="27">
        <v>2279</v>
      </c>
      <c r="B26" s="29" t="s">
        <v>14</v>
      </c>
      <c r="C26" s="94">
        <f>39.05/5</f>
        <v>7.81</v>
      </c>
    </row>
    <row r="27" spans="1:3" ht="15.75">
      <c r="A27" s="27">
        <v>2311</v>
      </c>
      <c r="B27" s="29" t="s">
        <v>74</v>
      </c>
      <c r="C27" s="94">
        <f>69.73/5</f>
        <v>13.946000000000002</v>
      </c>
    </row>
    <row r="28" spans="1:3" ht="15.75">
      <c r="A28" s="27">
        <v>2312</v>
      </c>
      <c r="B28" s="29" t="s">
        <v>16</v>
      </c>
      <c r="C28" s="94">
        <f>93.07/5</f>
        <v>18.613999999999997</v>
      </c>
    </row>
    <row r="29" spans="1:3" ht="15" customHeight="1">
      <c r="A29" s="27">
        <v>2321</v>
      </c>
      <c r="B29" s="29" t="s">
        <v>17</v>
      </c>
      <c r="C29" s="94">
        <f>111.19/5</f>
        <v>22.238</v>
      </c>
    </row>
    <row r="30" spans="1:3" ht="15.75" hidden="1">
      <c r="A30" s="27">
        <v>2350</v>
      </c>
      <c r="B30" s="29" t="s">
        <v>19</v>
      </c>
      <c r="C30" s="94">
        <v>0</v>
      </c>
    </row>
    <row r="31" spans="1:3" ht="15.75" hidden="1">
      <c r="A31" s="27">
        <v>2361</v>
      </c>
      <c r="B31" s="29" t="s">
        <v>20</v>
      </c>
      <c r="C31" s="94">
        <v>0</v>
      </c>
    </row>
    <row r="32" spans="1:3" ht="15.75">
      <c r="A32" s="27">
        <v>2370</v>
      </c>
      <c r="B32" s="29" t="s">
        <v>70</v>
      </c>
      <c r="C32" s="94">
        <f>119.7/5</f>
        <v>23.94</v>
      </c>
    </row>
    <row r="33" spans="1:3" ht="15.75" hidden="1">
      <c r="A33" s="55">
        <v>2513</v>
      </c>
      <c r="B33" s="29" t="s">
        <v>22</v>
      </c>
      <c r="C33" s="94">
        <v>0</v>
      </c>
    </row>
    <row r="34" spans="1:3" ht="15.75">
      <c r="A34" s="27">
        <v>5230</v>
      </c>
      <c r="B34" s="29" t="s">
        <v>58</v>
      </c>
      <c r="C34" s="94">
        <f>107.06/5</f>
        <v>21.412</v>
      </c>
    </row>
    <row r="35" spans="1:3" ht="15.75">
      <c r="A35" s="27"/>
      <c r="B35" s="30" t="s">
        <v>66</v>
      </c>
      <c r="C35" s="31">
        <f>SUM(C16:C34)</f>
        <v>1307.236</v>
      </c>
    </row>
    <row r="36" spans="1:3" ht="15.75">
      <c r="A36" s="32"/>
      <c r="B36" s="27" t="s">
        <v>65</v>
      </c>
      <c r="C36" s="26"/>
    </row>
    <row r="37" spans="1:3" ht="15.75">
      <c r="A37" s="27">
        <v>1100</v>
      </c>
      <c r="B37" s="27" t="s">
        <v>64</v>
      </c>
      <c r="C37" s="94">
        <v>402.22</v>
      </c>
    </row>
    <row r="38" spans="1:3" ht="15.75" customHeight="1">
      <c r="A38" s="27">
        <v>1200</v>
      </c>
      <c r="B38" s="29" t="s">
        <v>63</v>
      </c>
      <c r="C38" s="94">
        <v>96.89</v>
      </c>
    </row>
    <row r="39" spans="1:3" ht="15.75">
      <c r="A39" s="33">
        <v>2210</v>
      </c>
      <c r="B39" s="29" t="s">
        <v>27</v>
      </c>
      <c r="C39" s="94">
        <f>10.73/5</f>
        <v>2.146</v>
      </c>
    </row>
    <row r="40" spans="1:3" ht="15.75">
      <c r="A40" s="33">
        <v>2224</v>
      </c>
      <c r="B40" s="29" t="s">
        <v>87</v>
      </c>
      <c r="C40" s="94">
        <f>8.59/5</f>
        <v>1.718</v>
      </c>
    </row>
    <row r="41" spans="1:3" ht="15" customHeight="1">
      <c r="A41" s="27">
        <v>2230</v>
      </c>
      <c r="B41" s="29" t="s">
        <v>30</v>
      </c>
      <c r="C41" s="94">
        <f>31.85/5</f>
        <v>6.37</v>
      </c>
    </row>
    <row r="42" spans="1:3" ht="0.75" customHeight="1" hidden="1">
      <c r="A42" s="27">
        <v>2241</v>
      </c>
      <c r="B42" s="29" t="s">
        <v>7</v>
      </c>
      <c r="C42" s="94">
        <v>0</v>
      </c>
    </row>
    <row r="43" spans="1:3" ht="15.75">
      <c r="A43" s="27">
        <v>2242</v>
      </c>
      <c r="B43" s="29" t="s">
        <v>8</v>
      </c>
      <c r="C43" s="94">
        <f>3.74/5</f>
        <v>0.748</v>
      </c>
    </row>
    <row r="44" spans="1:3" ht="15.75">
      <c r="A44" s="27">
        <v>2243</v>
      </c>
      <c r="B44" s="29" t="s">
        <v>9</v>
      </c>
      <c r="C44" s="94">
        <f>24.08/5</f>
        <v>4.816</v>
      </c>
    </row>
    <row r="45" spans="1:3" ht="15.75">
      <c r="A45" s="27">
        <v>2244</v>
      </c>
      <c r="B45" s="29" t="s">
        <v>10</v>
      </c>
      <c r="C45" s="94">
        <f>9.4/5</f>
        <v>1.8800000000000001</v>
      </c>
    </row>
    <row r="46" spans="1:3" ht="15.75">
      <c r="A46" s="27">
        <v>2247</v>
      </c>
      <c r="B46" s="25" t="s">
        <v>60</v>
      </c>
      <c r="C46" s="94">
        <f>2.73/5</f>
        <v>0.546</v>
      </c>
    </row>
    <row r="47" spans="1:3" ht="15.75">
      <c r="A47" s="27">
        <v>2251</v>
      </c>
      <c r="B47" s="29" t="s">
        <v>61</v>
      </c>
      <c r="C47" s="94">
        <f>26.66/5</f>
        <v>5.332</v>
      </c>
    </row>
    <row r="48" spans="1:3" ht="15.75">
      <c r="A48" s="27">
        <v>2259</v>
      </c>
      <c r="B48" s="29" t="s">
        <v>62</v>
      </c>
      <c r="C48" s="94">
        <f>13.24/5</f>
        <v>2.648</v>
      </c>
    </row>
    <row r="49" spans="1:3" ht="15.75">
      <c r="A49" s="27">
        <v>2261</v>
      </c>
      <c r="B49" s="29" t="s">
        <v>11</v>
      </c>
      <c r="C49" s="94">
        <f>23.58/5</f>
        <v>4.715999999999999</v>
      </c>
    </row>
    <row r="50" spans="1:3" ht="15.75">
      <c r="A50" s="27">
        <v>2262</v>
      </c>
      <c r="B50" s="29" t="s">
        <v>12</v>
      </c>
      <c r="C50" s="94">
        <f>18.5/5</f>
        <v>3.7</v>
      </c>
    </row>
    <row r="51" spans="1:3" ht="15.75">
      <c r="A51" s="27">
        <v>2264</v>
      </c>
      <c r="B51" s="29" t="s">
        <v>13</v>
      </c>
      <c r="C51" s="94">
        <f>1.19/5</f>
        <v>0.238</v>
      </c>
    </row>
    <row r="52" spans="1:3" ht="15.75">
      <c r="A52" s="27">
        <v>2279</v>
      </c>
      <c r="B52" s="29" t="s">
        <v>14</v>
      </c>
      <c r="C52" s="94">
        <f>12.39/5</f>
        <v>2.478</v>
      </c>
    </row>
    <row r="53" spans="1:3" ht="15.75">
      <c r="A53" s="27">
        <v>2311</v>
      </c>
      <c r="B53" s="29" t="s">
        <v>15</v>
      </c>
      <c r="C53" s="94">
        <f>6.72/5</f>
        <v>1.3439999999999999</v>
      </c>
    </row>
    <row r="54" spans="1:3" ht="15.75">
      <c r="A54" s="27">
        <v>2312</v>
      </c>
      <c r="B54" s="29" t="s">
        <v>16</v>
      </c>
      <c r="C54" s="94">
        <f>3.76/5</f>
        <v>0.752</v>
      </c>
    </row>
    <row r="55" spans="1:3" ht="15.75">
      <c r="A55" s="27">
        <v>2322</v>
      </c>
      <c r="B55" s="29" t="s">
        <v>18</v>
      </c>
      <c r="C55" s="94">
        <f>19.66/5</f>
        <v>3.932</v>
      </c>
    </row>
    <row r="56" spans="1:3" ht="15.75" customHeight="1">
      <c r="A56" s="27">
        <v>2350</v>
      </c>
      <c r="B56" s="29" t="s">
        <v>19</v>
      </c>
      <c r="C56" s="94">
        <f>41.95/5</f>
        <v>8.39</v>
      </c>
    </row>
    <row r="57" spans="1:3" ht="0.75" customHeight="1" hidden="1">
      <c r="A57" s="27">
        <v>2361</v>
      </c>
      <c r="B57" s="29" t="s">
        <v>20</v>
      </c>
      <c r="C57" s="94">
        <v>0</v>
      </c>
    </row>
    <row r="58" spans="1:3" ht="15.75">
      <c r="A58" s="27">
        <v>2370</v>
      </c>
      <c r="B58" s="29" t="s">
        <v>70</v>
      </c>
      <c r="C58" s="94">
        <f>17.81/5</f>
        <v>3.562</v>
      </c>
    </row>
    <row r="59" spans="1:3" ht="15.75">
      <c r="A59" s="27">
        <v>2400</v>
      </c>
      <c r="B59" s="29" t="s">
        <v>31</v>
      </c>
      <c r="C59" s="94">
        <f>1.22/5</f>
        <v>0.244</v>
      </c>
    </row>
    <row r="60" spans="1:3" ht="15.75" customHeight="1">
      <c r="A60" s="27">
        <v>2513</v>
      </c>
      <c r="B60" s="29" t="s">
        <v>22</v>
      </c>
      <c r="C60" s="94">
        <f>8.3/5</f>
        <v>1.6600000000000001</v>
      </c>
    </row>
    <row r="61" spans="1:3" ht="15.75" hidden="1">
      <c r="A61" s="27">
        <v>2515</v>
      </c>
      <c r="B61" s="29" t="s">
        <v>59</v>
      </c>
      <c r="C61" s="94">
        <v>0</v>
      </c>
    </row>
    <row r="62" spans="1:3" ht="15.75">
      <c r="A62" s="27">
        <v>2519</v>
      </c>
      <c r="B62" s="29" t="s">
        <v>24</v>
      </c>
      <c r="C62" s="94">
        <f>66.24/5</f>
        <v>13.248</v>
      </c>
    </row>
    <row r="63" spans="1:3" ht="15.75">
      <c r="A63" s="27">
        <v>5232</v>
      </c>
      <c r="B63" s="29" t="s">
        <v>23</v>
      </c>
      <c r="C63" s="94">
        <v>11.27</v>
      </c>
    </row>
    <row r="64" spans="1:3" ht="15.75" hidden="1">
      <c r="A64" s="27">
        <v>5240</v>
      </c>
      <c r="B64" s="29" t="s">
        <v>25</v>
      </c>
      <c r="C64" s="63">
        <v>0</v>
      </c>
    </row>
    <row r="65" spans="1:3" ht="15.75" hidden="1">
      <c r="A65" s="27">
        <v>5250</v>
      </c>
      <c r="B65" s="29" t="s">
        <v>26</v>
      </c>
      <c r="C65" s="63">
        <v>0</v>
      </c>
    </row>
    <row r="66" spans="1:3" ht="15.75">
      <c r="A66" s="32"/>
      <c r="B66" s="34" t="s">
        <v>67</v>
      </c>
      <c r="C66" s="31">
        <f>SUM(C37:C65)</f>
        <v>580.8480000000002</v>
      </c>
    </row>
    <row r="67" spans="1:3" ht="15.75">
      <c r="A67" s="32"/>
      <c r="B67" s="34" t="s">
        <v>32</v>
      </c>
      <c r="C67" s="31">
        <f>C35+C66</f>
        <v>1888.0840000000003</v>
      </c>
    </row>
    <row r="68" spans="1:3" ht="15.75" hidden="1">
      <c r="A68" s="27">
        <v>6290</v>
      </c>
      <c r="B68" s="29" t="s">
        <v>34</v>
      </c>
      <c r="C68" s="28"/>
    </row>
    <row r="69" spans="1:3" ht="15.75" hidden="1">
      <c r="A69" s="27">
        <v>5250</v>
      </c>
      <c r="B69" s="29" t="s">
        <v>26</v>
      </c>
      <c r="C69" s="45"/>
    </row>
    <row r="70" spans="1:4" ht="15.75" hidden="1">
      <c r="A70" s="32"/>
      <c r="B70" s="34" t="s">
        <v>32</v>
      </c>
      <c r="C70" s="31">
        <f>C67+C68+C69</f>
        <v>1888.0840000000003</v>
      </c>
      <c r="D70" s="60"/>
    </row>
    <row r="71" spans="1:2" ht="15.75">
      <c r="A71" s="35"/>
      <c r="B71" s="20"/>
    </row>
    <row r="72" spans="1:3" ht="15.75">
      <c r="A72" s="137" t="s">
        <v>45</v>
      </c>
      <c r="B72" s="137"/>
      <c r="C72" s="108">
        <v>1</v>
      </c>
    </row>
    <row r="73" spans="1:4" ht="15.75">
      <c r="A73" s="137" t="s">
        <v>46</v>
      </c>
      <c r="B73" s="137"/>
      <c r="C73" s="109">
        <f>C70/C72</f>
        <v>1888.0840000000003</v>
      </c>
      <c r="D73" s="60"/>
    </row>
    <row r="74" spans="1:3" ht="15.75">
      <c r="A74" s="9"/>
      <c r="B74" s="9"/>
      <c r="C74" s="36"/>
    </row>
    <row r="75" spans="1:3" ht="15.75">
      <c r="A75" s="139" t="s">
        <v>37</v>
      </c>
      <c r="B75" s="140"/>
      <c r="C75" s="39"/>
    </row>
    <row r="76" spans="1:3" ht="15.75">
      <c r="A76" s="139" t="s">
        <v>54</v>
      </c>
      <c r="B76" s="140"/>
      <c r="C76" s="40"/>
    </row>
    <row r="77" spans="1:3" ht="15.75">
      <c r="A77" s="17"/>
      <c r="B77" s="17"/>
      <c r="C77" s="17"/>
    </row>
    <row r="78" spans="1:3" ht="15.75">
      <c r="A78" s="17" t="s">
        <v>38</v>
      </c>
      <c r="B78" s="17"/>
      <c r="C78" s="17"/>
    </row>
    <row r="79" spans="1:3" ht="15.75">
      <c r="A79" s="17"/>
      <c r="B79" s="17"/>
      <c r="C79" s="17"/>
    </row>
    <row r="80" spans="1:3" ht="15.75">
      <c r="A80" s="17" t="s">
        <v>47</v>
      </c>
      <c r="B80" s="18"/>
      <c r="C80" s="18"/>
    </row>
    <row r="81" spans="1:3" ht="15.75">
      <c r="A81" s="17"/>
      <c r="B81" s="97"/>
      <c r="C81" s="19"/>
    </row>
    <row r="82" spans="1:3" ht="15.75">
      <c r="A82" s="17"/>
      <c r="B82" s="19"/>
      <c r="C82" s="17"/>
    </row>
    <row r="83" ht="15">
      <c r="C83" s="101"/>
    </row>
  </sheetData>
  <sheetProtection/>
  <mergeCells count="12">
    <mergeCell ref="A76:B76"/>
    <mergeCell ref="B1:C1"/>
    <mergeCell ref="B2:C2"/>
    <mergeCell ref="B4:C4"/>
    <mergeCell ref="A6:C6"/>
    <mergeCell ref="A7:B7"/>
    <mergeCell ref="A8:B8"/>
    <mergeCell ref="B5:C5"/>
    <mergeCell ref="B10:C10"/>
    <mergeCell ref="A72:B72"/>
    <mergeCell ref="A73:B73"/>
    <mergeCell ref="A75:B75"/>
  </mergeCells>
  <printOptions/>
  <pageMargins left="0.45" right="0.66" top="0.75" bottom="0.75" header="0.3" footer="0.3"/>
  <pageSetup fitToHeight="0" fitToWidth="1" horizontalDpi="600" verticalDpi="600" orientation="portrait" paperSize="9" scale="67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Layout" workbookViewId="0" topLeftCell="A66">
      <selection activeCell="B11" sqref="B11"/>
    </sheetView>
  </sheetViews>
  <sheetFormatPr defaultColWidth="9.140625" defaultRowHeight="12.75"/>
  <cols>
    <col min="1" max="1" width="13.140625" style="6" customWidth="1"/>
    <col min="2" max="2" width="94.57421875" style="6" customWidth="1"/>
    <col min="3" max="3" width="32.140625" style="6" customWidth="1"/>
    <col min="4" max="4" width="11.140625" style="0" hidden="1" customWidth="1"/>
    <col min="5" max="5" width="0" style="0" hidden="1" customWidth="1"/>
    <col min="6" max="6" width="12.00390625" style="0" hidden="1" customWidth="1"/>
  </cols>
  <sheetData>
    <row r="1" spans="1:6" ht="15.75">
      <c r="A1" s="13"/>
      <c r="B1" s="133" t="s">
        <v>35</v>
      </c>
      <c r="C1" s="133"/>
      <c r="D1" s="133"/>
      <c r="E1" s="133"/>
      <c r="F1" s="134"/>
    </row>
    <row r="2" spans="1:6" ht="15.75">
      <c r="A2" s="13"/>
      <c r="B2" s="135" t="s">
        <v>39</v>
      </c>
      <c r="C2" s="135"/>
      <c r="D2" s="135"/>
      <c r="E2" s="135"/>
      <c r="F2" s="136"/>
    </row>
    <row r="3" spans="1:6" ht="15.75">
      <c r="A3" s="13"/>
      <c r="B3" s="131" t="s">
        <v>57</v>
      </c>
      <c r="C3" s="144"/>
      <c r="D3" s="144"/>
      <c r="E3" s="144"/>
      <c r="F3" s="144"/>
    </row>
    <row r="4" spans="1:6" ht="15.75">
      <c r="A4" s="13"/>
      <c r="B4" s="11"/>
      <c r="C4" s="97"/>
      <c r="D4" s="11"/>
      <c r="E4" s="13"/>
      <c r="F4" s="11" t="s">
        <v>36</v>
      </c>
    </row>
    <row r="5" spans="1:6" ht="15.75">
      <c r="A5" s="13"/>
      <c r="B5" s="135" t="s">
        <v>139</v>
      </c>
      <c r="C5" s="135"/>
      <c r="D5" s="135"/>
      <c r="E5" s="135"/>
      <c r="F5" s="135"/>
    </row>
    <row r="6" spans="1:6" ht="18.75">
      <c r="A6" s="126" t="s">
        <v>5</v>
      </c>
      <c r="B6" s="126"/>
      <c r="C6" s="126"/>
      <c r="D6" s="126"/>
      <c r="E6" s="126"/>
      <c r="F6" s="126"/>
    </row>
    <row r="7" spans="1:6" ht="15.75">
      <c r="A7" s="137" t="s">
        <v>1</v>
      </c>
      <c r="B7" s="137"/>
      <c r="C7" s="9"/>
      <c r="D7" s="9"/>
      <c r="E7" s="9"/>
      <c r="F7" s="6"/>
    </row>
    <row r="8" spans="1:6" ht="15.75">
      <c r="A8" s="137" t="s">
        <v>0</v>
      </c>
      <c r="B8" s="137"/>
      <c r="C8" s="9"/>
      <c r="D8" s="9"/>
      <c r="E8" s="9"/>
      <c r="F8" s="6"/>
    </row>
    <row r="9" spans="1:6" ht="15.75">
      <c r="A9" s="9"/>
      <c r="B9" s="9" t="s">
        <v>89</v>
      </c>
      <c r="C9" s="9"/>
      <c r="D9" s="9"/>
      <c r="E9" s="9"/>
      <c r="F9" s="6"/>
    </row>
    <row r="10" spans="1:6" ht="15.75">
      <c r="A10" s="9"/>
      <c r="B10" s="9" t="s">
        <v>91</v>
      </c>
      <c r="C10" s="66"/>
      <c r="D10" s="66"/>
      <c r="E10" s="9"/>
      <c r="F10" s="14"/>
    </row>
    <row r="11" spans="1:6" ht="31.5">
      <c r="A11" s="9"/>
      <c r="B11" s="86" t="s">
        <v>92</v>
      </c>
      <c r="C11" s="86"/>
      <c r="D11" s="86"/>
      <c r="E11" s="86"/>
      <c r="F11" s="86"/>
    </row>
    <row r="12" spans="1:6" ht="15.75">
      <c r="A12" s="9" t="s">
        <v>2</v>
      </c>
      <c r="B12" s="9" t="s">
        <v>99</v>
      </c>
      <c r="C12" s="9"/>
      <c r="D12" s="9"/>
      <c r="E12" s="9"/>
      <c r="F12" s="6"/>
    </row>
    <row r="13" spans="1:6" ht="52.5" customHeight="1">
      <c r="A13" s="54" t="s">
        <v>3</v>
      </c>
      <c r="B13" s="54" t="s">
        <v>4</v>
      </c>
      <c r="C13" s="54" t="s">
        <v>53</v>
      </c>
      <c r="D13" s="54" t="s">
        <v>43</v>
      </c>
      <c r="E13" s="54" t="s">
        <v>44</v>
      </c>
      <c r="F13" s="54" t="s">
        <v>53</v>
      </c>
    </row>
    <row r="14" spans="1:6" ht="15.75">
      <c r="A14" s="22">
        <v>1</v>
      </c>
      <c r="B14" s="23">
        <v>2</v>
      </c>
      <c r="C14" s="23">
        <v>3</v>
      </c>
      <c r="D14" s="23">
        <v>3</v>
      </c>
      <c r="E14" s="23">
        <v>4</v>
      </c>
      <c r="F14" s="23">
        <v>3</v>
      </c>
    </row>
    <row r="15" spans="1:6" ht="15.75">
      <c r="A15" s="24"/>
      <c r="B15" s="25" t="s">
        <v>69</v>
      </c>
      <c r="C15" s="32"/>
      <c r="D15" s="26"/>
      <c r="E15" s="26"/>
      <c r="F15" s="26"/>
    </row>
    <row r="16" spans="1:6" ht="15.75">
      <c r="A16" s="27">
        <v>1100</v>
      </c>
      <c r="B16" s="27" t="s">
        <v>64</v>
      </c>
      <c r="C16" s="94">
        <v>1089.12</v>
      </c>
      <c r="D16" s="28">
        <v>0</v>
      </c>
      <c r="E16" s="28">
        <v>3074.97</v>
      </c>
      <c r="F16" s="28"/>
    </row>
    <row r="17" spans="1:6" ht="15.75" customHeight="1">
      <c r="A17" s="27">
        <v>1200</v>
      </c>
      <c r="B17" s="29" t="s">
        <v>63</v>
      </c>
      <c r="C17" s="94">
        <v>262.37</v>
      </c>
      <c r="D17" s="28">
        <v>0</v>
      </c>
      <c r="E17" s="28">
        <v>725.39</v>
      </c>
      <c r="F17" s="28"/>
    </row>
    <row r="18" spans="1:6" ht="15.75">
      <c r="A18" s="27">
        <v>2210</v>
      </c>
      <c r="B18" s="29" t="s">
        <v>27</v>
      </c>
      <c r="C18" s="94">
        <f>26.04/5</f>
        <v>5.208</v>
      </c>
      <c r="D18" s="28"/>
      <c r="E18" s="28"/>
      <c r="F18" s="28"/>
    </row>
    <row r="19" spans="1:6" ht="15.75">
      <c r="A19" s="27">
        <v>2222</v>
      </c>
      <c r="B19" s="29" t="s">
        <v>28</v>
      </c>
      <c r="C19" s="94">
        <f>65.09/5</f>
        <v>13.018</v>
      </c>
      <c r="D19" s="28">
        <v>0</v>
      </c>
      <c r="E19" s="28" t="e">
        <f>ROUND(#REF!/2,2)</f>
        <v>#REF!</v>
      </c>
      <c r="F19" s="28"/>
    </row>
    <row r="20" spans="1:6" ht="15.75">
      <c r="A20" s="27">
        <v>2223</v>
      </c>
      <c r="B20" s="29" t="s">
        <v>29</v>
      </c>
      <c r="C20" s="94">
        <f>91.64/5</f>
        <v>18.328</v>
      </c>
      <c r="D20" s="28">
        <v>0</v>
      </c>
      <c r="E20" s="28" t="e">
        <f>ROUND(#REF!/2,2)</f>
        <v>#REF!</v>
      </c>
      <c r="F20" s="28"/>
    </row>
    <row r="21" spans="1:6" ht="15.75">
      <c r="A21" s="27">
        <v>2243</v>
      </c>
      <c r="B21" s="29" t="s">
        <v>9</v>
      </c>
      <c r="C21" s="94">
        <f>43.91/5</f>
        <v>8.782</v>
      </c>
      <c r="D21" s="28">
        <v>0</v>
      </c>
      <c r="E21" s="28" t="e">
        <f>ROUND(#REF!/2,2)</f>
        <v>#REF!</v>
      </c>
      <c r="F21" s="28"/>
    </row>
    <row r="22" spans="1:6" ht="15.75">
      <c r="A22" s="27">
        <v>2244</v>
      </c>
      <c r="B22" s="29" t="s">
        <v>10</v>
      </c>
      <c r="C22" s="94">
        <f>122.05/5</f>
        <v>24.41</v>
      </c>
      <c r="D22" s="28"/>
      <c r="E22" s="28"/>
      <c r="F22" s="28"/>
    </row>
    <row r="23" spans="1:6" ht="15.75" customHeight="1">
      <c r="A23" s="27">
        <v>2251</v>
      </c>
      <c r="B23" s="29" t="s">
        <v>61</v>
      </c>
      <c r="C23" s="94">
        <f>95.09/5</f>
        <v>19.018</v>
      </c>
      <c r="D23" s="28"/>
      <c r="E23" s="28"/>
      <c r="F23" s="28"/>
    </row>
    <row r="24" spans="1:6" ht="1.5" customHeight="1" hidden="1">
      <c r="A24" s="27">
        <v>2261</v>
      </c>
      <c r="B24" s="29" t="s">
        <v>11</v>
      </c>
      <c r="C24" s="94">
        <v>0</v>
      </c>
      <c r="D24" s="28"/>
      <c r="E24" s="28"/>
      <c r="F24" s="28"/>
    </row>
    <row r="25" spans="1:6" ht="1.5" customHeight="1" hidden="1">
      <c r="A25" s="27">
        <v>2264</v>
      </c>
      <c r="B25" s="29" t="s">
        <v>13</v>
      </c>
      <c r="C25" s="94">
        <v>0</v>
      </c>
      <c r="D25" s="28"/>
      <c r="E25" s="28"/>
      <c r="F25" s="28"/>
    </row>
    <row r="26" spans="1:6" ht="1.5" customHeight="1" hidden="1">
      <c r="A26" s="27">
        <v>2279</v>
      </c>
      <c r="B26" s="29" t="s">
        <v>14</v>
      </c>
      <c r="C26" s="94">
        <f>39.05/5</f>
        <v>7.81</v>
      </c>
      <c r="D26" s="28"/>
      <c r="E26" s="28"/>
      <c r="F26" s="28"/>
    </row>
    <row r="27" spans="1:6" ht="15.75">
      <c r="A27" s="27">
        <v>2311</v>
      </c>
      <c r="B27" s="29" t="s">
        <v>74</v>
      </c>
      <c r="C27" s="94">
        <f>21.66/5</f>
        <v>4.332</v>
      </c>
      <c r="D27" s="28"/>
      <c r="E27" s="28"/>
      <c r="F27" s="28"/>
    </row>
    <row r="28" spans="1:6" ht="15.75">
      <c r="A28" s="27">
        <v>2312</v>
      </c>
      <c r="B28" s="29" t="s">
        <v>16</v>
      </c>
      <c r="C28" s="94">
        <f>104.14/5</f>
        <v>20.828</v>
      </c>
      <c r="D28" s="28"/>
      <c r="E28" s="28"/>
      <c r="F28" s="28"/>
    </row>
    <row r="29" spans="1:6" ht="15" customHeight="1">
      <c r="A29" s="27">
        <v>2321</v>
      </c>
      <c r="B29" s="29" t="s">
        <v>17</v>
      </c>
      <c r="C29" s="94">
        <f>130.18/5</f>
        <v>26.036</v>
      </c>
      <c r="D29" s="28">
        <v>0</v>
      </c>
      <c r="E29" s="28" t="e">
        <f>ROUND(#REF!/2,2)</f>
        <v>#REF!</v>
      </c>
      <c r="F29" s="28"/>
    </row>
    <row r="30" spans="1:6" ht="15.75" hidden="1">
      <c r="A30" s="27">
        <v>2350</v>
      </c>
      <c r="B30" s="29" t="s">
        <v>19</v>
      </c>
      <c r="C30" s="94">
        <v>0</v>
      </c>
      <c r="D30" s="28">
        <v>0</v>
      </c>
      <c r="E30" s="28" t="e">
        <f>ROUND(#REF!/2,2)</f>
        <v>#REF!</v>
      </c>
      <c r="F30" s="28"/>
    </row>
    <row r="31" spans="1:6" ht="15.75" hidden="1">
      <c r="A31" s="27">
        <v>2361</v>
      </c>
      <c r="B31" s="29" t="s">
        <v>20</v>
      </c>
      <c r="C31" s="94">
        <v>0</v>
      </c>
      <c r="D31" s="28"/>
      <c r="E31" s="28"/>
      <c r="F31" s="28"/>
    </row>
    <row r="32" spans="1:6" ht="15.75">
      <c r="A32" s="27">
        <v>2370</v>
      </c>
      <c r="B32" s="29" t="s">
        <v>70</v>
      </c>
      <c r="C32" s="94">
        <f>47.78/5</f>
        <v>9.556000000000001</v>
      </c>
      <c r="D32" s="28"/>
      <c r="E32" s="28"/>
      <c r="F32" s="28"/>
    </row>
    <row r="33" spans="1:6" ht="15.75" hidden="1">
      <c r="A33" s="55">
        <v>2513</v>
      </c>
      <c r="B33" s="29" t="s">
        <v>22</v>
      </c>
      <c r="C33" s="94">
        <v>0</v>
      </c>
      <c r="D33" s="28"/>
      <c r="E33" s="28"/>
      <c r="F33" s="28"/>
    </row>
    <row r="34" spans="1:6" ht="15.75">
      <c r="A34" s="27">
        <v>5230</v>
      </c>
      <c r="B34" s="29" t="s">
        <v>58</v>
      </c>
      <c r="C34" s="94">
        <f>136.38/5</f>
        <v>27.276</v>
      </c>
      <c r="D34" s="28">
        <v>0</v>
      </c>
      <c r="E34" s="28" t="e">
        <f>ROUND(#REF!/2,2)</f>
        <v>#REF!</v>
      </c>
      <c r="F34" s="28"/>
    </row>
    <row r="35" spans="1:6" ht="15.75">
      <c r="A35" s="27"/>
      <c r="B35" s="30" t="s">
        <v>66</v>
      </c>
      <c r="C35" s="31">
        <f>SUM(C16:C34)</f>
        <v>1536.092</v>
      </c>
      <c r="D35" s="31">
        <f>SUM(D16:D34)</f>
        <v>0</v>
      </c>
      <c r="E35" s="31" t="e">
        <f>SUM(E16:E34)</f>
        <v>#REF!</v>
      </c>
      <c r="F35" s="31"/>
    </row>
    <row r="36" spans="1:6" ht="15.75">
      <c r="A36" s="32"/>
      <c r="B36" s="27" t="s">
        <v>65</v>
      </c>
      <c r="C36" s="26"/>
      <c r="D36" s="26"/>
      <c r="E36" s="26"/>
      <c r="F36" s="26"/>
    </row>
    <row r="37" spans="1:6" ht="15.75">
      <c r="A37" s="27">
        <v>1100</v>
      </c>
      <c r="B37" s="27" t="s">
        <v>64</v>
      </c>
      <c r="C37" s="94">
        <v>402.22</v>
      </c>
      <c r="D37" s="28">
        <v>0</v>
      </c>
      <c r="E37" s="28" t="e">
        <f>ROUND(#REF!/2,2)</f>
        <v>#REF!</v>
      </c>
      <c r="F37" s="28"/>
    </row>
    <row r="38" spans="1:6" ht="31.5">
      <c r="A38" s="27">
        <v>1200</v>
      </c>
      <c r="B38" s="29" t="s">
        <v>63</v>
      </c>
      <c r="C38" s="94">
        <f>96.89</f>
        <v>96.89</v>
      </c>
      <c r="D38" s="28">
        <v>0</v>
      </c>
      <c r="E38" s="28" t="e">
        <f>ROUND(#REF!/2,2)</f>
        <v>#REF!</v>
      </c>
      <c r="F38" s="28"/>
    </row>
    <row r="39" spans="1:6" ht="15.75">
      <c r="A39" s="33">
        <v>2210</v>
      </c>
      <c r="B39" s="29" t="s">
        <v>27</v>
      </c>
      <c r="C39" s="94">
        <f>10.73/5</f>
        <v>2.146</v>
      </c>
      <c r="D39" s="28">
        <v>0</v>
      </c>
      <c r="E39" s="28" t="e">
        <f>ROUND(#REF!/2,2)</f>
        <v>#REF!</v>
      </c>
      <c r="F39" s="28"/>
    </row>
    <row r="40" spans="1:6" ht="15.75">
      <c r="A40" s="33">
        <v>2224</v>
      </c>
      <c r="B40" s="29" t="s">
        <v>87</v>
      </c>
      <c r="C40" s="94">
        <f>8.59/5</f>
        <v>1.718</v>
      </c>
      <c r="D40" s="28"/>
      <c r="E40" s="28"/>
      <c r="F40" s="28"/>
    </row>
    <row r="41" spans="1:6" ht="14.25" customHeight="1">
      <c r="A41" s="27">
        <v>2230</v>
      </c>
      <c r="B41" s="29" t="s">
        <v>30</v>
      </c>
      <c r="C41" s="94">
        <f>31.85/5</f>
        <v>6.37</v>
      </c>
      <c r="D41" s="28">
        <v>0</v>
      </c>
      <c r="E41" s="28">
        <f aca="true" t="shared" si="0" ref="E41:E56">ROUND(C41/2,2)</f>
        <v>3.19</v>
      </c>
      <c r="F41" s="28"/>
    </row>
    <row r="42" spans="1:6" ht="15.75" hidden="1">
      <c r="A42" s="27">
        <v>2241</v>
      </c>
      <c r="B42" s="29" t="s">
        <v>7</v>
      </c>
      <c r="C42" s="94">
        <v>0</v>
      </c>
      <c r="D42" s="28">
        <v>0</v>
      </c>
      <c r="E42" s="28">
        <f t="shared" si="0"/>
        <v>0</v>
      </c>
      <c r="F42" s="28"/>
    </row>
    <row r="43" spans="1:6" ht="15.75">
      <c r="A43" s="27">
        <v>2242</v>
      </c>
      <c r="B43" s="29" t="s">
        <v>8</v>
      </c>
      <c r="C43" s="94">
        <f>3.74/5</f>
        <v>0.748</v>
      </c>
      <c r="D43" s="28">
        <v>0</v>
      </c>
      <c r="E43" s="28">
        <f t="shared" si="0"/>
        <v>0.37</v>
      </c>
      <c r="F43" s="28"/>
    </row>
    <row r="44" spans="1:6" ht="15.75">
      <c r="A44" s="27">
        <v>2243</v>
      </c>
      <c r="B44" s="29" t="s">
        <v>9</v>
      </c>
      <c r="C44" s="94">
        <f>104.08/5</f>
        <v>20.816</v>
      </c>
      <c r="D44" s="28">
        <v>0</v>
      </c>
      <c r="E44" s="28">
        <f t="shared" si="0"/>
        <v>10.41</v>
      </c>
      <c r="F44" s="28"/>
    </row>
    <row r="45" spans="1:6" ht="15.75">
      <c r="A45" s="27">
        <v>2244</v>
      </c>
      <c r="B45" s="29" t="s">
        <v>10</v>
      </c>
      <c r="C45" s="94">
        <f>9.4/5</f>
        <v>1.8800000000000001</v>
      </c>
      <c r="D45" s="28"/>
      <c r="E45" s="28"/>
      <c r="F45" s="28"/>
    </row>
    <row r="46" spans="1:6" ht="15.75">
      <c r="A46" s="27">
        <v>2247</v>
      </c>
      <c r="B46" s="25" t="s">
        <v>60</v>
      </c>
      <c r="C46" s="94">
        <f>2.73/5</f>
        <v>0.546</v>
      </c>
      <c r="D46" s="28">
        <v>0</v>
      </c>
      <c r="E46" s="28">
        <f t="shared" si="0"/>
        <v>0.27</v>
      </c>
      <c r="F46" s="28"/>
    </row>
    <row r="47" spans="1:6" ht="15.75">
      <c r="A47" s="27">
        <v>2251</v>
      </c>
      <c r="B47" s="29" t="s">
        <v>61</v>
      </c>
      <c r="C47" s="94">
        <f>26.66/5</f>
        <v>5.332</v>
      </c>
      <c r="D47" s="28">
        <v>0</v>
      </c>
      <c r="E47" s="28">
        <f t="shared" si="0"/>
        <v>2.67</v>
      </c>
      <c r="F47" s="28"/>
    </row>
    <row r="48" spans="1:6" ht="15.75">
      <c r="A48" s="27">
        <v>2259</v>
      </c>
      <c r="B48" s="29" t="s">
        <v>62</v>
      </c>
      <c r="C48" s="94">
        <f>13.24/5</f>
        <v>2.648</v>
      </c>
      <c r="D48" s="28">
        <v>0</v>
      </c>
      <c r="E48" s="28">
        <f t="shared" si="0"/>
        <v>1.32</v>
      </c>
      <c r="F48" s="28"/>
    </row>
    <row r="49" spans="1:6" ht="15.75">
      <c r="A49" s="27">
        <v>2261</v>
      </c>
      <c r="B49" s="29" t="s">
        <v>11</v>
      </c>
      <c r="C49" s="94">
        <f>23.58/5</f>
        <v>4.715999999999999</v>
      </c>
      <c r="D49" s="28"/>
      <c r="E49" s="28"/>
      <c r="F49" s="28"/>
    </row>
    <row r="50" spans="1:6" ht="15.75">
      <c r="A50" s="27">
        <v>2262</v>
      </c>
      <c r="B50" s="29" t="s">
        <v>12</v>
      </c>
      <c r="C50" s="94">
        <f>18.5/5</f>
        <v>3.7</v>
      </c>
      <c r="D50" s="28">
        <v>0</v>
      </c>
      <c r="E50" s="28">
        <f t="shared" si="0"/>
        <v>1.85</v>
      </c>
      <c r="F50" s="28"/>
    </row>
    <row r="51" spans="1:6" ht="15.75">
      <c r="A51" s="27">
        <v>2264</v>
      </c>
      <c r="B51" s="29" t="s">
        <v>13</v>
      </c>
      <c r="C51" s="94">
        <f>1.19/5</f>
        <v>0.238</v>
      </c>
      <c r="D51" s="28">
        <v>0</v>
      </c>
      <c r="E51" s="28">
        <f t="shared" si="0"/>
        <v>0.12</v>
      </c>
      <c r="F51" s="28"/>
    </row>
    <row r="52" spans="1:6" ht="15.75">
      <c r="A52" s="27">
        <v>2279</v>
      </c>
      <c r="B52" s="29" t="s">
        <v>14</v>
      </c>
      <c r="C52" s="94">
        <f>12.39/5</f>
        <v>2.478</v>
      </c>
      <c r="D52" s="28">
        <v>0</v>
      </c>
      <c r="E52" s="28">
        <f t="shared" si="0"/>
        <v>1.24</v>
      </c>
      <c r="F52" s="28"/>
    </row>
    <row r="53" spans="1:6" ht="15.75">
      <c r="A53" s="27">
        <v>2311</v>
      </c>
      <c r="B53" s="29" t="s">
        <v>15</v>
      </c>
      <c r="C53" s="94">
        <f>6.72/5</f>
        <v>1.3439999999999999</v>
      </c>
      <c r="D53" s="28">
        <v>0</v>
      </c>
      <c r="E53" s="28">
        <f t="shared" si="0"/>
        <v>0.67</v>
      </c>
      <c r="F53" s="28"/>
    </row>
    <row r="54" spans="1:6" ht="15.75">
      <c r="A54" s="27">
        <v>2312</v>
      </c>
      <c r="B54" s="29" t="s">
        <v>16</v>
      </c>
      <c r="C54" s="94">
        <f>3.76/5</f>
        <v>0.752</v>
      </c>
      <c r="D54" s="28">
        <v>0</v>
      </c>
      <c r="E54" s="28">
        <f t="shared" si="0"/>
        <v>0.38</v>
      </c>
      <c r="F54" s="28"/>
    </row>
    <row r="55" spans="1:6" ht="15.75">
      <c r="A55" s="27">
        <v>2322</v>
      </c>
      <c r="B55" s="29" t="s">
        <v>18</v>
      </c>
      <c r="C55" s="94">
        <f>19.66/5</f>
        <v>3.932</v>
      </c>
      <c r="D55" s="28">
        <v>0</v>
      </c>
      <c r="E55" s="28">
        <f t="shared" si="0"/>
        <v>1.97</v>
      </c>
      <c r="F55" s="28"/>
    </row>
    <row r="56" spans="1:6" ht="15.75">
      <c r="A56" s="27">
        <v>2350</v>
      </c>
      <c r="B56" s="29" t="s">
        <v>19</v>
      </c>
      <c r="C56" s="94">
        <f>41.95/5</f>
        <v>8.39</v>
      </c>
      <c r="D56" s="28">
        <v>0</v>
      </c>
      <c r="E56" s="28">
        <f t="shared" si="0"/>
        <v>4.2</v>
      </c>
      <c r="F56" s="28"/>
    </row>
    <row r="57" spans="1:6" ht="1.5" customHeight="1" hidden="1">
      <c r="A57" s="27">
        <v>2361</v>
      </c>
      <c r="B57" s="29" t="s">
        <v>20</v>
      </c>
      <c r="C57" s="94">
        <v>0</v>
      </c>
      <c r="D57" s="28"/>
      <c r="E57" s="28"/>
      <c r="F57" s="28"/>
    </row>
    <row r="58" spans="1:6" ht="15.75">
      <c r="A58" s="27">
        <v>2370</v>
      </c>
      <c r="B58" s="29" t="s">
        <v>70</v>
      </c>
      <c r="C58" s="94">
        <f>17.82/5</f>
        <v>3.564</v>
      </c>
      <c r="D58" s="28"/>
      <c r="E58" s="28"/>
      <c r="F58" s="28"/>
    </row>
    <row r="59" spans="1:6" ht="15.75">
      <c r="A59" s="27">
        <v>2400</v>
      </c>
      <c r="B59" s="29" t="s">
        <v>31</v>
      </c>
      <c r="C59" s="94">
        <f>1.22/5</f>
        <v>0.244</v>
      </c>
      <c r="D59" s="28"/>
      <c r="E59" s="28"/>
      <c r="F59" s="28"/>
    </row>
    <row r="60" spans="1:6" ht="15" customHeight="1">
      <c r="A60" s="27">
        <v>2513</v>
      </c>
      <c r="B60" s="29" t="s">
        <v>22</v>
      </c>
      <c r="C60" s="94">
        <f>8.3/5</f>
        <v>1.6600000000000001</v>
      </c>
      <c r="D60" s="28"/>
      <c r="E60" s="28"/>
      <c r="F60" s="28"/>
    </row>
    <row r="61" spans="1:6" ht="0.75" customHeight="1" hidden="1">
      <c r="A61" s="27">
        <v>2515</v>
      </c>
      <c r="B61" s="29" t="s">
        <v>59</v>
      </c>
      <c r="C61" s="94">
        <v>0</v>
      </c>
      <c r="D61" s="28"/>
      <c r="E61" s="28"/>
      <c r="F61" s="28"/>
    </row>
    <row r="62" spans="1:6" ht="15.75">
      <c r="A62" s="27">
        <v>2519</v>
      </c>
      <c r="B62" s="29" t="s">
        <v>24</v>
      </c>
      <c r="C62" s="94">
        <f>66.24/5</f>
        <v>13.248</v>
      </c>
      <c r="D62" s="28"/>
      <c r="E62" s="28"/>
      <c r="F62" s="28"/>
    </row>
    <row r="63" spans="1:6" ht="15.75">
      <c r="A63" s="27">
        <v>5232</v>
      </c>
      <c r="B63" s="29" t="s">
        <v>23</v>
      </c>
      <c r="C63" s="94">
        <f>56.28/5</f>
        <v>11.256</v>
      </c>
      <c r="D63" s="28"/>
      <c r="E63" s="28"/>
      <c r="F63" s="28"/>
    </row>
    <row r="64" spans="1:6" ht="15.75" hidden="1">
      <c r="A64" s="27">
        <v>5240</v>
      </c>
      <c r="B64" s="29" t="s">
        <v>25</v>
      </c>
      <c r="C64" s="63">
        <v>0</v>
      </c>
      <c r="D64" s="28"/>
      <c r="E64" s="28"/>
      <c r="F64" s="28"/>
    </row>
    <row r="65" spans="1:6" ht="15.75" hidden="1">
      <c r="A65" s="27">
        <v>5250</v>
      </c>
      <c r="B65" s="29" t="s">
        <v>26</v>
      </c>
      <c r="C65" s="63">
        <v>0</v>
      </c>
      <c r="D65" s="28"/>
      <c r="E65" s="28"/>
      <c r="F65" s="28"/>
    </row>
    <row r="66" spans="1:6" ht="15.75">
      <c r="A66" s="32"/>
      <c r="B66" s="34" t="s">
        <v>67</v>
      </c>
      <c r="C66" s="31">
        <f>SUM(C37:C65)</f>
        <v>596.8360000000001</v>
      </c>
      <c r="D66" s="31">
        <f>SUM(D37:D56)</f>
        <v>0</v>
      </c>
      <c r="E66" s="31" t="e">
        <f>SUM(E37:E56)</f>
        <v>#REF!</v>
      </c>
      <c r="F66" s="31"/>
    </row>
    <row r="67" spans="1:6" ht="15.75">
      <c r="A67" s="32"/>
      <c r="B67" s="34" t="s">
        <v>32</v>
      </c>
      <c r="C67" s="31">
        <f>C35+C66</f>
        <v>2132.9280000000003</v>
      </c>
      <c r="D67" s="31" t="e">
        <f>#REF!+D28</f>
        <v>#REF!</v>
      </c>
      <c r="E67" s="31" t="e">
        <f>#REF!+E28</f>
        <v>#REF!</v>
      </c>
      <c r="F67" s="31"/>
    </row>
    <row r="68" spans="1:6" ht="0.75" customHeight="1">
      <c r="A68" s="27">
        <v>6290</v>
      </c>
      <c r="B68" s="29" t="s">
        <v>34</v>
      </c>
      <c r="C68" s="28"/>
      <c r="D68" s="46">
        <v>0</v>
      </c>
      <c r="E68" s="28">
        <f>ROUND(C68/1007*504,2)</f>
        <v>0</v>
      </c>
      <c r="F68" s="28"/>
    </row>
    <row r="69" spans="1:6" ht="15.75" hidden="1">
      <c r="A69" s="27">
        <v>5250</v>
      </c>
      <c r="B69" s="29" t="s">
        <v>26</v>
      </c>
      <c r="C69" s="45"/>
      <c r="D69" s="29"/>
      <c r="E69" s="29"/>
      <c r="F69" s="45"/>
    </row>
    <row r="70" spans="1:6" ht="0.75" customHeight="1">
      <c r="A70" s="32"/>
      <c r="B70" s="34" t="s">
        <v>32</v>
      </c>
      <c r="C70" s="31">
        <f>C67+C68+C69</f>
        <v>2132.9280000000003</v>
      </c>
      <c r="D70" s="47" t="e">
        <f>#REF!+D28</f>
        <v>#REF!</v>
      </c>
      <c r="E70" s="31" t="e">
        <f>#REF!+E28</f>
        <v>#REF!</v>
      </c>
      <c r="F70" s="31"/>
    </row>
    <row r="71" spans="1:6" ht="15.75">
      <c r="A71" s="35"/>
      <c r="B71" s="20"/>
      <c r="D71" s="20"/>
      <c r="E71" s="20"/>
      <c r="F71" s="6"/>
    </row>
    <row r="72" spans="1:6" ht="15.75">
      <c r="A72" s="137" t="s">
        <v>45</v>
      </c>
      <c r="B72" s="137"/>
      <c r="C72" s="108">
        <v>1</v>
      </c>
      <c r="D72" s="21">
        <v>0</v>
      </c>
      <c r="E72" s="21">
        <v>504</v>
      </c>
      <c r="F72" s="21"/>
    </row>
    <row r="73" spans="1:6" ht="15.75">
      <c r="A73" s="137" t="s">
        <v>46</v>
      </c>
      <c r="B73" s="137"/>
      <c r="C73" s="109">
        <f>C70/C72</f>
        <v>2132.9280000000003</v>
      </c>
      <c r="D73" s="37">
        <v>0</v>
      </c>
      <c r="E73" s="37" t="e">
        <f>E70/E72</f>
        <v>#REF!</v>
      </c>
      <c r="F73" s="37"/>
    </row>
    <row r="74" spans="1:6" ht="15.75">
      <c r="A74" s="9"/>
      <c r="B74" s="9"/>
      <c r="C74" s="36"/>
      <c r="D74" s="36"/>
      <c r="E74" s="36"/>
      <c r="F74" s="36"/>
    </row>
    <row r="75" spans="1:6" ht="15.75">
      <c r="A75" s="139" t="s">
        <v>37</v>
      </c>
      <c r="B75" s="140"/>
      <c r="C75" s="39"/>
      <c r="D75" s="39"/>
      <c r="E75" s="39"/>
      <c r="F75" s="39"/>
    </row>
    <row r="76" spans="1:6" ht="15.75">
      <c r="A76" s="139" t="s">
        <v>54</v>
      </c>
      <c r="B76" s="140"/>
      <c r="C76" s="40"/>
      <c r="D76" s="40"/>
      <c r="E76" s="39"/>
      <c r="F76" s="39"/>
    </row>
    <row r="77" spans="1:6" ht="15.75">
      <c r="A77" s="17" t="s">
        <v>38</v>
      </c>
      <c r="B77" s="17"/>
      <c r="C77" s="17"/>
      <c r="D77" s="17"/>
      <c r="E77" s="17"/>
      <c r="F77" s="17"/>
    </row>
    <row r="78" spans="1:6" ht="15.75">
      <c r="A78" s="17"/>
      <c r="B78" s="17"/>
      <c r="C78" s="17"/>
      <c r="D78" s="17"/>
      <c r="E78" s="17"/>
      <c r="F78" s="17"/>
    </row>
    <row r="79" spans="1:6" ht="15.75">
      <c r="A79" s="17" t="s">
        <v>47</v>
      </c>
      <c r="B79" s="18"/>
      <c r="C79" s="18"/>
      <c r="D79" s="18"/>
      <c r="E79" s="18"/>
      <c r="F79" s="18"/>
    </row>
    <row r="80" spans="1:6" ht="15.75">
      <c r="A80" s="17"/>
      <c r="B80" s="97"/>
      <c r="C80" s="19"/>
      <c r="D80" s="19"/>
      <c r="E80" s="17"/>
      <c r="F80" s="17"/>
    </row>
    <row r="81" spans="1:6" ht="15.75">
      <c r="A81" s="17"/>
      <c r="B81" s="19"/>
      <c r="C81" s="17"/>
      <c r="D81" s="2"/>
      <c r="E81" s="2"/>
      <c r="F81" s="2"/>
    </row>
    <row r="82" spans="3:6" ht="15">
      <c r="C82" s="101"/>
      <c r="D82" s="1"/>
      <c r="E82" s="1"/>
      <c r="F82" s="1"/>
    </row>
    <row r="83" spans="4:6" ht="15">
      <c r="D83" s="3"/>
      <c r="E83" s="3"/>
      <c r="F83" s="3"/>
    </row>
    <row r="84" spans="4:6" ht="15">
      <c r="D84" s="3"/>
      <c r="E84" s="3"/>
      <c r="F84" s="3"/>
    </row>
  </sheetData>
  <sheetProtection/>
  <mergeCells count="11">
    <mergeCell ref="B5:F5"/>
    <mergeCell ref="A72:B72"/>
    <mergeCell ref="A73:B73"/>
    <mergeCell ref="A75:B75"/>
    <mergeCell ref="A76:B76"/>
    <mergeCell ref="B1:F1"/>
    <mergeCell ref="B2:F2"/>
    <mergeCell ref="B3:F3"/>
    <mergeCell ref="A6:F6"/>
    <mergeCell ref="A7:B7"/>
    <mergeCell ref="A8:B8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view="pageLayout" workbookViewId="0" topLeftCell="A58">
      <selection activeCell="B13" sqref="B13:C13"/>
    </sheetView>
  </sheetViews>
  <sheetFormatPr defaultColWidth="9.140625" defaultRowHeight="12.75"/>
  <cols>
    <col min="1" max="1" width="12.7109375" style="6" customWidth="1"/>
    <col min="2" max="2" width="95.7109375" style="6" customWidth="1"/>
    <col min="3" max="3" width="32.28125" style="6" customWidth="1"/>
  </cols>
  <sheetData>
    <row r="1" spans="1:3" ht="15.75">
      <c r="A1" s="13"/>
      <c r="B1" s="133" t="s">
        <v>35</v>
      </c>
      <c r="C1" s="133"/>
    </row>
    <row r="2" spans="1:3" ht="15.75">
      <c r="A2" s="13"/>
      <c r="B2" s="135" t="s">
        <v>39</v>
      </c>
      <c r="C2" s="135"/>
    </row>
    <row r="3" spans="1:3" ht="15.75">
      <c r="A3" s="13"/>
      <c r="B3" s="131" t="s">
        <v>57</v>
      </c>
      <c r="C3" s="132"/>
    </row>
    <row r="4" spans="1:3" ht="15.75">
      <c r="A4" s="13"/>
      <c r="B4" s="35"/>
      <c r="C4" s="97"/>
    </row>
    <row r="5" spans="1:3" ht="15.75">
      <c r="A5" s="13"/>
      <c r="B5" s="135" t="s">
        <v>139</v>
      </c>
      <c r="C5" s="135"/>
    </row>
    <row r="6" spans="1:3" ht="15.75">
      <c r="A6" s="13"/>
      <c r="B6" s="11"/>
      <c r="C6" s="11"/>
    </row>
    <row r="7" spans="1:3" ht="15.75">
      <c r="A7" s="138" t="s">
        <v>5</v>
      </c>
      <c r="B7" s="138"/>
      <c r="C7" s="138"/>
    </row>
    <row r="8" spans="1:3" ht="15.75">
      <c r="A8" s="98"/>
      <c r="B8" s="98"/>
      <c r="C8" s="98"/>
    </row>
    <row r="9" spans="1:3" ht="15.75">
      <c r="A9" s="137" t="s">
        <v>1</v>
      </c>
      <c r="B9" s="137"/>
      <c r="C9" s="9"/>
    </row>
    <row r="10" spans="1:3" ht="15.75">
      <c r="A10" s="137" t="s">
        <v>0</v>
      </c>
      <c r="B10" s="137"/>
      <c r="C10" s="9"/>
    </row>
    <row r="11" spans="1:3" ht="15.75">
      <c r="A11" s="9"/>
      <c r="B11" s="9" t="s">
        <v>89</v>
      </c>
      <c r="C11" s="9"/>
    </row>
    <row r="12" spans="1:3" ht="15.75">
      <c r="A12" s="9"/>
      <c r="B12" s="137" t="s">
        <v>91</v>
      </c>
      <c r="C12" s="142"/>
    </row>
    <row r="13" spans="1:3" ht="15.75">
      <c r="A13" s="9"/>
      <c r="B13" s="137" t="s">
        <v>93</v>
      </c>
      <c r="C13" s="137"/>
    </row>
    <row r="14" spans="1:3" ht="15.75">
      <c r="A14" s="9" t="s">
        <v>2</v>
      </c>
      <c r="B14" s="9" t="s">
        <v>99</v>
      </c>
      <c r="C14" s="9"/>
    </row>
    <row r="15" spans="1:3" ht="62.25" customHeight="1">
      <c r="A15" s="54" t="s">
        <v>3</v>
      </c>
      <c r="B15" s="54" t="s">
        <v>4</v>
      </c>
      <c r="C15" s="54" t="s">
        <v>53</v>
      </c>
    </row>
    <row r="16" spans="1:3" ht="15.75">
      <c r="A16" s="22">
        <v>1</v>
      </c>
      <c r="B16" s="23">
        <v>2</v>
      </c>
      <c r="C16" s="23">
        <v>3</v>
      </c>
    </row>
    <row r="17" spans="1:3" ht="15.75">
      <c r="A17" s="24"/>
      <c r="B17" s="25" t="s">
        <v>69</v>
      </c>
      <c r="C17" s="32"/>
    </row>
    <row r="18" spans="1:3" ht="15.75">
      <c r="A18" s="27">
        <v>1100</v>
      </c>
      <c r="B18" s="27" t="s">
        <v>64</v>
      </c>
      <c r="C18" s="94">
        <v>886.8</v>
      </c>
    </row>
    <row r="19" spans="1:3" ht="15.75" customHeight="1">
      <c r="A19" s="27">
        <v>1200</v>
      </c>
      <c r="B19" s="29" t="s">
        <v>63</v>
      </c>
      <c r="C19" s="94">
        <v>213.63</v>
      </c>
    </row>
    <row r="20" spans="1:3" ht="15.75">
      <c r="A20" s="27">
        <v>2210</v>
      </c>
      <c r="B20" s="29" t="s">
        <v>27</v>
      </c>
      <c r="C20" s="94">
        <f>26.04/5</f>
        <v>5.208</v>
      </c>
    </row>
    <row r="21" spans="1:3" ht="15.75">
      <c r="A21" s="27">
        <v>2222</v>
      </c>
      <c r="B21" s="29" t="s">
        <v>28</v>
      </c>
      <c r="C21" s="94">
        <f>65.09/5</f>
        <v>13.018</v>
      </c>
    </row>
    <row r="22" spans="1:3" ht="15.75">
      <c r="A22" s="27">
        <v>2223</v>
      </c>
      <c r="B22" s="29" t="s">
        <v>29</v>
      </c>
      <c r="C22" s="94">
        <f>84.87/5</f>
        <v>16.974</v>
      </c>
    </row>
    <row r="23" spans="1:3" ht="15.75">
      <c r="A23" s="27">
        <v>2243</v>
      </c>
      <c r="B23" s="29" t="s">
        <v>9</v>
      </c>
      <c r="C23" s="94">
        <f>77.36/5</f>
        <v>15.472</v>
      </c>
    </row>
    <row r="24" spans="1:3" ht="15.75">
      <c r="A24" s="27">
        <v>2244</v>
      </c>
      <c r="B24" s="29" t="s">
        <v>10</v>
      </c>
      <c r="C24" s="94">
        <f>97.64/5</f>
        <v>19.528</v>
      </c>
    </row>
    <row r="25" spans="1:3" ht="15.75">
      <c r="A25" s="27">
        <v>2251</v>
      </c>
      <c r="B25" s="29" t="s">
        <v>61</v>
      </c>
      <c r="C25" s="94">
        <f>145.09/5</f>
        <v>29.018</v>
      </c>
    </row>
    <row r="26" spans="1:3" ht="15.75" hidden="1">
      <c r="A26" s="27">
        <v>2261</v>
      </c>
      <c r="B26" s="29" t="s">
        <v>11</v>
      </c>
      <c r="C26" s="94">
        <v>0</v>
      </c>
    </row>
    <row r="27" spans="1:3" ht="15.75" hidden="1">
      <c r="A27" s="27">
        <v>2264</v>
      </c>
      <c r="B27" s="29" t="s">
        <v>13</v>
      </c>
      <c r="C27" s="94">
        <v>0</v>
      </c>
    </row>
    <row r="28" spans="1:3" ht="15.75">
      <c r="A28" s="27">
        <v>2279</v>
      </c>
      <c r="B28" s="29" t="s">
        <v>14</v>
      </c>
      <c r="C28" s="94">
        <f>39.05/5</f>
        <v>7.81</v>
      </c>
    </row>
    <row r="29" spans="1:3" ht="15.75">
      <c r="A29" s="27">
        <v>2311</v>
      </c>
      <c r="B29" s="29" t="s">
        <v>74</v>
      </c>
      <c r="C29" s="94">
        <f>92.62/5</f>
        <v>18.524</v>
      </c>
    </row>
    <row r="30" spans="1:3" ht="15.75">
      <c r="A30" s="27">
        <v>2312</v>
      </c>
      <c r="B30" s="29" t="s">
        <v>16</v>
      </c>
      <c r="C30" s="94">
        <f>150.82/5</f>
        <v>30.163999999999998</v>
      </c>
    </row>
    <row r="31" spans="1:3" ht="15.75">
      <c r="A31" s="27">
        <v>2321</v>
      </c>
      <c r="B31" s="29" t="s">
        <v>17</v>
      </c>
      <c r="C31" s="94">
        <f>162.73/5</f>
        <v>32.546</v>
      </c>
    </row>
    <row r="32" spans="1:3" ht="15.75">
      <c r="A32" s="27">
        <v>2350</v>
      </c>
      <c r="B32" s="29" t="s">
        <v>19</v>
      </c>
      <c r="C32" s="94">
        <f>50/5</f>
        <v>10</v>
      </c>
    </row>
    <row r="33" spans="1:3" ht="15.75">
      <c r="A33" s="27">
        <v>2361</v>
      </c>
      <c r="B33" s="29" t="s">
        <v>20</v>
      </c>
      <c r="C33" s="94">
        <f>80/5</f>
        <v>16</v>
      </c>
    </row>
    <row r="34" spans="1:3" ht="15.75">
      <c r="A34" s="27">
        <v>2370</v>
      </c>
      <c r="B34" s="29" t="s">
        <v>70</v>
      </c>
      <c r="C34" s="94">
        <f>123.05/5</f>
        <v>24.61</v>
      </c>
    </row>
    <row r="35" spans="1:3" ht="15.75" hidden="1">
      <c r="A35" s="55">
        <v>2513</v>
      </c>
      <c r="B35" s="29" t="s">
        <v>22</v>
      </c>
      <c r="C35" s="94">
        <v>0</v>
      </c>
    </row>
    <row r="36" spans="1:3" ht="15.75">
      <c r="A36" s="27">
        <v>5230</v>
      </c>
      <c r="B36" s="29" t="s">
        <v>58</v>
      </c>
      <c r="C36" s="94">
        <f>108.04/5</f>
        <v>21.608</v>
      </c>
    </row>
    <row r="37" spans="1:3" ht="15.75">
      <c r="A37" s="27"/>
      <c r="B37" s="30" t="s">
        <v>66</v>
      </c>
      <c r="C37" s="31">
        <f>SUM(C18:C36)</f>
        <v>1360.9099999999999</v>
      </c>
    </row>
    <row r="38" spans="1:3" ht="15.75">
      <c r="A38" s="32"/>
      <c r="B38" s="27" t="s">
        <v>65</v>
      </c>
      <c r="C38" s="26"/>
    </row>
    <row r="39" spans="1:3" ht="15.75">
      <c r="A39" s="27">
        <v>1100</v>
      </c>
      <c r="B39" s="27" t="s">
        <v>64</v>
      </c>
      <c r="C39" s="94">
        <v>420.39</v>
      </c>
    </row>
    <row r="40" spans="1:3" ht="31.5">
      <c r="A40" s="27">
        <v>1200</v>
      </c>
      <c r="B40" s="29" t="s">
        <v>63</v>
      </c>
      <c r="C40" s="94">
        <v>101.27</v>
      </c>
    </row>
    <row r="41" spans="1:3" ht="15.75">
      <c r="A41" s="33">
        <v>2210</v>
      </c>
      <c r="B41" s="29" t="s">
        <v>27</v>
      </c>
      <c r="C41" s="94">
        <f>8.58/5</f>
        <v>1.716</v>
      </c>
    </row>
    <row r="42" spans="1:3" ht="15.75">
      <c r="A42" s="33">
        <v>2224</v>
      </c>
      <c r="B42" s="29" t="s">
        <v>87</v>
      </c>
      <c r="C42" s="94">
        <f>6.87/5</f>
        <v>1.374</v>
      </c>
    </row>
    <row r="43" spans="1:3" ht="15.75">
      <c r="A43" s="27">
        <v>2230</v>
      </c>
      <c r="B43" s="29" t="s">
        <v>30</v>
      </c>
      <c r="C43" s="94">
        <f>25.48/5</f>
        <v>5.096</v>
      </c>
    </row>
    <row r="44" spans="1:3" ht="15.75" hidden="1">
      <c r="A44" s="27">
        <v>2241</v>
      </c>
      <c r="B44" s="29" t="s">
        <v>7</v>
      </c>
      <c r="C44" s="94">
        <v>0</v>
      </c>
    </row>
    <row r="45" spans="1:3" ht="15.75">
      <c r="A45" s="27">
        <v>2242</v>
      </c>
      <c r="B45" s="29" t="s">
        <v>8</v>
      </c>
      <c r="C45" s="94">
        <f>2.99/5</f>
        <v>0.5980000000000001</v>
      </c>
    </row>
    <row r="46" spans="1:3" ht="15.75">
      <c r="A46" s="27">
        <v>2243</v>
      </c>
      <c r="B46" s="29" t="s">
        <v>9</v>
      </c>
      <c r="C46" s="94">
        <f>19.26/5</f>
        <v>3.8520000000000003</v>
      </c>
    </row>
    <row r="47" spans="1:3" ht="15.75">
      <c r="A47" s="27">
        <v>2244</v>
      </c>
      <c r="B47" s="29" t="s">
        <v>10</v>
      </c>
      <c r="C47" s="94">
        <f>7.52/5</f>
        <v>1.504</v>
      </c>
    </row>
    <row r="48" spans="1:3" ht="15.75">
      <c r="A48" s="27">
        <v>2247</v>
      </c>
      <c r="B48" s="25" t="s">
        <v>60</v>
      </c>
      <c r="C48" s="94">
        <f>2.18/5</f>
        <v>0.43600000000000005</v>
      </c>
    </row>
    <row r="49" spans="1:3" ht="15.75">
      <c r="A49" s="27">
        <v>2251</v>
      </c>
      <c r="B49" s="29" t="s">
        <v>61</v>
      </c>
      <c r="C49" s="94">
        <f>21.33/5</f>
        <v>4.266</v>
      </c>
    </row>
    <row r="50" spans="1:3" ht="15.75">
      <c r="A50" s="27">
        <v>2259</v>
      </c>
      <c r="B50" s="29" t="s">
        <v>62</v>
      </c>
      <c r="C50" s="94">
        <f>10.59/5</f>
        <v>2.118</v>
      </c>
    </row>
    <row r="51" spans="1:3" ht="15.75">
      <c r="A51" s="27">
        <v>2261</v>
      </c>
      <c r="B51" s="29" t="s">
        <v>11</v>
      </c>
      <c r="C51" s="94">
        <f>18.86/5</f>
        <v>3.772</v>
      </c>
    </row>
    <row r="52" spans="1:3" ht="15.75">
      <c r="A52" s="27">
        <v>2262</v>
      </c>
      <c r="B52" s="29" t="s">
        <v>12</v>
      </c>
      <c r="C52" s="94">
        <f>14.8/5</f>
        <v>2.96</v>
      </c>
    </row>
    <row r="53" spans="1:3" ht="15.75">
      <c r="A53" s="27">
        <v>2264</v>
      </c>
      <c r="B53" s="29" t="s">
        <v>13</v>
      </c>
      <c r="C53" s="94">
        <f>0.95/5</f>
        <v>0.19</v>
      </c>
    </row>
    <row r="54" spans="1:3" ht="15.75">
      <c r="A54" s="27">
        <v>2279</v>
      </c>
      <c r="B54" s="29" t="s">
        <v>14</v>
      </c>
      <c r="C54" s="94">
        <f>9.91/5</f>
        <v>1.982</v>
      </c>
    </row>
    <row r="55" spans="1:3" ht="15.75">
      <c r="A55" s="27">
        <v>2311</v>
      </c>
      <c r="B55" s="29" t="s">
        <v>15</v>
      </c>
      <c r="C55" s="94">
        <f>5.38/5</f>
        <v>1.076</v>
      </c>
    </row>
    <row r="56" spans="1:3" ht="15.75">
      <c r="A56" s="27">
        <v>2312</v>
      </c>
      <c r="B56" s="29" t="s">
        <v>16</v>
      </c>
      <c r="C56" s="94">
        <f>3.01/5</f>
        <v>0.602</v>
      </c>
    </row>
    <row r="57" spans="1:3" ht="15.75">
      <c r="A57" s="27">
        <v>2322</v>
      </c>
      <c r="B57" s="29" t="s">
        <v>18</v>
      </c>
      <c r="C57" s="94">
        <f>15.73/5</f>
        <v>3.146</v>
      </c>
    </row>
    <row r="58" spans="1:3" ht="15.75">
      <c r="A58" s="27">
        <v>2350</v>
      </c>
      <c r="B58" s="29" t="s">
        <v>19</v>
      </c>
      <c r="C58" s="94">
        <f>33.56/5</f>
        <v>6.712000000000001</v>
      </c>
    </row>
    <row r="59" spans="1:3" ht="15.75" hidden="1">
      <c r="A59" s="27">
        <v>2361</v>
      </c>
      <c r="B59" s="29" t="s">
        <v>20</v>
      </c>
      <c r="C59" s="94">
        <v>0</v>
      </c>
    </row>
    <row r="60" spans="1:3" ht="15.75">
      <c r="A60" s="27">
        <v>2370</v>
      </c>
      <c r="B60" s="29" t="s">
        <v>70</v>
      </c>
      <c r="C60" s="94">
        <f>14.25/5</f>
        <v>2.85</v>
      </c>
    </row>
    <row r="61" spans="1:3" ht="15.75">
      <c r="A61" s="27">
        <v>2400</v>
      </c>
      <c r="B61" s="29" t="s">
        <v>31</v>
      </c>
      <c r="C61" s="94">
        <f>0.98/5</f>
        <v>0.196</v>
      </c>
    </row>
    <row r="62" spans="1:3" ht="15.75">
      <c r="A62" s="27">
        <v>2513</v>
      </c>
      <c r="B62" s="29" t="s">
        <v>22</v>
      </c>
      <c r="C62" s="94">
        <v>1.32</v>
      </c>
    </row>
    <row r="63" spans="1:3" ht="15.75" hidden="1">
      <c r="A63" s="27">
        <v>2515</v>
      </c>
      <c r="B63" s="29" t="s">
        <v>59</v>
      </c>
      <c r="C63" s="94">
        <v>0</v>
      </c>
    </row>
    <row r="64" spans="1:3" ht="15.75">
      <c r="A64" s="27">
        <v>2519</v>
      </c>
      <c r="B64" s="29" t="s">
        <v>24</v>
      </c>
      <c r="C64" s="94">
        <f>52.99/5</f>
        <v>10.598</v>
      </c>
    </row>
    <row r="65" spans="1:3" ht="15.75">
      <c r="A65" s="27">
        <v>5232</v>
      </c>
      <c r="B65" s="29" t="s">
        <v>23</v>
      </c>
      <c r="C65" s="94">
        <f>45.02/5</f>
        <v>9.004000000000001</v>
      </c>
    </row>
    <row r="66" spans="1:3" ht="15.75" hidden="1">
      <c r="A66" s="27">
        <v>5240</v>
      </c>
      <c r="B66" s="29" t="s">
        <v>25</v>
      </c>
      <c r="C66" s="63">
        <v>0</v>
      </c>
    </row>
    <row r="67" spans="1:3" ht="15.75" hidden="1">
      <c r="A67" s="27">
        <v>5250</v>
      </c>
      <c r="B67" s="29" t="s">
        <v>26</v>
      </c>
      <c r="C67" s="63">
        <v>0</v>
      </c>
    </row>
    <row r="68" spans="1:3" ht="15.75">
      <c r="A68" s="32"/>
      <c r="B68" s="34" t="s">
        <v>67</v>
      </c>
      <c r="C68" s="31">
        <f>SUM(C39:C67)</f>
        <v>587.0280000000001</v>
      </c>
    </row>
    <row r="69" spans="1:3" ht="14.25" customHeight="1">
      <c r="A69" s="32"/>
      <c r="B69" s="34" t="s">
        <v>32</v>
      </c>
      <c r="C69" s="31">
        <f>C37+C68</f>
        <v>1947.938</v>
      </c>
    </row>
    <row r="70" spans="1:3" ht="15.75" hidden="1">
      <c r="A70" s="27">
        <v>6290</v>
      </c>
      <c r="B70" s="29" t="s">
        <v>34</v>
      </c>
      <c r="C70" s="28"/>
    </row>
    <row r="71" spans="1:3" ht="15.75" hidden="1">
      <c r="A71" s="27">
        <v>5250</v>
      </c>
      <c r="B71" s="29" t="s">
        <v>26</v>
      </c>
      <c r="C71" s="45"/>
    </row>
    <row r="72" spans="1:3" ht="15.75" hidden="1">
      <c r="A72" s="32"/>
      <c r="B72" s="34" t="s">
        <v>32</v>
      </c>
      <c r="C72" s="31">
        <f>C69+C70+C71</f>
        <v>1947.938</v>
      </c>
    </row>
    <row r="73" spans="1:2" ht="15.75">
      <c r="A73" s="35"/>
      <c r="B73" s="20"/>
    </row>
    <row r="74" spans="1:3" ht="15.75">
      <c r="A74" s="137" t="s">
        <v>45</v>
      </c>
      <c r="B74" s="137"/>
      <c r="C74" s="108">
        <v>1</v>
      </c>
    </row>
    <row r="75" spans="1:3" ht="15.75">
      <c r="A75" s="137" t="s">
        <v>46</v>
      </c>
      <c r="B75" s="137"/>
      <c r="C75" s="109">
        <f>C72/C74</f>
        <v>1947.938</v>
      </c>
    </row>
    <row r="76" spans="1:3" ht="15.75">
      <c r="A76" s="9"/>
      <c r="B76" s="9"/>
      <c r="C76" s="36"/>
    </row>
    <row r="77" spans="1:3" ht="15.75">
      <c r="A77" s="139" t="s">
        <v>37</v>
      </c>
      <c r="B77" s="140"/>
      <c r="C77" s="39"/>
    </row>
    <row r="78" spans="1:3" ht="15.75">
      <c r="A78" s="139" t="s">
        <v>54</v>
      </c>
      <c r="B78" s="140"/>
      <c r="C78" s="40"/>
    </row>
    <row r="79" spans="1:3" ht="15.75">
      <c r="A79" s="17" t="s">
        <v>38</v>
      </c>
      <c r="B79" s="17"/>
      <c r="C79" s="17"/>
    </row>
    <row r="80" spans="1:3" ht="15.75">
      <c r="A80" s="17"/>
      <c r="B80" s="17"/>
      <c r="C80" s="17"/>
    </row>
    <row r="81" spans="1:3" ht="15.75">
      <c r="A81" s="17" t="s">
        <v>47</v>
      </c>
      <c r="B81" s="18"/>
      <c r="C81" s="18"/>
    </row>
    <row r="82" spans="1:3" ht="15.75">
      <c r="A82" s="17"/>
      <c r="B82" s="97"/>
      <c r="C82" s="19"/>
    </row>
    <row r="83" spans="1:3" ht="15.75">
      <c r="A83" s="17"/>
      <c r="B83" s="19"/>
      <c r="C83" s="17" t="s">
        <v>88</v>
      </c>
    </row>
    <row r="84" ht="15">
      <c r="C84" s="101"/>
    </row>
  </sheetData>
  <sheetProtection/>
  <mergeCells count="13">
    <mergeCell ref="B12:C12"/>
    <mergeCell ref="B13:C13"/>
    <mergeCell ref="A74:B74"/>
    <mergeCell ref="A75:B75"/>
    <mergeCell ref="A77:B77"/>
    <mergeCell ref="A78:B78"/>
    <mergeCell ref="B1:C1"/>
    <mergeCell ref="B2:C2"/>
    <mergeCell ref="B3:C3"/>
    <mergeCell ref="A7:C7"/>
    <mergeCell ref="A9:B9"/>
    <mergeCell ref="A10:B10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view="pageLayout" workbookViewId="0" topLeftCell="A53">
      <selection activeCell="B11" sqref="B11:F11"/>
    </sheetView>
  </sheetViews>
  <sheetFormatPr defaultColWidth="9.140625" defaultRowHeight="12.75"/>
  <cols>
    <col min="1" max="1" width="12.28125" style="6" customWidth="1"/>
    <col min="2" max="2" width="94.00390625" style="6" customWidth="1"/>
    <col min="3" max="3" width="31.57421875" style="6" customWidth="1"/>
    <col min="4" max="4" width="11.140625" style="0" hidden="1" customWidth="1"/>
    <col min="5" max="5" width="9.140625" style="0" hidden="1" customWidth="1"/>
    <col min="6" max="6" width="15.57421875" style="0" hidden="1" customWidth="1"/>
  </cols>
  <sheetData>
    <row r="1" spans="1:6" ht="15.75">
      <c r="A1" s="13"/>
      <c r="B1" s="133" t="s">
        <v>35</v>
      </c>
      <c r="C1" s="133"/>
      <c r="D1" s="133"/>
      <c r="E1" s="133"/>
      <c r="F1" s="134"/>
    </row>
    <row r="2" spans="1:6" ht="15.75">
      <c r="A2" s="13"/>
      <c r="B2" s="135" t="s">
        <v>39</v>
      </c>
      <c r="C2" s="135"/>
      <c r="D2" s="135"/>
      <c r="E2" s="135"/>
      <c r="F2" s="136"/>
    </row>
    <row r="3" spans="1:6" ht="15.75">
      <c r="A3" s="13"/>
      <c r="B3" s="131" t="s">
        <v>57</v>
      </c>
      <c r="C3" s="144"/>
      <c r="D3" s="144"/>
      <c r="E3" s="144"/>
      <c r="F3" s="144"/>
    </row>
    <row r="4" spans="1:6" ht="15.75">
      <c r="A4" s="13"/>
      <c r="B4" s="11"/>
      <c r="C4" s="97"/>
      <c r="D4" s="11"/>
      <c r="E4" s="13"/>
      <c r="F4" s="11"/>
    </row>
    <row r="5" spans="1:6" ht="15.75">
      <c r="A5" s="13"/>
      <c r="B5" s="135" t="s">
        <v>140</v>
      </c>
      <c r="C5" s="135"/>
      <c r="D5" s="135"/>
      <c r="E5" s="135"/>
      <c r="F5" s="135"/>
    </row>
    <row r="6" spans="1:6" ht="18.75">
      <c r="A6" s="126" t="s">
        <v>5</v>
      </c>
      <c r="B6" s="126"/>
      <c r="C6" s="126"/>
      <c r="D6" s="126"/>
      <c r="E6" s="126"/>
      <c r="F6" s="126"/>
    </row>
    <row r="7" spans="1:6" ht="15.75">
      <c r="A7" s="137" t="s">
        <v>1</v>
      </c>
      <c r="B7" s="137"/>
      <c r="C7" s="9"/>
      <c r="D7" s="9"/>
      <c r="E7" s="9"/>
      <c r="F7" s="6"/>
    </row>
    <row r="8" spans="1:6" ht="15.75">
      <c r="A8" s="137" t="s">
        <v>0</v>
      </c>
      <c r="B8" s="137"/>
      <c r="C8" s="9"/>
      <c r="D8" s="9"/>
      <c r="E8" s="9"/>
      <c r="F8" s="6"/>
    </row>
    <row r="9" spans="1:6" ht="15.75">
      <c r="A9" s="9"/>
      <c r="B9" s="9" t="s">
        <v>89</v>
      </c>
      <c r="C9" s="9"/>
      <c r="D9" s="9"/>
      <c r="E9" s="9"/>
      <c r="F9" s="6"/>
    </row>
    <row r="10" spans="1:6" ht="15.75">
      <c r="A10" s="9"/>
      <c r="B10" s="86" t="s">
        <v>94</v>
      </c>
      <c r="C10" s="86"/>
      <c r="D10" s="86"/>
      <c r="E10" s="9"/>
      <c r="F10" s="14"/>
    </row>
    <row r="11" spans="1:6" ht="15.75">
      <c r="A11" s="9"/>
      <c r="B11" s="137" t="s">
        <v>95</v>
      </c>
      <c r="C11" s="137"/>
      <c r="D11" s="137"/>
      <c r="E11" s="137"/>
      <c r="F11" s="134"/>
    </row>
    <row r="12" spans="1:6" ht="15.75">
      <c r="A12" s="9" t="s">
        <v>2</v>
      </c>
      <c r="B12" s="9" t="s">
        <v>99</v>
      </c>
      <c r="C12" s="9"/>
      <c r="D12" s="9"/>
      <c r="E12" s="9"/>
      <c r="F12" s="6"/>
    </row>
    <row r="13" spans="1:6" ht="60.75" customHeight="1">
      <c r="A13" s="54" t="s">
        <v>3</v>
      </c>
      <c r="B13" s="54" t="s">
        <v>4</v>
      </c>
      <c r="C13" s="54" t="s">
        <v>53</v>
      </c>
      <c r="D13" s="54" t="s">
        <v>43</v>
      </c>
      <c r="E13" s="54" t="s">
        <v>44</v>
      </c>
      <c r="F13" s="54" t="s">
        <v>53</v>
      </c>
    </row>
    <row r="14" spans="1:6" ht="15.75">
      <c r="A14" s="22">
        <v>1</v>
      </c>
      <c r="B14" s="23">
        <v>2</v>
      </c>
      <c r="C14" s="23">
        <v>3</v>
      </c>
      <c r="D14" s="23">
        <v>3</v>
      </c>
      <c r="E14" s="23">
        <v>4</v>
      </c>
      <c r="F14" s="23">
        <v>3</v>
      </c>
    </row>
    <row r="15" spans="1:6" ht="15.75">
      <c r="A15" s="24"/>
      <c r="B15" s="25" t="s">
        <v>69</v>
      </c>
      <c r="C15" s="32"/>
      <c r="D15" s="26"/>
      <c r="E15" s="26"/>
      <c r="F15" s="26"/>
    </row>
    <row r="16" spans="1:8" ht="15.75">
      <c r="A16" s="27">
        <v>1100</v>
      </c>
      <c r="B16" s="27" t="s">
        <v>64</v>
      </c>
      <c r="C16" s="94">
        <v>890.98</v>
      </c>
      <c r="D16" s="67"/>
      <c r="E16" s="67"/>
      <c r="F16" s="67"/>
      <c r="G16" s="58"/>
      <c r="H16" s="58"/>
    </row>
    <row r="17" spans="1:8" ht="15.75" customHeight="1">
      <c r="A17" s="27">
        <v>1200</v>
      </c>
      <c r="B17" s="29" t="s">
        <v>63</v>
      </c>
      <c r="C17" s="94">
        <v>214.64</v>
      </c>
      <c r="D17" s="67"/>
      <c r="E17" s="67"/>
      <c r="F17" s="67"/>
      <c r="G17" s="58"/>
      <c r="H17" s="58"/>
    </row>
    <row r="18" spans="1:8" ht="15.75">
      <c r="A18" s="27">
        <v>2210</v>
      </c>
      <c r="B18" s="29" t="s">
        <v>27</v>
      </c>
      <c r="C18" s="94">
        <f>6.51/5</f>
        <v>1.302</v>
      </c>
      <c r="D18" s="67"/>
      <c r="E18" s="67"/>
      <c r="F18" s="67"/>
      <c r="G18" s="58"/>
      <c r="H18" s="58"/>
    </row>
    <row r="19" spans="1:6" ht="15.75">
      <c r="A19" s="27">
        <v>2222</v>
      </c>
      <c r="B19" s="29" t="s">
        <v>28</v>
      </c>
      <c r="C19" s="94">
        <f>48.82/5</f>
        <v>9.764</v>
      </c>
      <c r="D19" s="67"/>
      <c r="E19" s="67"/>
      <c r="F19" s="67"/>
    </row>
    <row r="20" spans="1:8" ht="15.75">
      <c r="A20" s="27">
        <v>2223</v>
      </c>
      <c r="B20" s="29" t="s">
        <v>29</v>
      </c>
      <c r="C20" s="94">
        <f>42.32/5</f>
        <v>8.464</v>
      </c>
      <c r="D20" s="67"/>
      <c r="E20" s="67"/>
      <c r="F20" s="67"/>
      <c r="G20" s="58"/>
      <c r="H20" s="58"/>
    </row>
    <row r="21" spans="1:8" ht="15.75">
      <c r="A21" s="27">
        <v>2243</v>
      </c>
      <c r="B21" s="29" t="s">
        <v>9</v>
      </c>
      <c r="C21" s="94">
        <f>5.15/5</f>
        <v>1.03</v>
      </c>
      <c r="D21" s="67"/>
      <c r="E21" s="67"/>
      <c r="F21" s="67"/>
      <c r="G21" s="58"/>
      <c r="H21" s="58"/>
    </row>
    <row r="22" spans="1:8" ht="15.75">
      <c r="A22" s="27">
        <v>2244</v>
      </c>
      <c r="B22" s="29" t="s">
        <v>10</v>
      </c>
      <c r="C22" s="94">
        <f>30.51/5</f>
        <v>6.102</v>
      </c>
      <c r="D22" s="67"/>
      <c r="E22" s="67"/>
      <c r="F22" s="67"/>
      <c r="G22" s="58"/>
      <c r="H22" s="58"/>
    </row>
    <row r="23" spans="1:8" ht="15.75">
      <c r="A23" s="27">
        <v>2251</v>
      </c>
      <c r="B23" s="29" t="s">
        <v>61</v>
      </c>
      <c r="C23" s="94">
        <f>43.77/5</f>
        <v>8.754000000000001</v>
      </c>
      <c r="D23" s="67"/>
      <c r="E23" s="67"/>
      <c r="F23" s="67"/>
      <c r="G23" s="58"/>
      <c r="H23" s="58"/>
    </row>
    <row r="24" spans="1:8" ht="15.75" hidden="1">
      <c r="A24" s="27">
        <v>2261</v>
      </c>
      <c r="B24" s="29" t="s">
        <v>11</v>
      </c>
      <c r="C24" s="94">
        <v>0</v>
      </c>
      <c r="D24" s="67"/>
      <c r="E24" s="67"/>
      <c r="F24" s="67"/>
      <c r="G24" s="58"/>
      <c r="H24" s="58"/>
    </row>
    <row r="25" spans="1:8" ht="15.75" hidden="1">
      <c r="A25" s="27">
        <v>2264</v>
      </c>
      <c r="B25" s="29" t="s">
        <v>13</v>
      </c>
      <c r="C25" s="94">
        <v>0</v>
      </c>
      <c r="D25" s="67"/>
      <c r="E25" s="67"/>
      <c r="F25" s="67"/>
      <c r="G25" s="58"/>
      <c r="H25" s="58"/>
    </row>
    <row r="26" spans="1:8" ht="15.75">
      <c r="A26" s="27">
        <v>2279</v>
      </c>
      <c r="B26" s="29" t="s">
        <v>14</v>
      </c>
      <c r="C26" s="94">
        <f>9.76/5</f>
        <v>1.952</v>
      </c>
      <c r="D26" s="67"/>
      <c r="E26" s="67"/>
      <c r="F26" s="67"/>
      <c r="G26" s="58"/>
      <c r="H26" s="58"/>
    </row>
    <row r="27" spans="1:8" ht="15.75">
      <c r="A27" s="27">
        <v>2311</v>
      </c>
      <c r="B27" s="29" t="s">
        <v>74</v>
      </c>
      <c r="C27" s="94">
        <f>32.77/5</f>
        <v>6.554</v>
      </c>
      <c r="D27" s="67"/>
      <c r="E27" s="67"/>
      <c r="F27" s="68"/>
      <c r="G27" s="58"/>
      <c r="H27" s="58"/>
    </row>
    <row r="28" spans="1:8" ht="15.75">
      <c r="A28" s="27">
        <v>2312</v>
      </c>
      <c r="B28" s="29" t="s">
        <v>16</v>
      </c>
      <c r="C28" s="94">
        <f>26.54/5</f>
        <v>5.308</v>
      </c>
      <c r="D28" s="67"/>
      <c r="E28" s="67"/>
      <c r="F28" s="68"/>
      <c r="G28" s="58"/>
      <c r="H28" s="58"/>
    </row>
    <row r="29" spans="1:8" ht="15.75">
      <c r="A29" s="27">
        <v>2321</v>
      </c>
      <c r="B29" s="29" t="s">
        <v>17</v>
      </c>
      <c r="C29" s="94">
        <f>31.71/5</f>
        <v>6.3420000000000005</v>
      </c>
      <c r="D29" s="67"/>
      <c r="E29" s="67"/>
      <c r="F29" s="67"/>
      <c r="G29" s="58"/>
      <c r="H29" s="58"/>
    </row>
    <row r="30" spans="1:8" ht="15.75" hidden="1">
      <c r="A30" s="27">
        <v>2350</v>
      </c>
      <c r="B30" s="29" t="s">
        <v>19</v>
      </c>
      <c r="C30" s="94">
        <v>0</v>
      </c>
      <c r="D30" s="67"/>
      <c r="E30" s="67"/>
      <c r="F30" s="67"/>
      <c r="G30" s="58"/>
      <c r="H30" s="58"/>
    </row>
    <row r="31" spans="1:8" ht="15.75" hidden="1">
      <c r="A31" s="27">
        <v>2361</v>
      </c>
      <c r="B31" s="29" t="s">
        <v>20</v>
      </c>
      <c r="C31" s="94">
        <v>0</v>
      </c>
      <c r="D31" s="67"/>
      <c r="E31" s="67"/>
      <c r="F31" s="67"/>
      <c r="G31" s="58"/>
      <c r="H31" s="58"/>
    </row>
    <row r="32" spans="1:8" ht="15.75">
      <c r="A32" s="27">
        <v>2370</v>
      </c>
      <c r="B32" s="29" t="s">
        <v>70</v>
      </c>
      <c r="C32" s="94">
        <f>61.88/5</f>
        <v>12.376000000000001</v>
      </c>
      <c r="D32" s="67"/>
      <c r="E32" s="67"/>
      <c r="F32" s="84"/>
      <c r="G32" s="58"/>
      <c r="H32" s="58"/>
    </row>
    <row r="33" spans="1:8" ht="15.75" hidden="1">
      <c r="A33" s="55">
        <v>2513</v>
      </c>
      <c r="B33" s="29" t="s">
        <v>22</v>
      </c>
      <c r="C33" s="94">
        <v>0</v>
      </c>
      <c r="D33" s="67"/>
      <c r="E33" s="67"/>
      <c r="F33" s="67"/>
      <c r="G33" s="58"/>
      <c r="H33" s="58"/>
    </row>
    <row r="34" spans="1:8" ht="15.75">
      <c r="A34" s="27">
        <v>5230</v>
      </c>
      <c r="B34" s="29" t="s">
        <v>58</v>
      </c>
      <c r="C34" s="94">
        <f>39.15/5</f>
        <v>7.83</v>
      </c>
      <c r="D34" s="67"/>
      <c r="E34" s="67"/>
      <c r="F34" s="84"/>
      <c r="G34" s="58"/>
      <c r="H34" s="58"/>
    </row>
    <row r="35" spans="1:8" ht="15.75">
      <c r="A35" s="27"/>
      <c r="B35" s="30" t="s">
        <v>66</v>
      </c>
      <c r="C35" s="31">
        <f>SUM(C16:C34)</f>
        <v>1181.3979999999997</v>
      </c>
      <c r="D35" s="69"/>
      <c r="E35" s="69"/>
      <c r="F35" s="69"/>
      <c r="G35" s="58"/>
      <c r="H35" s="58"/>
    </row>
    <row r="36" spans="1:12" ht="15.75">
      <c r="A36" s="32"/>
      <c r="B36" s="27" t="s">
        <v>65</v>
      </c>
      <c r="C36" s="26"/>
      <c r="D36" s="26"/>
      <c r="E36" s="26"/>
      <c r="F36" s="3"/>
      <c r="G36" s="58"/>
      <c r="H36" s="58"/>
      <c r="K36" s="3"/>
      <c r="L36" s="85"/>
    </row>
    <row r="37" spans="1:12" ht="15.75">
      <c r="A37" s="27">
        <v>1100</v>
      </c>
      <c r="B37" s="27" t="s">
        <v>64</v>
      </c>
      <c r="C37" s="94">
        <v>193.35</v>
      </c>
      <c r="D37" s="67"/>
      <c r="E37" s="67"/>
      <c r="F37" s="67"/>
      <c r="G37" s="58"/>
      <c r="H37" s="58"/>
      <c r="K37" s="3"/>
      <c r="L37" s="85"/>
    </row>
    <row r="38" spans="1:8" ht="15.75" customHeight="1">
      <c r="A38" s="27">
        <v>1200</v>
      </c>
      <c r="B38" s="29" t="s">
        <v>63</v>
      </c>
      <c r="C38" s="94">
        <v>46.58</v>
      </c>
      <c r="D38" s="67"/>
      <c r="E38" s="67"/>
      <c r="F38" s="67"/>
      <c r="G38" s="58"/>
      <c r="H38" s="58"/>
    </row>
    <row r="39" spans="1:8" ht="15.75">
      <c r="A39" s="33">
        <v>2210</v>
      </c>
      <c r="B39" s="29" t="s">
        <v>27</v>
      </c>
      <c r="C39" s="94">
        <f>5.37/5</f>
        <v>1.074</v>
      </c>
      <c r="D39" s="67"/>
      <c r="E39" s="67"/>
      <c r="F39" s="67"/>
      <c r="G39" s="58"/>
      <c r="H39" s="58"/>
    </row>
    <row r="40" spans="1:8" ht="15.75">
      <c r="A40" s="33">
        <v>2224</v>
      </c>
      <c r="B40" s="29" t="s">
        <v>87</v>
      </c>
      <c r="C40" s="94">
        <f>4.29/5</f>
        <v>0.858</v>
      </c>
      <c r="D40" s="67"/>
      <c r="E40" s="67"/>
      <c r="F40" s="67"/>
      <c r="G40" s="58"/>
      <c r="H40" s="58"/>
    </row>
    <row r="41" spans="1:8" ht="15.75">
      <c r="A41" s="27">
        <v>2230</v>
      </c>
      <c r="B41" s="29" t="s">
        <v>30</v>
      </c>
      <c r="C41" s="94">
        <f>15.92/5</f>
        <v>3.184</v>
      </c>
      <c r="D41" s="67"/>
      <c r="E41" s="67"/>
      <c r="F41" s="67"/>
      <c r="G41" s="58"/>
      <c r="H41" s="58"/>
    </row>
    <row r="42" spans="1:8" ht="15.75" hidden="1">
      <c r="A42" s="27">
        <v>2241</v>
      </c>
      <c r="B42" s="29" t="s">
        <v>7</v>
      </c>
      <c r="C42" s="94">
        <v>0</v>
      </c>
      <c r="D42" s="67"/>
      <c r="E42" s="67"/>
      <c r="F42" s="67"/>
      <c r="G42" s="58"/>
      <c r="H42" s="58"/>
    </row>
    <row r="43" spans="1:8" ht="15.75">
      <c r="A43" s="27">
        <v>2242</v>
      </c>
      <c r="B43" s="29" t="s">
        <v>8</v>
      </c>
      <c r="C43" s="94">
        <f>1.87/5</f>
        <v>0.374</v>
      </c>
      <c r="D43" s="67"/>
      <c r="E43" s="67"/>
      <c r="F43" s="67"/>
      <c r="G43" s="58"/>
      <c r="H43" s="58"/>
    </row>
    <row r="44" spans="1:8" ht="15.75">
      <c r="A44" s="27">
        <v>2243</v>
      </c>
      <c r="B44" s="29" t="s">
        <v>9</v>
      </c>
      <c r="C44" s="94">
        <f>12.04/5</f>
        <v>2.408</v>
      </c>
      <c r="D44" s="67"/>
      <c r="E44" s="67"/>
      <c r="F44" s="67"/>
      <c r="G44" s="58"/>
      <c r="H44" s="58"/>
    </row>
    <row r="45" spans="1:8" ht="15.75">
      <c r="A45" s="27">
        <v>2244</v>
      </c>
      <c r="B45" s="29" t="s">
        <v>10</v>
      </c>
      <c r="C45" s="94">
        <f>4.7/5</f>
        <v>0.9400000000000001</v>
      </c>
      <c r="D45" s="67"/>
      <c r="E45" s="67"/>
      <c r="F45" s="67"/>
      <c r="G45" s="58"/>
      <c r="H45" s="58"/>
    </row>
    <row r="46" spans="1:8" ht="15.75">
      <c r="A46" s="27">
        <v>2247</v>
      </c>
      <c r="B46" s="25" t="s">
        <v>60</v>
      </c>
      <c r="C46" s="94">
        <f>1.36/5</f>
        <v>0.272</v>
      </c>
      <c r="D46" s="67"/>
      <c r="E46" s="67"/>
      <c r="F46" s="67"/>
      <c r="G46" s="58"/>
      <c r="H46" s="58"/>
    </row>
    <row r="47" spans="1:8" ht="15.75">
      <c r="A47" s="27">
        <v>2251</v>
      </c>
      <c r="B47" s="29" t="s">
        <v>61</v>
      </c>
      <c r="C47" s="94">
        <f>13.35/5</f>
        <v>2.67</v>
      </c>
      <c r="D47" s="67"/>
      <c r="E47" s="67"/>
      <c r="F47" s="67"/>
      <c r="G47" s="58"/>
      <c r="H47" s="58"/>
    </row>
    <row r="48" spans="1:8" ht="15.75">
      <c r="A48" s="27">
        <v>2259</v>
      </c>
      <c r="B48" s="29" t="s">
        <v>62</v>
      </c>
      <c r="C48" s="94">
        <f>6.62/5</f>
        <v>1.324</v>
      </c>
      <c r="D48" s="67"/>
      <c r="E48" s="67"/>
      <c r="F48" s="67"/>
      <c r="G48" s="58"/>
      <c r="H48" s="58"/>
    </row>
    <row r="49" spans="1:8" ht="15.75">
      <c r="A49" s="27">
        <v>2261</v>
      </c>
      <c r="B49" s="29" t="s">
        <v>11</v>
      </c>
      <c r="C49" s="94">
        <f>11.79/5</f>
        <v>2.3579999999999997</v>
      </c>
      <c r="D49" s="67"/>
      <c r="E49" s="67"/>
      <c r="F49" s="67"/>
      <c r="G49" s="58"/>
      <c r="H49" s="58"/>
    </row>
    <row r="50" spans="1:8" ht="15.75">
      <c r="A50" s="27">
        <v>2262</v>
      </c>
      <c r="B50" s="29" t="s">
        <v>12</v>
      </c>
      <c r="C50" s="94">
        <f>9.25/5</f>
        <v>1.85</v>
      </c>
      <c r="D50" s="67"/>
      <c r="E50" s="67"/>
      <c r="F50" s="67"/>
      <c r="G50" s="58"/>
      <c r="H50" s="58"/>
    </row>
    <row r="51" spans="1:8" ht="15.75">
      <c r="A51" s="27">
        <v>2264</v>
      </c>
      <c r="B51" s="29" t="s">
        <v>13</v>
      </c>
      <c r="C51" s="94">
        <f>0.59/5</f>
        <v>0.118</v>
      </c>
      <c r="D51" s="67"/>
      <c r="E51" s="67"/>
      <c r="F51" s="67"/>
      <c r="G51" s="58"/>
      <c r="H51" s="58"/>
    </row>
    <row r="52" spans="1:8" ht="15.75">
      <c r="A52" s="27">
        <v>2279</v>
      </c>
      <c r="B52" s="29" t="s">
        <v>14</v>
      </c>
      <c r="C52" s="94">
        <f>6.2/5</f>
        <v>1.24</v>
      </c>
      <c r="D52" s="67"/>
      <c r="E52" s="67"/>
      <c r="F52" s="67"/>
      <c r="G52" s="58"/>
      <c r="H52" s="58"/>
    </row>
    <row r="53" spans="1:9" ht="15.75">
      <c r="A53" s="27">
        <v>2311</v>
      </c>
      <c r="B53" s="29" t="s">
        <v>15</v>
      </c>
      <c r="C53" s="94">
        <f>3.36/5</f>
        <v>0.6719999999999999</v>
      </c>
      <c r="D53" s="67"/>
      <c r="E53" s="67"/>
      <c r="F53" s="67"/>
      <c r="G53" s="3"/>
      <c r="H53" s="3"/>
      <c r="I53" s="3"/>
    </row>
    <row r="54" spans="1:9" ht="15.75">
      <c r="A54" s="27">
        <v>2312</v>
      </c>
      <c r="B54" s="29" t="s">
        <v>16</v>
      </c>
      <c r="C54" s="94">
        <f>1.88/5</f>
        <v>0.376</v>
      </c>
      <c r="D54" s="67"/>
      <c r="E54" s="67"/>
      <c r="F54" s="67"/>
      <c r="G54" s="3"/>
      <c r="H54" s="3"/>
      <c r="I54" s="3"/>
    </row>
    <row r="55" spans="1:9" ht="15.75">
      <c r="A55" s="27">
        <v>2322</v>
      </c>
      <c r="B55" s="29" t="s">
        <v>18</v>
      </c>
      <c r="C55" s="94">
        <f>9.83/5</f>
        <v>1.966</v>
      </c>
      <c r="D55" s="67"/>
      <c r="E55" s="67"/>
      <c r="F55" s="67"/>
      <c r="G55" s="3"/>
      <c r="H55" s="3"/>
      <c r="I55" s="3"/>
    </row>
    <row r="56" spans="1:9" ht="15.75">
      <c r="A56" s="27">
        <v>2350</v>
      </c>
      <c r="B56" s="29" t="s">
        <v>19</v>
      </c>
      <c r="C56" s="94">
        <f>20.98/5</f>
        <v>4.196</v>
      </c>
      <c r="D56" s="67"/>
      <c r="E56" s="67"/>
      <c r="F56" s="67"/>
      <c r="G56" s="3"/>
      <c r="H56" s="3"/>
      <c r="I56" s="3"/>
    </row>
    <row r="57" spans="1:9" ht="15.75" hidden="1">
      <c r="A57" s="27">
        <v>2361</v>
      </c>
      <c r="B57" s="29" t="s">
        <v>20</v>
      </c>
      <c r="C57" s="94">
        <v>0</v>
      </c>
      <c r="D57" s="67"/>
      <c r="E57" s="67"/>
      <c r="F57" s="67"/>
      <c r="G57" s="3"/>
      <c r="H57" s="3"/>
      <c r="I57" s="3"/>
    </row>
    <row r="58" spans="1:9" ht="15.75">
      <c r="A58" s="27">
        <v>2370</v>
      </c>
      <c r="B58" s="29" t="s">
        <v>70</v>
      </c>
      <c r="C58" s="94">
        <f>8.9/5</f>
        <v>1.78</v>
      </c>
      <c r="D58" s="67"/>
      <c r="E58" s="67"/>
      <c r="F58" s="67"/>
      <c r="G58" s="3"/>
      <c r="H58" s="3"/>
      <c r="I58" s="3"/>
    </row>
    <row r="59" spans="1:9" ht="15.75">
      <c r="A59" s="27">
        <v>2400</v>
      </c>
      <c r="B59" s="29" t="s">
        <v>31</v>
      </c>
      <c r="C59" s="94">
        <f>0.61/5</f>
        <v>0.122</v>
      </c>
      <c r="D59" s="67"/>
      <c r="E59" s="67"/>
      <c r="F59" s="67"/>
      <c r="G59" s="3"/>
      <c r="H59" s="3"/>
      <c r="I59" s="3"/>
    </row>
    <row r="60" spans="1:9" ht="15.75" customHeight="1">
      <c r="A60" s="27">
        <v>2513</v>
      </c>
      <c r="B60" s="29" t="s">
        <v>22</v>
      </c>
      <c r="C60" s="94">
        <f>4.15/5</f>
        <v>0.8300000000000001</v>
      </c>
      <c r="D60" s="67"/>
      <c r="E60" s="67"/>
      <c r="F60" s="67"/>
      <c r="G60" s="3"/>
      <c r="H60" s="3"/>
      <c r="I60" s="3"/>
    </row>
    <row r="61" spans="1:9" ht="15.75" hidden="1">
      <c r="A61" s="27">
        <v>2515</v>
      </c>
      <c r="B61" s="29" t="s">
        <v>59</v>
      </c>
      <c r="C61" s="94">
        <v>0</v>
      </c>
      <c r="D61" s="67"/>
      <c r="E61" s="67"/>
      <c r="F61" s="67"/>
      <c r="G61" s="3"/>
      <c r="H61" s="3"/>
      <c r="I61" s="3"/>
    </row>
    <row r="62" spans="1:9" ht="15.75">
      <c r="A62" s="27">
        <v>2519</v>
      </c>
      <c r="B62" s="29" t="s">
        <v>24</v>
      </c>
      <c r="C62" s="94">
        <f>33.12/5</f>
        <v>6.624</v>
      </c>
      <c r="D62" s="67"/>
      <c r="E62" s="67"/>
      <c r="F62" s="67"/>
      <c r="G62" s="3"/>
      <c r="H62" s="3"/>
      <c r="I62" s="3"/>
    </row>
    <row r="63" spans="1:9" ht="15.75">
      <c r="A63" s="27">
        <v>5232</v>
      </c>
      <c r="B63" s="29" t="s">
        <v>23</v>
      </c>
      <c r="C63" s="94">
        <v>5.62</v>
      </c>
      <c r="D63" s="67"/>
      <c r="E63" s="67"/>
      <c r="F63" s="67"/>
      <c r="G63" s="3"/>
      <c r="H63" s="3"/>
      <c r="I63" s="3"/>
    </row>
    <row r="64" spans="1:9" ht="15.75" hidden="1">
      <c r="A64" s="27">
        <v>5240</v>
      </c>
      <c r="B64" s="29" t="s">
        <v>25</v>
      </c>
      <c r="C64" s="63">
        <v>0</v>
      </c>
      <c r="D64" s="67"/>
      <c r="E64" s="67"/>
      <c r="F64" s="67"/>
      <c r="G64" s="3"/>
      <c r="H64" s="3"/>
      <c r="I64" s="3"/>
    </row>
    <row r="65" spans="1:9" ht="15.75" hidden="1">
      <c r="A65" s="27">
        <v>5250</v>
      </c>
      <c r="B65" s="29" t="s">
        <v>26</v>
      </c>
      <c r="C65" s="63">
        <v>0</v>
      </c>
      <c r="D65" s="67"/>
      <c r="E65" s="67"/>
      <c r="F65" s="67"/>
      <c r="G65" s="3"/>
      <c r="H65" s="3"/>
      <c r="I65" s="3"/>
    </row>
    <row r="66" spans="1:9" ht="15.75">
      <c r="A66" s="32"/>
      <c r="B66" s="34" t="s">
        <v>67</v>
      </c>
      <c r="C66" s="31">
        <f>SUM(C37:C65)</f>
        <v>280.78600000000006</v>
      </c>
      <c r="D66" s="69"/>
      <c r="E66" s="69"/>
      <c r="F66" s="69"/>
      <c r="G66" s="3"/>
      <c r="H66" s="3"/>
      <c r="I66" s="3"/>
    </row>
    <row r="67" spans="1:9" ht="15.75">
      <c r="A67" s="32"/>
      <c r="B67" s="34" t="s">
        <v>32</v>
      </c>
      <c r="C67" s="31">
        <f>C35+C66</f>
        <v>1462.1839999999997</v>
      </c>
      <c r="D67" s="69"/>
      <c r="E67" s="69"/>
      <c r="F67" s="69"/>
      <c r="G67" s="3"/>
      <c r="H67" s="3"/>
      <c r="I67" s="3"/>
    </row>
    <row r="68" spans="1:9" ht="15.75" hidden="1">
      <c r="A68" s="27">
        <v>6290</v>
      </c>
      <c r="B68" s="29" t="s">
        <v>34</v>
      </c>
      <c r="C68" s="28"/>
      <c r="D68" s="70"/>
      <c r="E68" s="67"/>
      <c r="F68" s="67"/>
      <c r="G68" s="3"/>
      <c r="H68" s="3"/>
      <c r="I68" s="3"/>
    </row>
    <row r="69" spans="1:9" ht="15.75" hidden="1">
      <c r="A69" s="27">
        <v>5250</v>
      </c>
      <c r="B69" s="29" t="s">
        <v>26</v>
      </c>
      <c r="C69" s="45"/>
      <c r="D69" s="72"/>
      <c r="E69" s="72"/>
      <c r="F69" s="71"/>
      <c r="G69" s="3"/>
      <c r="H69" s="3"/>
      <c r="I69" s="3"/>
    </row>
    <row r="70" spans="1:9" ht="15.75" hidden="1">
      <c r="A70" s="32"/>
      <c r="B70" s="34" t="s">
        <v>32</v>
      </c>
      <c r="C70" s="31">
        <f>C67+C68+C69</f>
        <v>1462.1839999999997</v>
      </c>
      <c r="D70" s="73"/>
      <c r="E70" s="69"/>
      <c r="F70" s="69"/>
      <c r="G70" s="3"/>
      <c r="H70" s="3"/>
      <c r="I70" s="3"/>
    </row>
    <row r="71" spans="1:9" ht="15.75">
      <c r="A71" s="35"/>
      <c r="B71" s="20"/>
      <c r="D71" s="75"/>
      <c r="E71" s="75"/>
      <c r="F71" s="74"/>
      <c r="G71" s="3"/>
      <c r="H71" s="3"/>
      <c r="I71" s="3"/>
    </row>
    <row r="72" spans="1:9" ht="15.75">
      <c r="A72" s="137" t="s">
        <v>45</v>
      </c>
      <c r="B72" s="137"/>
      <c r="C72" s="108">
        <v>1</v>
      </c>
      <c r="D72" s="76"/>
      <c r="E72" s="76"/>
      <c r="F72" s="76"/>
      <c r="G72" s="3"/>
      <c r="H72" s="3"/>
      <c r="I72" s="3"/>
    </row>
    <row r="73" spans="1:9" ht="15.75">
      <c r="A73" s="137" t="s">
        <v>46</v>
      </c>
      <c r="B73" s="137"/>
      <c r="C73" s="109">
        <f>C70/C72</f>
        <v>1462.1839999999997</v>
      </c>
      <c r="D73" s="77"/>
      <c r="E73" s="77"/>
      <c r="F73" s="77"/>
      <c r="G73" s="87"/>
      <c r="H73" s="3"/>
      <c r="I73" s="3"/>
    </row>
    <row r="74" spans="1:9" ht="15.75">
      <c r="A74" s="9"/>
      <c r="B74" s="9"/>
      <c r="C74" s="36"/>
      <c r="D74" s="78"/>
      <c r="E74" s="78"/>
      <c r="F74" s="78"/>
      <c r="G74" s="3"/>
      <c r="H74" s="3"/>
      <c r="I74" s="3"/>
    </row>
    <row r="75" spans="1:9" ht="15.75">
      <c r="A75" s="139" t="s">
        <v>37</v>
      </c>
      <c r="B75" s="140"/>
      <c r="C75" s="79"/>
      <c r="D75" s="79"/>
      <c r="E75" s="79"/>
      <c r="F75" s="79"/>
      <c r="G75" s="3"/>
      <c r="H75" s="3"/>
      <c r="I75" s="3"/>
    </row>
    <row r="76" spans="1:9" ht="15.75">
      <c r="A76" s="139" t="s">
        <v>54</v>
      </c>
      <c r="B76" s="140"/>
      <c r="C76" s="80"/>
      <c r="D76" s="80"/>
      <c r="E76" s="79"/>
      <c r="F76" s="79"/>
      <c r="G76" s="3"/>
      <c r="H76" s="3"/>
      <c r="I76" s="3"/>
    </row>
    <row r="77" spans="1:8" ht="15.75">
      <c r="A77" s="17" t="s">
        <v>38</v>
      </c>
      <c r="B77" s="17"/>
      <c r="C77" s="81"/>
      <c r="D77" s="81"/>
      <c r="E77" s="81"/>
      <c r="F77" s="81"/>
      <c r="G77" s="58"/>
      <c r="H77" s="58"/>
    </row>
    <row r="78" spans="1:8" ht="15.75">
      <c r="A78" s="17"/>
      <c r="B78" s="17"/>
      <c r="C78" s="81"/>
      <c r="D78" s="81"/>
      <c r="E78" s="81"/>
      <c r="F78" s="81"/>
      <c r="G78" s="58"/>
      <c r="H78" s="58"/>
    </row>
    <row r="79" spans="1:8" ht="15.75">
      <c r="A79" s="17" t="s">
        <v>47</v>
      </c>
      <c r="B79" s="18"/>
      <c r="C79" s="82"/>
      <c r="D79" s="82"/>
      <c r="E79" s="82"/>
      <c r="F79" s="82"/>
      <c r="G79" s="58"/>
      <c r="H79" s="58"/>
    </row>
    <row r="80" spans="1:8" ht="15.75">
      <c r="A80" s="17"/>
      <c r="B80" s="97"/>
      <c r="C80" s="83"/>
      <c r="D80" s="83"/>
      <c r="E80" s="81"/>
      <c r="F80" s="81"/>
      <c r="G80" s="58"/>
      <c r="H80" s="58"/>
    </row>
    <row r="81" spans="1:6" ht="15.75">
      <c r="A81" s="17"/>
      <c r="B81" s="19"/>
      <c r="C81" s="17"/>
      <c r="D81" s="2"/>
      <c r="E81" s="2"/>
      <c r="F81" s="2"/>
    </row>
    <row r="82" spans="3:6" ht="15">
      <c r="C82" s="101"/>
      <c r="D82" s="1"/>
      <c r="E82" s="1"/>
      <c r="F82" s="1"/>
    </row>
    <row r="83" spans="4:6" ht="15">
      <c r="D83" s="3"/>
      <c r="E83" s="3"/>
      <c r="F83" s="3"/>
    </row>
    <row r="84" spans="4:6" ht="15">
      <c r="D84" s="3"/>
      <c r="E84" s="3"/>
      <c r="F84" s="3"/>
    </row>
  </sheetData>
  <sheetProtection/>
  <mergeCells count="12">
    <mergeCell ref="B11:F11"/>
    <mergeCell ref="A72:B72"/>
    <mergeCell ref="A73:B73"/>
    <mergeCell ref="A75:B75"/>
    <mergeCell ref="A76:B76"/>
    <mergeCell ref="B5:F5"/>
    <mergeCell ref="B1:F1"/>
    <mergeCell ref="B2:F2"/>
    <mergeCell ref="B3:F3"/>
    <mergeCell ref="A6:F6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Layout" workbookViewId="0" topLeftCell="A7">
      <selection activeCell="C29" sqref="C29"/>
    </sheetView>
  </sheetViews>
  <sheetFormatPr defaultColWidth="9.140625" defaultRowHeight="12.75"/>
  <cols>
    <col min="3" max="3" width="65.140625" style="0" customWidth="1"/>
  </cols>
  <sheetData>
    <row r="1" spans="1:9" ht="12.75">
      <c r="A1" s="111"/>
      <c r="B1" s="111"/>
      <c r="C1" s="113" t="s">
        <v>48</v>
      </c>
      <c r="D1" s="111"/>
      <c r="E1" s="111"/>
      <c r="F1" s="111"/>
      <c r="G1" s="111"/>
      <c r="H1" s="111"/>
      <c r="I1" s="111"/>
    </row>
    <row r="2" spans="1:9" ht="38.25">
      <c r="A2" s="111"/>
      <c r="B2" s="114"/>
      <c r="C2" s="115" t="s">
        <v>142</v>
      </c>
      <c r="D2" s="111"/>
      <c r="E2" s="111"/>
      <c r="F2" s="111"/>
      <c r="G2" s="111"/>
      <c r="H2" s="111"/>
      <c r="I2" s="111"/>
    </row>
    <row r="3" spans="1:9" ht="12.75">
      <c r="A3" s="111"/>
      <c r="B3" s="114"/>
      <c r="C3" s="114"/>
      <c r="D3" s="111"/>
      <c r="E3" s="111"/>
      <c r="F3" s="111"/>
      <c r="G3" s="111"/>
      <c r="H3" s="111"/>
      <c r="I3" s="111"/>
    </row>
    <row r="4" spans="1:9" ht="12.75">
      <c r="A4" s="111"/>
      <c r="B4" s="114"/>
      <c r="C4" s="114"/>
      <c r="D4" s="111"/>
      <c r="E4" s="111"/>
      <c r="F4" s="111"/>
      <c r="G4" s="111"/>
      <c r="H4" s="111"/>
      <c r="I4" s="111"/>
    </row>
    <row r="5" spans="1:9" ht="12.75">
      <c r="A5" s="111"/>
      <c r="B5" s="111"/>
      <c r="C5" s="111"/>
      <c r="D5" s="111"/>
      <c r="E5" s="111"/>
      <c r="G5" s="111"/>
      <c r="H5" s="111"/>
      <c r="I5" s="111"/>
    </row>
    <row r="6" spans="1:9" ht="12.75">
      <c r="A6" s="111"/>
      <c r="B6" s="121"/>
      <c r="C6" s="121" t="s">
        <v>41</v>
      </c>
      <c r="D6" s="111"/>
      <c r="E6" s="111"/>
      <c r="F6" s="111"/>
      <c r="G6" s="111"/>
      <c r="H6" s="111"/>
      <c r="I6" s="111"/>
    </row>
    <row r="7" spans="1:9" ht="12.75">
      <c r="A7" s="111"/>
      <c r="B7" s="117"/>
      <c r="C7" s="111"/>
      <c r="D7" s="111"/>
      <c r="E7" s="111"/>
      <c r="F7" s="111"/>
      <c r="G7" s="111"/>
      <c r="H7" s="111"/>
      <c r="I7" s="111"/>
    </row>
    <row r="8" spans="1:9" ht="12.75">
      <c r="A8" s="111"/>
      <c r="B8" s="114">
        <v>1</v>
      </c>
      <c r="C8" s="111" t="s">
        <v>150</v>
      </c>
      <c r="D8" s="111"/>
      <c r="E8" s="111"/>
      <c r="F8" s="111"/>
      <c r="G8" s="111"/>
      <c r="H8" s="111"/>
      <c r="I8" s="111"/>
    </row>
    <row r="9" spans="1:9" ht="12.75">
      <c r="A9" s="111"/>
      <c r="B9" s="111" t="s">
        <v>71</v>
      </c>
      <c r="C9" s="111" t="s">
        <v>152</v>
      </c>
      <c r="D9" s="111"/>
      <c r="E9" s="111"/>
      <c r="F9" s="111"/>
      <c r="G9" s="111"/>
      <c r="H9" s="111"/>
      <c r="I9" s="111"/>
    </row>
    <row r="10" spans="1:9" ht="12.75">
      <c r="A10" s="111"/>
      <c r="B10" s="111" t="s">
        <v>72</v>
      </c>
      <c r="C10" s="111" t="s">
        <v>151</v>
      </c>
      <c r="D10" s="111"/>
      <c r="E10" s="111"/>
      <c r="F10" s="111"/>
      <c r="G10" s="111"/>
      <c r="H10" s="111"/>
      <c r="I10" s="111"/>
    </row>
    <row r="11" spans="1:9" ht="12.75">
      <c r="A11" s="111"/>
      <c r="B11" s="111" t="s">
        <v>75</v>
      </c>
      <c r="C11" s="111" t="s">
        <v>153</v>
      </c>
      <c r="D11" s="111"/>
      <c r="E11" s="111"/>
      <c r="F11" s="111"/>
      <c r="G11" s="111"/>
      <c r="H11" s="111"/>
      <c r="I11" s="111"/>
    </row>
    <row r="12" spans="1:9" ht="12.75">
      <c r="A12" s="111"/>
      <c r="B12" s="111" t="s">
        <v>76</v>
      </c>
      <c r="C12" s="111" t="s">
        <v>154</v>
      </c>
      <c r="D12" s="111"/>
      <c r="E12" s="111"/>
      <c r="F12" s="111"/>
      <c r="G12" s="111"/>
      <c r="H12" s="111"/>
      <c r="I12" s="111"/>
    </row>
    <row r="13" spans="1:9" ht="12.75">
      <c r="A13" s="111"/>
      <c r="B13" s="111" t="s">
        <v>100</v>
      </c>
      <c r="C13" s="111" t="s">
        <v>155</v>
      </c>
      <c r="D13" s="111"/>
      <c r="E13" s="111"/>
      <c r="F13" s="111"/>
      <c r="G13" s="111"/>
      <c r="H13" s="111"/>
      <c r="I13" s="111"/>
    </row>
    <row r="14" spans="1:9" ht="25.5">
      <c r="A14" s="111"/>
      <c r="B14" s="118" t="s">
        <v>143</v>
      </c>
      <c r="C14" s="116" t="s">
        <v>144</v>
      </c>
      <c r="D14" s="111"/>
      <c r="E14" s="111"/>
      <c r="F14" s="111"/>
      <c r="G14" s="111"/>
      <c r="H14" s="111"/>
      <c r="I14" s="111"/>
    </row>
    <row r="15" spans="1:9" ht="25.5">
      <c r="A15" s="111"/>
      <c r="B15" s="119" t="s">
        <v>145</v>
      </c>
      <c r="C15" s="116" t="s">
        <v>146</v>
      </c>
      <c r="D15" s="111"/>
      <c r="E15" s="111"/>
      <c r="F15" s="111"/>
      <c r="G15" s="111"/>
      <c r="H15" s="111"/>
      <c r="I15" s="111"/>
    </row>
    <row r="16" spans="1:9" ht="25.5">
      <c r="A16" s="111"/>
      <c r="B16" s="120">
        <v>2</v>
      </c>
      <c r="C16" s="116" t="s">
        <v>156</v>
      </c>
      <c r="D16" s="111"/>
      <c r="E16" s="111"/>
      <c r="F16" s="111"/>
      <c r="G16" s="111"/>
      <c r="H16" s="111"/>
      <c r="I16" s="111"/>
    </row>
    <row r="17" spans="1:9" ht="12.75">
      <c r="A17" s="111"/>
      <c r="B17" s="111" t="s">
        <v>103</v>
      </c>
      <c r="C17" s="116" t="s">
        <v>157</v>
      </c>
      <c r="D17" s="111"/>
      <c r="E17" s="111"/>
      <c r="F17" s="111"/>
      <c r="G17" s="111"/>
      <c r="H17" s="111"/>
      <c r="I17" s="111"/>
    </row>
    <row r="18" spans="1:9" ht="12.75">
      <c r="A18" s="111"/>
      <c r="B18" s="111" t="s">
        <v>104</v>
      </c>
      <c r="C18" s="116" t="s">
        <v>158</v>
      </c>
      <c r="D18" s="111"/>
      <c r="E18" s="111"/>
      <c r="F18" s="111"/>
      <c r="G18" s="111"/>
      <c r="H18" s="111"/>
      <c r="I18" s="111"/>
    </row>
    <row r="19" spans="1:9" ht="12.75">
      <c r="A19" s="111"/>
      <c r="B19" s="111" t="s">
        <v>79</v>
      </c>
      <c r="C19" s="111" t="s">
        <v>159</v>
      </c>
      <c r="D19" s="111"/>
      <c r="E19" s="111"/>
      <c r="F19" s="111"/>
      <c r="G19" s="111"/>
      <c r="H19" s="111"/>
      <c r="I19" s="111"/>
    </row>
    <row r="20" spans="1:9" ht="12.75">
      <c r="A20" s="111"/>
      <c r="B20" s="111" t="s">
        <v>80</v>
      </c>
      <c r="C20" s="116" t="s">
        <v>160</v>
      </c>
      <c r="D20" s="111"/>
      <c r="E20" s="111"/>
      <c r="F20" s="111"/>
      <c r="G20" s="111"/>
      <c r="H20" s="111"/>
      <c r="I20" s="111"/>
    </row>
    <row r="21" spans="1:9" ht="12.75">
      <c r="A21" s="111"/>
      <c r="B21" s="111" t="s">
        <v>102</v>
      </c>
      <c r="C21" s="116" t="s">
        <v>161</v>
      </c>
      <c r="D21" s="111"/>
      <c r="E21" s="111"/>
      <c r="F21" s="111"/>
      <c r="G21" s="111"/>
      <c r="H21" s="111"/>
      <c r="I21" s="111"/>
    </row>
    <row r="22" spans="1:9" ht="12.75">
      <c r="A22" s="111"/>
      <c r="B22" s="111" t="s">
        <v>125</v>
      </c>
      <c r="C22" s="116" t="s">
        <v>162</v>
      </c>
      <c r="D22" s="111"/>
      <c r="E22" s="111"/>
      <c r="F22" s="111"/>
      <c r="G22" s="111"/>
      <c r="H22" s="111"/>
      <c r="I22" s="111"/>
    </row>
    <row r="23" spans="1:9" ht="12.75">
      <c r="A23" s="111"/>
      <c r="B23" s="114">
        <v>3</v>
      </c>
      <c r="C23" s="116" t="s">
        <v>147</v>
      </c>
      <c r="D23" s="111"/>
      <c r="E23" s="111"/>
      <c r="F23" s="111"/>
      <c r="G23" s="111"/>
      <c r="H23" s="111"/>
      <c r="I23" s="111"/>
    </row>
    <row r="24" spans="1:9" ht="25.5">
      <c r="A24" s="111"/>
      <c r="B24" s="111" t="s">
        <v>110</v>
      </c>
      <c r="C24" s="116" t="s">
        <v>163</v>
      </c>
      <c r="D24" s="111"/>
      <c r="E24" s="111"/>
      <c r="F24" s="111"/>
      <c r="G24" s="111"/>
      <c r="H24" s="111"/>
      <c r="I24" s="111"/>
    </row>
    <row r="25" spans="1:9" ht="38.25">
      <c r="A25" s="111"/>
      <c r="B25" s="111" t="s">
        <v>118</v>
      </c>
      <c r="C25" s="116" t="s">
        <v>166</v>
      </c>
      <c r="D25" s="111"/>
      <c r="E25" s="111"/>
      <c r="F25" s="111"/>
      <c r="G25" s="111"/>
      <c r="H25" s="111"/>
      <c r="I25" s="111"/>
    </row>
    <row r="26" spans="1:9" ht="25.5">
      <c r="A26" s="111"/>
      <c r="B26" s="111" t="s">
        <v>85</v>
      </c>
      <c r="C26" s="116" t="s">
        <v>164</v>
      </c>
      <c r="D26" s="111"/>
      <c r="E26" s="111"/>
      <c r="F26" s="111"/>
      <c r="G26" s="111"/>
      <c r="H26" s="111"/>
      <c r="I26" s="111"/>
    </row>
    <row r="27" spans="1:9" ht="25.5">
      <c r="A27" s="111"/>
      <c r="B27" s="111" t="s">
        <v>121</v>
      </c>
      <c r="C27" s="112" t="s">
        <v>165</v>
      </c>
      <c r="D27" s="111"/>
      <c r="E27" s="111"/>
      <c r="F27" s="111"/>
      <c r="G27" s="111"/>
      <c r="H27" s="111"/>
      <c r="I27" s="111"/>
    </row>
    <row r="28" spans="1:9" ht="25.5">
      <c r="A28" s="111"/>
      <c r="B28" s="111" t="s">
        <v>122</v>
      </c>
      <c r="C28" s="112" t="s">
        <v>167</v>
      </c>
      <c r="D28" s="111"/>
      <c r="E28" s="111"/>
      <c r="F28" s="111"/>
      <c r="G28" s="111"/>
      <c r="H28" s="111"/>
      <c r="I28" s="111"/>
    </row>
    <row r="29" spans="1:9" ht="38.25">
      <c r="A29" s="111"/>
      <c r="B29" s="111" t="s">
        <v>86</v>
      </c>
      <c r="C29" s="112" t="s">
        <v>168</v>
      </c>
      <c r="D29" s="111"/>
      <c r="E29" s="111"/>
      <c r="F29" s="111"/>
      <c r="G29" s="111"/>
      <c r="H29" s="111"/>
      <c r="I29" s="111"/>
    </row>
    <row r="30" spans="1:9" ht="12.75">
      <c r="A30" s="111"/>
      <c r="B30" s="111"/>
      <c r="C30" s="112"/>
      <c r="D30" s="111"/>
      <c r="E30" s="111"/>
      <c r="F30" s="111"/>
      <c r="G30" s="111"/>
      <c r="H30" s="111"/>
      <c r="I30" s="111"/>
    </row>
    <row r="31" spans="1:9" ht="24" customHeight="1">
      <c r="A31" s="111"/>
      <c r="C31" s="110"/>
      <c r="D31" s="111"/>
      <c r="E31" s="111"/>
      <c r="F31" s="111"/>
      <c r="G31" s="111"/>
      <c r="H31" s="111"/>
      <c r="I31" s="111"/>
    </row>
    <row r="32" spans="3:9" ht="24" customHeight="1">
      <c r="C32" s="110"/>
      <c r="D32" s="111"/>
      <c r="E32" s="111"/>
      <c r="F32" s="111"/>
      <c r="G32" s="111"/>
      <c r="H32" s="111"/>
      <c r="I32" s="111"/>
    </row>
    <row r="33" spans="3:9" ht="24" customHeight="1">
      <c r="C33" s="110"/>
      <c r="D33" s="111"/>
      <c r="E33" s="111"/>
      <c r="F33" s="111"/>
      <c r="G33" s="111"/>
      <c r="H33" s="111"/>
      <c r="I33" s="111"/>
    </row>
    <row r="34" spans="4:9" ht="24" customHeight="1">
      <c r="D34" s="111"/>
      <c r="E34" s="111"/>
      <c r="F34" s="111"/>
      <c r="G34" s="111"/>
      <c r="H34" s="111"/>
      <c r="I34" s="111"/>
    </row>
    <row r="35" spans="4:9" ht="24" customHeight="1">
      <c r="D35" s="111"/>
      <c r="E35" s="111"/>
      <c r="F35" s="111"/>
      <c r="G35" s="111"/>
      <c r="H35" s="111"/>
      <c r="I35" s="111"/>
    </row>
    <row r="36" ht="12" customHeight="1"/>
    <row r="37" ht="24" customHeight="1"/>
    <row r="38" ht="38.25" customHeight="1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&amp;C&amp;"Times New Roman,Regular"LManotp1_120118_MK1002; Grozījumi MK 24.09.2013. noteikumos Nr.1002 "Sociālaš integrāicjas valsts aģnetūras sniegto maksas pakalpojumu cenrādis"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workbookViewId="0" topLeftCell="A56">
      <selection activeCell="B11" sqref="B11:E11"/>
    </sheetView>
  </sheetViews>
  <sheetFormatPr defaultColWidth="9.140625" defaultRowHeight="12.75"/>
  <cols>
    <col min="1" max="1" width="12.7109375" style="6" customWidth="1"/>
    <col min="2" max="2" width="95.140625" style="6" customWidth="1"/>
    <col min="3" max="3" width="11.140625" style="6" hidden="1" customWidth="1"/>
    <col min="4" max="4" width="3.421875" style="6" hidden="1" customWidth="1"/>
    <col min="5" max="5" width="31.8515625" style="6" customWidth="1"/>
  </cols>
  <sheetData>
    <row r="1" spans="1:5" ht="15.75">
      <c r="A1" s="13"/>
      <c r="B1" s="133" t="s">
        <v>35</v>
      </c>
      <c r="C1" s="133"/>
      <c r="D1" s="133"/>
      <c r="E1" s="134"/>
    </row>
    <row r="2" spans="1:5" ht="15.75">
      <c r="A2" s="13"/>
      <c r="B2" s="135" t="s">
        <v>39</v>
      </c>
      <c r="C2" s="135"/>
      <c r="D2" s="135"/>
      <c r="E2" s="136"/>
    </row>
    <row r="3" spans="1:5" ht="15.75">
      <c r="A3" s="13"/>
      <c r="B3" s="131" t="s">
        <v>57</v>
      </c>
      <c r="C3" s="132"/>
      <c r="D3" s="132"/>
      <c r="E3" s="132"/>
    </row>
    <row r="4" spans="1:5" ht="15.75">
      <c r="A4" s="13"/>
      <c r="B4" s="11"/>
      <c r="C4" s="11"/>
      <c r="D4" s="13"/>
      <c r="E4" s="97"/>
    </row>
    <row r="5" spans="1:5" ht="15.75">
      <c r="A5" s="13"/>
      <c r="B5" s="15"/>
      <c r="C5" s="15"/>
      <c r="D5" s="12"/>
      <c r="E5" s="11" t="s">
        <v>141</v>
      </c>
    </row>
    <row r="6" spans="1:5" ht="15.75">
      <c r="A6" s="138" t="s">
        <v>5</v>
      </c>
      <c r="B6" s="138"/>
      <c r="C6" s="138"/>
      <c r="D6" s="138"/>
      <c r="E6" s="138"/>
    </row>
    <row r="7" spans="1:4" ht="15.75">
      <c r="A7" s="137" t="s">
        <v>1</v>
      </c>
      <c r="B7" s="137"/>
      <c r="C7" s="9"/>
      <c r="D7" s="9"/>
    </row>
    <row r="8" spans="1:4" ht="15.75">
      <c r="A8" s="137" t="s">
        <v>0</v>
      </c>
      <c r="B8" s="137"/>
      <c r="C8" s="9"/>
      <c r="D8" s="9"/>
    </row>
    <row r="9" spans="1:4" ht="15.75">
      <c r="A9" s="9"/>
      <c r="B9" s="9" t="s">
        <v>89</v>
      </c>
      <c r="C9" s="9"/>
      <c r="D9" s="9"/>
    </row>
    <row r="10" spans="1:5" ht="15.75">
      <c r="A10" s="9"/>
      <c r="B10" s="137" t="s">
        <v>96</v>
      </c>
      <c r="C10" s="142"/>
      <c r="D10" s="9"/>
      <c r="E10" s="14"/>
    </row>
    <row r="11" spans="1:5" ht="15.75">
      <c r="A11" s="9"/>
      <c r="B11" s="137" t="s">
        <v>97</v>
      </c>
      <c r="C11" s="137"/>
      <c r="D11" s="137"/>
      <c r="E11" s="134"/>
    </row>
    <row r="12" spans="1:4" ht="15.75">
      <c r="A12" s="9" t="s">
        <v>2</v>
      </c>
      <c r="B12" s="9" t="s">
        <v>99</v>
      </c>
      <c r="C12" s="9"/>
      <c r="D12" s="9"/>
    </row>
    <row r="13" spans="1:5" ht="58.5" customHeight="1">
      <c r="A13" s="54" t="s">
        <v>3</v>
      </c>
      <c r="B13" s="54" t="s">
        <v>4</v>
      </c>
      <c r="C13" s="54" t="s">
        <v>43</v>
      </c>
      <c r="D13" s="54" t="s">
        <v>44</v>
      </c>
      <c r="E13" s="54" t="s">
        <v>53</v>
      </c>
    </row>
    <row r="14" spans="1:5" ht="15.75">
      <c r="A14" s="22">
        <v>1</v>
      </c>
      <c r="B14" s="23">
        <v>2</v>
      </c>
      <c r="C14" s="23">
        <v>3</v>
      </c>
      <c r="D14" s="23">
        <v>4</v>
      </c>
      <c r="E14" s="23">
        <v>3</v>
      </c>
    </row>
    <row r="15" spans="1:5" ht="15.75">
      <c r="A15" s="24"/>
      <c r="B15" s="25" t="s">
        <v>69</v>
      </c>
      <c r="C15" s="26"/>
      <c r="D15" s="26"/>
      <c r="E15" s="26"/>
    </row>
    <row r="16" spans="1:5" ht="15.75">
      <c r="A16" s="27">
        <v>1100</v>
      </c>
      <c r="B16" s="27" t="s">
        <v>64</v>
      </c>
      <c r="C16" s="28">
        <v>0</v>
      </c>
      <c r="D16" s="28">
        <v>3074.97</v>
      </c>
      <c r="E16" s="28">
        <v>889.51</v>
      </c>
    </row>
    <row r="17" spans="1:5" ht="15.75" customHeight="1">
      <c r="A17" s="27">
        <v>1200</v>
      </c>
      <c r="B17" s="29" t="s">
        <v>63</v>
      </c>
      <c r="C17" s="28">
        <v>0</v>
      </c>
      <c r="D17" s="28">
        <v>725.39</v>
      </c>
      <c r="E17" s="28">
        <v>214.28</v>
      </c>
    </row>
    <row r="18" spans="1:5" ht="15.75" hidden="1">
      <c r="A18" s="27">
        <v>2210</v>
      </c>
      <c r="B18" s="29" t="s">
        <v>27</v>
      </c>
      <c r="C18" s="28"/>
      <c r="D18" s="28"/>
      <c r="E18" s="28"/>
    </row>
    <row r="19" spans="1:5" ht="15.75" hidden="1">
      <c r="A19" s="27">
        <v>2222</v>
      </c>
      <c r="B19" s="29" t="s">
        <v>28</v>
      </c>
      <c r="C19" s="28">
        <v>0</v>
      </c>
      <c r="D19" s="28" t="e">
        <f>ROUND(#REF!/2,2)</f>
        <v>#REF!</v>
      </c>
      <c r="E19" s="28"/>
    </row>
    <row r="20" spans="1:5" ht="15.75">
      <c r="A20" s="27">
        <v>2223</v>
      </c>
      <c r="B20" s="29" t="s">
        <v>29</v>
      </c>
      <c r="C20" s="28">
        <v>0</v>
      </c>
      <c r="D20" s="28" t="e">
        <f>ROUND(#REF!/2,2)</f>
        <v>#REF!</v>
      </c>
      <c r="E20" s="28">
        <v>3.84</v>
      </c>
    </row>
    <row r="21" spans="1:5" ht="15.75" hidden="1">
      <c r="A21" s="27">
        <v>2243</v>
      </c>
      <c r="B21" s="29" t="s">
        <v>9</v>
      </c>
      <c r="C21" s="28">
        <v>0</v>
      </c>
      <c r="D21" s="28" t="e">
        <f>ROUND(#REF!/2,2)</f>
        <v>#REF!</v>
      </c>
      <c r="E21" s="28"/>
    </row>
    <row r="22" spans="1:5" ht="15.75" hidden="1">
      <c r="A22" s="27">
        <v>2244</v>
      </c>
      <c r="B22" s="29" t="s">
        <v>10</v>
      </c>
      <c r="C22" s="28"/>
      <c r="D22" s="28"/>
      <c r="E22" s="28"/>
    </row>
    <row r="23" spans="1:5" ht="15.75" hidden="1">
      <c r="A23" s="27">
        <v>2251</v>
      </c>
      <c r="B23" s="29" t="s">
        <v>61</v>
      </c>
      <c r="C23" s="28"/>
      <c r="D23" s="28"/>
      <c r="E23" s="28"/>
    </row>
    <row r="24" spans="1:5" ht="15.75" hidden="1">
      <c r="A24" s="27">
        <v>2261</v>
      </c>
      <c r="B24" s="29" t="s">
        <v>11</v>
      </c>
      <c r="C24" s="28"/>
      <c r="D24" s="28"/>
      <c r="E24" s="28"/>
    </row>
    <row r="25" spans="1:5" ht="15.75" hidden="1">
      <c r="A25" s="27">
        <v>2264</v>
      </c>
      <c r="B25" s="29" t="s">
        <v>13</v>
      </c>
      <c r="C25" s="28"/>
      <c r="D25" s="28"/>
      <c r="E25" s="28"/>
    </row>
    <row r="26" spans="1:5" ht="15.75">
      <c r="A26" s="27">
        <v>2279</v>
      </c>
      <c r="B26" s="29" t="s">
        <v>14</v>
      </c>
      <c r="C26" s="28"/>
      <c r="D26" s="28"/>
      <c r="E26" s="28">
        <v>0.82</v>
      </c>
    </row>
    <row r="27" spans="1:5" ht="15.75">
      <c r="A27" s="27">
        <v>2311</v>
      </c>
      <c r="B27" s="29" t="s">
        <v>74</v>
      </c>
      <c r="C27" s="28"/>
      <c r="D27" s="28"/>
      <c r="E27" s="28">
        <v>16.41</v>
      </c>
    </row>
    <row r="28" spans="1:5" ht="15.75">
      <c r="A28" s="27">
        <v>2312</v>
      </c>
      <c r="B28" s="29" t="s">
        <v>16</v>
      </c>
      <c r="C28" s="28"/>
      <c r="D28" s="28"/>
      <c r="E28" s="28">
        <v>7.31</v>
      </c>
    </row>
    <row r="29" spans="1:5" ht="15.75">
      <c r="A29" s="27">
        <v>2321</v>
      </c>
      <c r="B29" s="29" t="s">
        <v>17</v>
      </c>
      <c r="C29" s="28">
        <v>0</v>
      </c>
      <c r="D29" s="28" t="e">
        <f>ROUND(#REF!/2,2)</f>
        <v>#REF!</v>
      </c>
      <c r="E29" s="28">
        <v>5.46</v>
      </c>
    </row>
    <row r="30" spans="1:5" ht="15.75">
      <c r="A30" s="27">
        <v>2350</v>
      </c>
      <c r="B30" s="29" t="s">
        <v>19</v>
      </c>
      <c r="C30" s="28">
        <v>0</v>
      </c>
      <c r="D30" s="28" t="e">
        <f>ROUND(#REF!/2,2)</f>
        <v>#REF!</v>
      </c>
      <c r="E30" s="28">
        <v>2.5</v>
      </c>
    </row>
    <row r="31" spans="1:5" ht="15.75">
      <c r="A31" s="27">
        <v>2361</v>
      </c>
      <c r="B31" s="29" t="s">
        <v>20</v>
      </c>
      <c r="C31" s="28"/>
      <c r="D31" s="28"/>
      <c r="E31" s="28">
        <v>4</v>
      </c>
    </row>
    <row r="32" spans="1:5" ht="15.75">
      <c r="A32" s="27">
        <v>2370</v>
      </c>
      <c r="B32" s="29" t="s">
        <v>70</v>
      </c>
      <c r="C32" s="28"/>
      <c r="D32" s="28"/>
      <c r="E32" s="28">
        <v>5.53</v>
      </c>
    </row>
    <row r="33" spans="1:5" ht="15.75" hidden="1">
      <c r="A33" s="55">
        <v>2513</v>
      </c>
      <c r="B33" s="29" t="s">
        <v>22</v>
      </c>
      <c r="C33" s="28"/>
      <c r="D33" s="28"/>
      <c r="E33" s="28"/>
    </row>
    <row r="34" spans="1:5" ht="15.75">
      <c r="A34" s="27">
        <v>5230</v>
      </c>
      <c r="B34" s="29" t="s">
        <v>58</v>
      </c>
      <c r="C34" s="28">
        <v>0</v>
      </c>
      <c r="D34" s="28" t="e">
        <f>ROUND(#REF!/2,2)</f>
        <v>#REF!</v>
      </c>
      <c r="E34" s="28">
        <v>7.51</v>
      </c>
    </row>
    <row r="35" spans="1:5" ht="15.75">
      <c r="A35" s="27"/>
      <c r="B35" s="30" t="s">
        <v>66</v>
      </c>
      <c r="C35" s="62">
        <f>SUM(C16:C34)</f>
        <v>0</v>
      </c>
      <c r="D35" s="62" t="e">
        <f>SUM(D16:D34)</f>
        <v>#REF!</v>
      </c>
      <c r="E35" s="31">
        <f>SUM(E16:E34)</f>
        <v>1157.1699999999998</v>
      </c>
    </row>
    <row r="36" spans="1:5" ht="15.75">
      <c r="A36" s="32"/>
      <c r="B36" s="27" t="s">
        <v>65</v>
      </c>
      <c r="C36" s="26"/>
      <c r="D36" s="26"/>
      <c r="E36" s="26"/>
    </row>
    <row r="37" spans="1:5" ht="15.75">
      <c r="A37" s="27">
        <v>1100</v>
      </c>
      <c r="B37" s="27" t="s">
        <v>64</v>
      </c>
      <c r="C37" s="28">
        <v>0</v>
      </c>
      <c r="D37" s="28" t="e">
        <f>ROUND(#REF!/2,2)</f>
        <v>#REF!</v>
      </c>
      <c r="E37" s="28">
        <v>160.75</v>
      </c>
    </row>
    <row r="38" spans="1:5" ht="15.75" customHeight="1">
      <c r="A38" s="27">
        <v>1200</v>
      </c>
      <c r="B38" s="29" t="s">
        <v>63</v>
      </c>
      <c r="C38" s="28">
        <v>0</v>
      </c>
      <c r="D38" s="28" t="e">
        <f>ROUND(#REF!/2,2)</f>
        <v>#REF!</v>
      </c>
      <c r="E38" s="28">
        <v>38.72</v>
      </c>
    </row>
    <row r="39" spans="1:5" ht="15.75">
      <c r="A39" s="33">
        <v>2210</v>
      </c>
      <c r="B39" s="29" t="s">
        <v>27</v>
      </c>
      <c r="C39" s="28">
        <v>0</v>
      </c>
      <c r="D39" s="28" t="e">
        <f>ROUND(#REF!/2,2)</f>
        <v>#REF!</v>
      </c>
      <c r="E39" s="28">
        <v>1.07</v>
      </c>
    </row>
    <row r="40" spans="1:5" ht="15.75">
      <c r="A40" s="33">
        <v>2224</v>
      </c>
      <c r="B40" s="29" t="s">
        <v>87</v>
      </c>
      <c r="C40" s="28"/>
      <c r="D40" s="28"/>
      <c r="E40" s="28">
        <v>0.87</v>
      </c>
    </row>
    <row r="41" spans="1:5" ht="15.75">
      <c r="A41" s="27">
        <v>2230</v>
      </c>
      <c r="B41" s="29" t="s">
        <v>30</v>
      </c>
      <c r="C41" s="28">
        <v>0</v>
      </c>
      <c r="D41" s="28" t="e">
        <f>ROUND(#REF!/2,2)</f>
        <v>#REF!</v>
      </c>
      <c r="E41" s="28">
        <v>3.18</v>
      </c>
    </row>
    <row r="42" spans="1:5" ht="15.75" hidden="1">
      <c r="A42" s="27">
        <v>2241</v>
      </c>
      <c r="B42" s="29" t="s">
        <v>7</v>
      </c>
      <c r="C42" s="28">
        <v>0</v>
      </c>
      <c r="D42" s="28" t="e">
        <f>ROUND(#REF!/2,2)</f>
        <v>#REF!</v>
      </c>
      <c r="E42" s="28"/>
    </row>
    <row r="43" spans="1:5" ht="15.75">
      <c r="A43" s="27">
        <v>2242</v>
      </c>
      <c r="B43" s="29" t="s">
        <v>8</v>
      </c>
      <c r="C43" s="28">
        <v>0</v>
      </c>
      <c r="D43" s="28" t="e">
        <f>ROUND(#REF!/2,2)</f>
        <v>#REF!</v>
      </c>
      <c r="E43" s="28">
        <v>0.37</v>
      </c>
    </row>
    <row r="44" spans="1:5" ht="15.75">
      <c r="A44" s="27">
        <v>2243</v>
      </c>
      <c r="B44" s="29" t="s">
        <v>9</v>
      </c>
      <c r="C44" s="28">
        <v>0</v>
      </c>
      <c r="D44" s="28" t="e">
        <f>ROUND(#REF!/2,2)</f>
        <v>#REF!</v>
      </c>
      <c r="E44" s="28">
        <v>2.41</v>
      </c>
    </row>
    <row r="45" spans="1:5" ht="15.75">
      <c r="A45" s="27">
        <v>2244</v>
      </c>
      <c r="B45" s="29" t="s">
        <v>10</v>
      </c>
      <c r="C45" s="28"/>
      <c r="D45" s="28"/>
      <c r="E45" s="28">
        <v>0.94</v>
      </c>
    </row>
    <row r="46" spans="1:5" ht="15.75">
      <c r="A46" s="27">
        <v>2247</v>
      </c>
      <c r="B46" s="25" t="s">
        <v>60</v>
      </c>
      <c r="C46" s="28">
        <v>0</v>
      </c>
      <c r="D46" s="28" t="e">
        <f>ROUND(#REF!/2,2)</f>
        <v>#REF!</v>
      </c>
      <c r="E46" s="28">
        <v>0.27</v>
      </c>
    </row>
    <row r="47" spans="1:5" ht="15.75">
      <c r="A47" s="27">
        <v>2251</v>
      </c>
      <c r="B47" s="29" t="s">
        <v>61</v>
      </c>
      <c r="C47" s="28">
        <v>0</v>
      </c>
      <c r="D47" s="28" t="e">
        <f>ROUND(#REF!/2,2)</f>
        <v>#REF!</v>
      </c>
      <c r="E47" s="28">
        <v>5.33</v>
      </c>
    </row>
    <row r="48" spans="1:5" ht="15.75">
      <c r="A48" s="27">
        <v>2259</v>
      </c>
      <c r="B48" s="29" t="s">
        <v>62</v>
      </c>
      <c r="C48" s="28">
        <v>0</v>
      </c>
      <c r="D48" s="28" t="e">
        <f>ROUND(#REF!/2,2)</f>
        <v>#REF!</v>
      </c>
      <c r="E48" s="28">
        <v>2.65</v>
      </c>
    </row>
    <row r="49" spans="1:5" ht="15.75">
      <c r="A49" s="27">
        <v>2261</v>
      </c>
      <c r="B49" s="29" t="s">
        <v>11</v>
      </c>
      <c r="C49" s="28"/>
      <c r="D49" s="28"/>
      <c r="E49" s="28">
        <v>2.36</v>
      </c>
    </row>
    <row r="50" spans="1:5" ht="15.75">
      <c r="A50" s="27">
        <v>2262</v>
      </c>
      <c r="B50" s="29" t="s">
        <v>12</v>
      </c>
      <c r="C50" s="28">
        <v>0</v>
      </c>
      <c r="D50" s="28" t="e">
        <f>ROUND(#REF!/2,2)</f>
        <v>#REF!</v>
      </c>
      <c r="E50" s="28">
        <v>1.85</v>
      </c>
    </row>
    <row r="51" spans="1:5" ht="15.75">
      <c r="A51" s="27">
        <v>2264</v>
      </c>
      <c r="B51" s="29" t="s">
        <v>13</v>
      </c>
      <c r="C51" s="28">
        <v>0</v>
      </c>
      <c r="D51" s="28" t="e">
        <f>ROUND(#REF!/2,2)</f>
        <v>#REF!</v>
      </c>
      <c r="E51" s="28">
        <v>0.12</v>
      </c>
    </row>
    <row r="52" spans="1:5" ht="15.75">
      <c r="A52" s="27">
        <v>2279</v>
      </c>
      <c r="B52" s="29" t="s">
        <v>14</v>
      </c>
      <c r="C52" s="28">
        <v>0</v>
      </c>
      <c r="D52" s="28" t="e">
        <f>ROUND(#REF!/2,2)</f>
        <v>#REF!</v>
      </c>
      <c r="E52" s="28">
        <v>1.24</v>
      </c>
    </row>
    <row r="53" spans="1:5" ht="15.75">
      <c r="A53" s="27">
        <v>2311</v>
      </c>
      <c r="B53" s="29" t="s">
        <v>15</v>
      </c>
      <c r="C53" s="28">
        <v>0</v>
      </c>
      <c r="D53" s="28" t="e">
        <f>ROUND(#REF!/2,2)</f>
        <v>#REF!</v>
      </c>
      <c r="E53" s="28">
        <v>0.67</v>
      </c>
    </row>
    <row r="54" spans="1:5" ht="15.75">
      <c r="A54" s="27">
        <v>2312</v>
      </c>
      <c r="B54" s="29" t="s">
        <v>16</v>
      </c>
      <c r="C54" s="28">
        <v>0</v>
      </c>
      <c r="D54" s="28" t="e">
        <f>ROUND(#REF!/2,2)</f>
        <v>#REF!</v>
      </c>
      <c r="E54" s="28">
        <v>0.38</v>
      </c>
    </row>
    <row r="55" spans="1:5" ht="15.75">
      <c r="A55" s="27">
        <v>2322</v>
      </c>
      <c r="B55" s="29" t="s">
        <v>18</v>
      </c>
      <c r="C55" s="28">
        <v>0</v>
      </c>
      <c r="D55" s="28" t="e">
        <f>ROUND(#REF!/2,2)</f>
        <v>#REF!</v>
      </c>
      <c r="E55" s="28">
        <v>1.97</v>
      </c>
    </row>
    <row r="56" spans="1:5" ht="15.75">
      <c r="A56" s="27">
        <v>2350</v>
      </c>
      <c r="B56" s="29" t="s">
        <v>19</v>
      </c>
      <c r="C56" s="28">
        <v>0</v>
      </c>
      <c r="D56" s="28" t="e">
        <f>ROUND(#REF!/2,2)</f>
        <v>#REF!</v>
      </c>
      <c r="E56" s="28">
        <v>4.2</v>
      </c>
    </row>
    <row r="57" spans="1:5" ht="15.75">
      <c r="A57" s="27">
        <v>2361</v>
      </c>
      <c r="B57" s="29" t="s">
        <v>20</v>
      </c>
      <c r="C57" s="28"/>
      <c r="D57" s="28"/>
      <c r="E57" s="28">
        <v>0.83</v>
      </c>
    </row>
    <row r="58" spans="1:5" ht="15.75">
      <c r="A58" s="27">
        <v>2370</v>
      </c>
      <c r="B58" s="29" t="s">
        <v>70</v>
      </c>
      <c r="C58" s="28"/>
      <c r="D58" s="28"/>
      <c r="E58" s="28">
        <v>1.78</v>
      </c>
    </row>
    <row r="59" spans="1:5" ht="15.75">
      <c r="A59" s="27">
        <v>2400</v>
      </c>
      <c r="B59" s="29" t="s">
        <v>31</v>
      </c>
      <c r="C59" s="28"/>
      <c r="D59" s="28"/>
      <c r="E59" s="28">
        <v>0.12</v>
      </c>
    </row>
    <row r="60" spans="1:5" ht="15.75" hidden="1">
      <c r="A60" s="27">
        <v>2513</v>
      </c>
      <c r="B60" s="29" t="s">
        <v>22</v>
      </c>
      <c r="C60" s="28"/>
      <c r="D60" s="28"/>
      <c r="E60" s="28"/>
    </row>
    <row r="61" spans="1:5" ht="15.75" hidden="1">
      <c r="A61" s="27">
        <v>2515</v>
      </c>
      <c r="B61" s="29" t="s">
        <v>59</v>
      </c>
      <c r="C61" s="28"/>
      <c r="D61" s="28"/>
      <c r="E61" s="28"/>
    </row>
    <row r="62" spans="1:5" ht="15.75">
      <c r="A62" s="27">
        <v>2519</v>
      </c>
      <c r="B62" s="29" t="s">
        <v>24</v>
      </c>
      <c r="C62" s="28"/>
      <c r="D62" s="28"/>
      <c r="E62" s="28">
        <v>6.62</v>
      </c>
    </row>
    <row r="63" spans="1:5" ht="15.75">
      <c r="A63" s="27">
        <v>5232</v>
      </c>
      <c r="B63" s="29" t="s">
        <v>23</v>
      </c>
      <c r="C63" s="28"/>
      <c r="D63" s="28"/>
      <c r="E63" s="28">
        <v>5.63</v>
      </c>
    </row>
    <row r="64" spans="1:5" ht="15.75" hidden="1">
      <c r="A64" s="27">
        <v>5240</v>
      </c>
      <c r="B64" s="29" t="s">
        <v>25</v>
      </c>
      <c r="C64" s="28"/>
      <c r="D64" s="28"/>
      <c r="E64" s="28"/>
    </row>
    <row r="65" spans="1:5" ht="15.75" hidden="1">
      <c r="A65" s="27">
        <v>5250</v>
      </c>
      <c r="B65" s="29" t="s">
        <v>26</v>
      </c>
      <c r="C65" s="28"/>
      <c r="D65" s="28"/>
      <c r="E65" s="28"/>
    </row>
    <row r="66" spans="1:5" ht="15.75">
      <c r="A66" s="32"/>
      <c r="B66" s="34" t="s">
        <v>67</v>
      </c>
      <c r="C66" s="31">
        <f>SUM(C37:C65)</f>
        <v>0</v>
      </c>
      <c r="D66" s="31" t="e">
        <f>SUM(D37:D65)</f>
        <v>#REF!</v>
      </c>
      <c r="E66" s="31">
        <f>SUM(E37:E65)</f>
        <v>244.33000000000004</v>
      </c>
    </row>
    <row r="67" spans="1:5" ht="15.75">
      <c r="A67" s="32"/>
      <c r="B67" s="34" t="s">
        <v>32</v>
      </c>
      <c r="C67" s="31">
        <f>C35+C66</f>
        <v>0</v>
      </c>
      <c r="D67" s="31" t="e">
        <f>D35+D66</f>
        <v>#REF!</v>
      </c>
      <c r="E67" s="31">
        <f>E35+E66</f>
        <v>1401.5</v>
      </c>
    </row>
    <row r="68" spans="1:5" ht="15.75" hidden="1">
      <c r="A68" s="27">
        <v>6290</v>
      </c>
      <c r="B68" s="29" t="s">
        <v>34</v>
      </c>
      <c r="C68" s="46">
        <v>0</v>
      </c>
      <c r="D68" s="28" t="e">
        <f>ROUND(#REF!/1007*504,2)</f>
        <v>#REF!</v>
      </c>
      <c r="E68" s="28"/>
    </row>
    <row r="69" spans="1:5" ht="15.75" hidden="1">
      <c r="A69" s="27">
        <v>5250</v>
      </c>
      <c r="B69" s="29" t="s">
        <v>26</v>
      </c>
      <c r="C69" s="29"/>
      <c r="D69" s="29"/>
      <c r="E69" s="45"/>
    </row>
    <row r="70" spans="1:5" ht="15.75" hidden="1">
      <c r="A70" s="32"/>
      <c r="B70" s="34" t="s">
        <v>32</v>
      </c>
      <c r="C70" s="47" t="e">
        <f>#REF!+C28</f>
        <v>#REF!</v>
      </c>
      <c r="D70" s="31" t="e">
        <f>#REF!+D28</f>
        <v>#REF!</v>
      </c>
      <c r="E70" s="31"/>
    </row>
    <row r="71" spans="1:4" ht="15.75">
      <c r="A71" s="35"/>
      <c r="B71" s="20"/>
      <c r="C71" s="20"/>
      <c r="D71" s="20"/>
    </row>
    <row r="72" spans="1:5" ht="15.75">
      <c r="A72" s="137" t="s">
        <v>45</v>
      </c>
      <c r="B72" s="137"/>
      <c r="C72" s="21">
        <v>0</v>
      </c>
      <c r="D72" s="21">
        <v>504</v>
      </c>
      <c r="E72" s="108">
        <v>1</v>
      </c>
    </row>
    <row r="73" spans="1:5" ht="15.75">
      <c r="A73" s="137" t="s">
        <v>46</v>
      </c>
      <c r="B73" s="137"/>
      <c r="C73" s="37" t="e">
        <f>C70/C72</f>
        <v>#REF!</v>
      </c>
      <c r="D73" s="37" t="e">
        <f>D70/D72</f>
        <v>#REF!</v>
      </c>
      <c r="E73" s="109">
        <v>1401.5</v>
      </c>
    </row>
    <row r="74" spans="1:5" ht="15.75">
      <c r="A74" s="9"/>
      <c r="B74" s="9"/>
      <c r="C74" s="36"/>
      <c r="D74" s="36"/>
      <c r="E74" s="36"/>
    </row>
    <row r="75" spans="1:5" ht="15.75">
      <c r="A75" s="139" t="s">
        <v>37</v>
      </c>
      <c r="B75" s="140"/>
      <c r="C75" s="39"/>
      <c r="D75" s="39"/>
      <c r="E75" s="39"/>
    </row>
    <row r="76" spans="1:5" ht="15.75">
      <c r="A76" s="139" t="s">
        <v>54</v>
      </c>
      <c r="B76" s="140"/>
      <c r="C76" s="40"/>
      <c r="D76" s="39"/>
      <c r="E76" s="39"/>
    </row>
    <row r="77" spans="1:5" ht="15.75">
      <c r="A77" s="17"/>
      <c r="B77" s="17"/>
      <c r="C77" s="17"/>
      <c r="D77" s="17"/>
      <c r="E77" s="17"/>
    </row>
    <row r="78" spans="1:5" ht="15.75">
      <c r="A78" s="17" t="s">
        <v>38</v>
      </c>
      <c r="B78" s="17"/>
      <c r="C78" s="17"/>
      <c r="D78" s="17"/>
      <c r="E78" s="17"/>
    </row>
    <row r="79" spans="1:5" ht="15.75">
      <c r="A79" s="17"/>
      <c r="B79" s="17"/>
      <c r="C79" s="17"/>
      <c r="D79" s="17"/>
      <c r="E79" s="17"/>
    </row>
    <row r="80" spans="1:5" ht="15.75">
      <c r="A80" s="17" t="s">
        <v>47</v>
      </c>
      <c r="B80" s="18"/>
      <c r="C80" s="18"/>
      <c r="D80" s="18"/>
      <c r="E80" s="18"/>
    </row>
    <row r="81" spans="1:5" ht="15.75">
      <c r="A81" s="17"/>
      <c r="B81" s="97"/>
      <c r="C81" s="19"/>
      <c r="D81" s="17"/>
      <c r="E81" s="17"/>
    </row>
    <row r="82" spans="1:5" ht="15.75">
      <c r="A82" s="17"/>
      <c r="B82" s="19"/>
      <c r="C82" s="17"/>
      <c r="D82" s="17"/>
      <c r="E82" s="17"/>
    </row>
  </sheetData>
  <sheetProtection/>
  <mergeCells count="12">
    <mergeCell ref="B10:C10"/>
    <mergeCell ref="B11:E11"/>
    <mergeCell ref="A72:B72"/>
    <mergeCell ref="A73:B73"/>
    <mergeCell ref="A75:B75"/>
    <mergeCell ref="A76:B76"/>
    <mergeCell ref="B1:E1"/>
    <mergeCell ref="B2:E2"/>
    <mergeCell ref="B3:E3"/>
    <mergeCell ref="A6:E6"/>
    <mergeCell ref="A7:B7"/>
    <mergeCell ref="A8:B8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view="pageLayout" workbookViewId="0" topLeftCell="A71">
      <selection activeCell="B78" sqref="B78"/>
    </sheetView>
  </sheetViews>
  <sheetFormatPr defaultColWidth="9.140625" defaultRowHeight="12.75"/>
  <cols>
    <col min="1" max="1" width="13.28125" style="6" customWidth="1"/>
    <col min="2" max="2" width="94.421875" style="6" customWidth="1"/>
    <col min="3" max="3" width="32.7109375" style="6" customWidth="1"/>
    <col min="4" max="4" width="11.140625" style="0" hidden="1" customWidth="1"/>
    <col min="5" max="5" width="0" style="0" hidden="1" customWidth="1"/>
    <col min="6" max="6" width="15.57421875" style="0" hidden="1" customWidth="1"/>
  </cols>
  <sheetData>
    <row r="1" spans="1:6" ht="15.75">
      <c r="A1" s="13"/>
      <c r="B1" s="133" t="s">
        <v>35</v>
      </c>
      <c r="C1" s="133"/>
      <c r="D1" s="133"/>
      <c r="E1" s="133"/>
      <c r="F1" s="134"/>
    </row>
    <row r="2" spans="1:6" ht="15.75">
      <c r="A2" s="13"/>
      <c r="B2" s="135" t="s">
        <v>39</v>
      </c>
      <c r="C2" s="135"/>
      <c r="D2" s="135"/>
      <c r="E2" s="135"/>
      <c r="F2" s="136"/>
    </row>
    <row r="3" spans="1:6" ht="15.75">
      <c r="A3" s="13"/>
      <c r="B3" s="131" t="s">
        <v>57</v>
      </c>
      <c r="C3" s="144"/>
      <c r="D3" s="144"/>
      <c r="E3" s="144"/>
      <c r="F3" s="144"/>
    </row>
    <row r="4" spans="1:6" ht="15.75">
      <c r="A4" s="13"/>
      <c r="B4" s="11"/>
      <c r="C4" s="97"/>
      <c r="D4" s="11"/>
      <c r="E4" s="13"/>
      <c r="F4" s="11"/>
    </row>
    <row r="5" spans="1:6" ht="15.75">
      <c r="A5" s="13"/>
      <c r="B5" s="135" t="s">
        <v>140</v>
      </c>
      <c r="C5" s="135"/>
      <c r="D5" s="135"/>
      <c r="E5" s="135"/>
      <c r="F5" s="135"/>
    </row>
    <row r="6" spans="1:6" ht="18.75">
      <c r="A6" s="126" t="s">
        <v>5</v>
      </c>
      <c r="B6" s="126"/>
      <c r="C6" s="126"/>
      <c r="D6" s="126"/>
      <c r="E6" s="126"/>
      <c r="F6" s="126"/>
    </row>
    <row r="7" spans="1:6" ht="15.75">
      <c r="A7" s="137" t="s">
        <v>1</v>
      </c>
      <c r="B7" s="137"/>
      <c r="C7" s="9"/>
      <c r="D7" s="9"/>
      <c r="E7" s="9"/>
      <c r="F7" s="6"/>
    </row>
    <row r="8" spans="1:6" ht="15.75">
      <c r="A8" s="137" t="s">
        <v>0</v>
      </c>
      <c r="B8" s="137"/>
      <c r="C8" s="9"/>
      <c r="D8" s="9"/>
      <c r="E8" s="9"/>
      <c r="F8" s="6"/>
    </row>
    <row r="9" spans="1:6" ht="15.75">
      <c r="A9" s="9"/>
      <c r="B9" s="9" t="s">
        <v>89</v>
      </c>
      <c r="C9" s="9"/>
      <c r="D9" s="9"/>
      <c r="E9" s="9"/>
      <c r="F9" s="6"/>
    </row>
    <row r="10" spans="1:6" ht="15.75">
      <c r="A10" s="9"/>
      <c r="B10" s="137" t="s">
        <v>96</v>
      </c>
      <c r="C10" s="142"/>
      <c r="D10" s="142"/>
      <c r="E10" s="9"/>
      <c r="F10" s="14"/>
    </row>
    <row r="11" spans="1:6" ht="15.75" customHeight="1">
      <c r="A11" s="9"/>
      <c r="B11" s="137" t="s">
        <v>98</v>
      </c>
      <c r="C11" s="137"/>
      <c r="D11" s="137"/>
      <c r="E11" s="137"/>
      <c r="F11" s="134"/>
    </row>
    <row r="12" spans="1:6" ht="15.75">
      <c r="A12" s="9" t="s">
        <v>2</v>
      </c>
      <c r="B12" s="9" t="s">
        <v>99</v>
      </c>
      <c r="C12" s="9"/>
      <c r="D12" s="9"/>
      <c r="E12" s="9"/>
      <c r="F12" s="6"/>
    </row>
    <row r="13" spans="1:6" ht="53.25" customHeight="1">
      <c r="A13" s="54" t="s">
        <v>3</v>
      </c>
      <c r="B13" s="54" t="s">
        <v>4</v>
      </c>
      <c r="C13" s="54" t="s">
        <v>53</v>
      </c>
      <c r="D13" s="54" t="s">
        <v>43</v>
      </c>
      <c r="E13" s="54" t="s">
        <v>44</v>
      </c>
      <c r="F13" s="54" t="s">
        <v>53</v>
      </c>
    </row>
    <row r="14" spans="1:6" ht="15.75">
      <c r="A14" s="22">
        <v>1</v>
      </c>
      <c r="B14" s="23">
        <v>2</v>
      </c>
      <c r="C14" s="23">
        <v>3</v>
      </c>
      <c r="D14" s="23">
        <v>3</v>
      </c>
      <c r="E14" s="23">
        <v>4</v>
      </c>
      <c r="F14" s="23">
        <v>3</v>
      </c>
    </row>
    <row r="15" spans="1:6" ht="15.75">
      <c r="A15" s="24"/>
      <c r="B15" s="25" t="s">
        <v>69</v>
      </c>
      <c r="C15" s="32"/>
      <c r="D15" s="26"/>
      <c r="E15" s="26"/>
      <c r="F15" s="26"/>
    </row>
    <row r="16" spans="1:6" ht="15.75">
      <c r="A16" s="27">
        <v>1100</v>
      </c>
      <c r="B16" s="27" t="s">
        <v>64</v>
      </c>
      <c r="C16" s="94">
        <v>928.47</v>
      </c>
      <c r="D16" s="28">
        <v>0</v>
      </c>
      <c r="E16" s="28">
        <v>3074.97</v>
      </c>
      <c r="F16" s="28"/>
    </row>
    <row r="17" spans="1:6" ht="15.75" customHeight="1">
      <c r="A17" s="27">
        <v>1200</v>
      </c>
      <c r="B17" s="29" t="s">
        <v>63</v>
      </c>
      <c r="C17" s="94">
        <v>223.67</v>
      </c>
      <c r="D17" s="28">
        <v>0</v>
      </c>
      <c r="E17" s="28">
        <v>725.39</v>
      </c>
      <c r="F17" s="28"/>
    </row>
    <row r="18" spans="1:6" ht="15.75">
      <c r="A18" s="27">
        <v>2210</v>
      </c>
      <c r="B18" s="29" t="s">
        <v>27</v>
      </c>
      <c r="C18" s="94">
        <f>6.51/5</f>
        <v>1.302</v>
      </c>
      <c r="D18" s="28"/>
      <c r="E18" s="28"/>
      <c r="F18" s="28"/>
    </row>
    <row r="19" spans="1:6" ht="15.75">
      <c r="A19" s="27">
        <v>2222</v>
      </c>
      <c r="B19" s="29" t="s">
        <v>28</v>
      </c>
      <c r="C19" s="94">
        <f>48.82/5</f>
        <v>9.764</v>
      </c>
      <c r="D19" s="28">
        <v>0</v>
      </c>
      <c r="E19" s="28" t="e">
        <f>ROUND(#REF!/2,2)</f>
        <v>#REF!</v>
      </c>
      <c r="F19" s="28"/>
    </row>
    <row r="20" spans="1:6" ht="15.75">
      <c r="A20" s="27">
        <v>2223</v>
      </c>
      <c r="B20" s="29" t="s">
        <v>29</v>
      </c>
      <c r="C20" s="94">
        <f>22.91/5</f>
        <v>4.582</v>
      </c>
      <c r="D20" s="28">
        <v>0</v>
      </c>
      <c r="E20" s="28" t="e">
        <f>ROUND(#REF!/2,2)</f>
        <v>#REF!</v>
      </c>
      <c r="F20" s="28"/>
    </row>
    <row r="21" spans="1:6" ht="15.75">
      <c r="A21" s="27">
        <v>2243</v>
      </c>
      <c r="B21" s="29" t="s">
        <v>9</v>
      </c>
      <c r="C21" s="94">
        <f>5.15/5</f>
        <v>1.03</v>
      </c>
      <c r="D21" s="28">
        <v>0</v>
      </c>
      <c r="E21" s="28" t="e">
        <f>ROUND(#REF!/2,2)</f>
        <v>#REF!</v>
      </c>
      <c r="F21" s="28"/>
    </row>
    <row r="22" spans="1:6" ht="15.75">
      <c r="A22" s="27">
        <v>2244</v>
      </c>
      <c r="B22" s="29" t="s">
        <v>10</v>
      </c>
      <c r="C22" s="94">
        <f>30.51/5</f>
        <v>6.102</v>
      </c>
      <c r="D22" s="28"/>
      <c r="E22" s="28"/>
      <c r="F22" s="28"/>
    </row>
    <row r="23" spans="1:6" ht="15.75">
      <c r="A23" s="27">
        <v>2251</v>
      </c>
      <c r="B23" s="29" t="s">
        <v>61</v>
      </c>
      <c r="C23" s="94">
        <f>23.77/5</f>
        <v>4.754</v>
      </c>
      <c r="D23" s="28"/>
      <c r="E23" s="28"/>
      <c r="F23" s="28"/>
    </row>
    <row r="24" spans="1:6" ht="15.75" hidden="1">
      <c r="A24" s="27">
        <v>2261</v>
      </c>
      <c r="B24" s="29" t="s">
        <v>11</v>
      </c>
      <c r="C24" s="94">
        <v>0</v>
      </c>
      <c r="D24" s="28"/>
      <c r="E24" s="28"/>
      <c r="F24" s="28"/>
    </row>
    <row r="25" spans="1:6" ht="15.75" hidden="1">
      <c r="A25" s="27">
        <v>2264</v>
      </c>
      <c r="B25" s="29" t="s">
        <v>13</v>
      </c>
      <c r="C25" s="94">
        <v>0</v>
      </c>
      <c r="D25" s="28"/>
      <c r="E25" s="28"/>
      <c r="F25" s="28"/>
    </row>
    <row r="26" spans="1:6" ht="15.75">
      <c r="A26" s="27">
        <v>2279</v>
      </c>
      <c r="B26" s="29" t="s">
        <v>14</v>
      </c>
      <c r="C26" s="94">
        <f>39.05/5</f>
        <v>7.81</v>
      </c>
      <c r="D26" s="28"/>
      <c r="E26" s="28"/>
      <c r="F26" s="28"/>
    </row>
    <row r="27" spans="1:6" ht="15.75">
      <c r="A27" s="27">
        <v>2311</v>
      </c>
      <c r="B27" s="29" t="s">
        <v>74</v>
      </c>
      <c r="C27" s="94">
        <f>21.66/5</f>
        <v>4.332</v>
      </c>
      <c r="D27" s="28"/>
      <c r="E27" s="28"/>
      <c r="F27" s="28"/>
    </row>
    <row r="28" spans="1:6" ht="15.75">
      <c r="A28" s="27">
        <v>2312</v>
      </c>
      <c r="B28" s="29" t="s">
        <v>16</v>
      </c>
      <c r="C28" s="94">
        <f>104.14/5</f>
        <v>20.828</v>
      </c>
      <c r="D28" s="28"/>
      <c r="E28" s="28"/>
      <c r="F28" s="28"/>
    </row>
    <row r="29" spans="1:6" ht="15.75">
      <c r="A29" s="27">
        <v>2321</v>
      </c>
      <c r="B29" s="29" t="s">
        <v>17</v>
      </c>
      <c r="C29" s="94">
        <f>32.55/5</f>
        <v>6.51</v>
      </c>
      <c r="D29" s="28">
        <v>0</v>
      </c>
      <c r="E29" s="28" t="e">
        <f>ROUND(#REF!/2,2)</f>
        <v>#REF!</v>
      </c>
      <c r="F29" s="28"/>
    </row>
    <row r="30" spans="1:6" ht="15.75" hidden="1">
      <c r="A30" s="27">
        <v>2350</v>
      </c>
      <c r="B30" s="29" t="s">
        <v>19</v>
      </c>
      <c r="C30" s="94">
        <v>0</v>
      </c>
      <c r="D30" s="28">
        <v>0</v>
      </c>
      <c r="E30" s="28" t="e">
        <f>ROUND(#REF!/2,2)</f>
        <v>#REF!</v>
      </c>
      <c r="F30" s="28"/>
    </row>
    <row r="31" spans="1:6" ht="15.75" hidden="1">
      <c r="A31" s="27">
        <v>2361</v>
      </c>
      <c r="B31" s="29" t="s">
        <v>20</v>
      </c>
      <c r="C31" s="94">
        <v>0</v>
      </c>
      <c r="D31" s="28"/>
      <c r="E31" s="28"/>
      <c r="F31" s="28"/>
    </row>
    <row r="32" spans="1:6" ht="15.75">
      <c r="A32" s="27">
        <v>2370</v>
      </c>
      <c r="B32" s="29" t="s">
        <v>70</v>
      </c>
      <c r="C32" s="94">
        <f>47.78/5</f>
        <v>9.556000000000001</v>
      </c>
      <c r="D32" s="28"/>
      <c r="E32" s="28"/>
      <c r="F32" s="28"/>
    </row>
    <row r="33" spans="1:6" ht="15.75" hidden="1">
      <c r="A33" s="55">
        <v>2513</v>
      </c>
      <c r="B33" s="29" t="s">
        <v>22</v>
      </c>
      <c r="C33" s="94">
        <v>0</v>
      </c>
      <c r="D33" s="28"/>
      <c r="E33" s="28"/>
      <c r="F33" s="28"/>
    </row>
    <row r="34" spans="1:6" ht="15.75">
      <c r="A34" s="27">
        <v>5230</v>
      </c>
      <c r="B34" s="29" t="s">
        <v>58</v>
      </c>
      <c r="C34" s="94">
        <v>6.83</v>
      </c>
      <c r="D34" s="28">
        <v>0</v>
      </c>
      <c r="E34" s="28" t="e">
        <f>ROUND(#REF!/2,2)</f>
        <v>#REF!</v>
      </c>
      <c r="F34" s="28"/>
    </row>
    <row r="35" spans="1:6" ht="15.75">
      <c r="A35" s="27"/>
      <c r="B35" s="30" t="s">
        <v>66</v>
      </c>
      <c r="C35" s="31">
        <f>SUM(C16:C34)</f>
        <v>1235.54</v>
      </c>
      <c r="D35" s="31">
        <f>SUM(D16:D34)</f>
        <v>0</v>
      </c>
      <c r="E35" s="31" t="e">
        <f>SUM(E16:E34)</f>
        <v>#REF!</v>
      </c>
      <c r="F35" s="31"/>
    </row>
    <row r="36" spans="1:6" ht="15.75">
      <c r="A36" s="32"/>
      <c r="B36" s="27" t="s">
        <v>65</v>
      </c>
      <c r="C36" s="26"/>
      <c r="D36" s="26"/>
      <c r="E36" s="26"/>
      <c r="F36" s="26"/>
    </row>
    <row r="37" spans="1:6" ht="15.75">
      <c r="A37" s="27">
        <v>1100</v>
      </c>
      <c r="B37" s="27" t="s">
        <v>64</v>
      </c>
      <c r="C37" s="94">
        <v>160.75</v>
      </c>
      <c r="D37" s="28">
        <v>0</v>
      </c>
      <c r="E37" s="28" t="e">
        <f>ROUND(#REF!/2,2)</f>
        <v>#REF!</v>
      </c>
      <c r="F37" s="28"/>
    </row>
    <row r="38" spans="1:6" ht="16.5" customHeight="1">
      <c r="A38" s="27">
        <v>1200</v>
      </c>
      <c r="B38" s="29" t="s">
        <v>63</v>
      </c>
      <c r="C38" s="94">
        <v>38.72</v>
      </c>
      <c r="D38" s="28">
        <v>0</v>
      </c>
      <c r="E38" s="28" t="e">
        <f>ROUND(#REF!/2,2)</f>
        <v>#REF!</v>
      </c>
      <c r="F38" s="28"/>
    </row>
    <row r="39" spans="1:6" ht="15.75">
      <c r="A39" s="33">
        <v>2210</v>
      </c>
      <c r="B39" s="29" t="s">
        <v>27</v>
      </c>
      <c r="C39" s="94">
        <f>5.37/5</f>
        <v>1.074</v>
      </c>
      <c r="D39" s="28">
        <v>0</v>
      </c>
      <c r="E39" s="28" t="e">
        <f>ROUND(#REF!/2,2)</f>
        <v>#REF!</v>
      </c>
      <c r="F39" s="28"/>
    </row>
    <row r="40" spans="1:6" ht="15.75">
      <c r="A40" s="33">
        <v>2224</v>
      </c>
      <c r="B40" s="29" t="s">
        <v>87</v>
      </c>
      <c r="C40" s="94">
        <f>4.29/5</f>
        <v>0.858</v>
      </c>
      <c r="D40" s="28"/>
      <c r="E40" s="28"/>
      <c r="F40" s="28"/>
    </row>
    <row r="41" spans="1:6" ht="15.75">
      <c r="A41" s="27">
        <v>2230</v>
      </c>
      <c r="B41" s="29" t="s">
        <v>30</v>
      </c>
      <c r="C41" s="94">
        <f>15.92/5</f>
        <v>3.184</v>
      </c>
      <c r="D41" s="28">
        <v>0</v>
      </c>
      <c r="E41" s="28">
        <f aca="true" t="shared" si="0" ref="E41:E56">ROUND(C41/2,2)</f>
        <v>1.59</v>
      </c>
      <c r="F41" s="28"/>
    </row>
    <row r="42" spans="1:6" ht="15.75" hidden="1">
      <c r="A42" s="27">
        <v>2241</v>
      </c>
      <c r="B42" s="29" t="s">
        <v>7</v>
      </c>
      <c r="C42" s="94">
        <v>0</v>
      </c>
      <c r="D42" s="28">
        <v>0</v>
      </c>
      <c r="E42" s="28">
        <f t="shared" si="0"/>
        <v>0</v>
      </c>
      <c r="F42" s="28"/>
    </row>
    <row r="43" spans="1:6" ht="15.75">
      <c r="A43" s="27">
        <v>2242</v>
      </c>
      <c r="B43" s="29" t="s">
        <v>8</v>
      </c>
      <c r="C43" s="94">
        <f>1.87/5</f>
        <v>0.374</v>
      </c>
      <c r="D43" s="28">
        <v>0</v>
      </c>
      <c r="E43" s="28">
        <f t="shared" si="0"/>
        <v>0.19</v>
      </c>
      <c r="F43" s="28"/>
    </row>
    <row r="44" spans="1:6" ht="15.75">
      <c r="A44" s="27">
        <v>2243</v>
      </c>
      <c r="B44" s="29" t="s">
        <v>9</v>
      </c>
      <c r="C44" s="94">
        <f>12.04/5</f>
        <v>2.408</v>
      </c>
      <c r="D44" s="28">
        <v>0</v>
      </c>
      <c r="E44" s="28">
        <f t="shared" si="0"/>
        <v>1.2</v>
      </c>
      <c r="F44" s="28"/>
    </row>
    <row r="45" spans="1:6" ht="15.75">
      <c r="A45" s="27">
        <v>2244</v>
      </c>
      <c r="B45" s="29" t="s">
        <v>10</v>
      </c>
      <c r="C45" s="94">
        <f>4.7/5</f>
        <v>0.9400000000000001</v>
      </c>
      <c r="D45" s="28"/>
      <c r="E45" s="28"/>
      <c r="F45" s="28"/>
    </row>
    <row r="46" spans="1:6" ht="15.75">
      <c r="A46" s="27">
        <v>2247</v>
      </c>
      <c r="B46" s="25" t="s">
        <v>60</v>
      </c>
      <c r="C46" s="94">
        <f>1.36/5</f>
        <v>0.272</v>
      </c>
      <c r="D46" s="28">
        <v>0</v>
      </c>
      <c r="E46" s="28">
        <f t="shared" si="0"/>
        <v>0.14</v>
      </c>
      <c r="F46" s="28"/>
    </row>
    <row r="47" spans="1:6" ht="15.75">
      <c r="A47" s="27">
        <v>2251</v>
      </c>
      <c r="B47" s="29" t="s">
        <v>61</v>
      </c>
      <c r="C47" s="94">
        <f>26.66/5</f>
        <v>5.332</v>
      </c>
      <c r="D47" s="28">
        <v>0</v>
      </c>
      <c r="E47" s="28">
        <f t="shared" si="0"/>
        <v>2.67</v>
      </c>
      <c r="F47" s="28"/>
    </row>
    <row r="48" spans="1:6" ht="15.75">
      <c r="A48" s="27">
        <v>2259</v>
      </c>
      <c r="B48" s="29" t="s">
        <v>62</v>
      </c>
      <c r="C48" s="94">
        <f>13.24/5</f>
        <v>2.648</v>
      </c>
      <c r="D48" s="28">
        <v>0</v>
      </c>
      <c r="E48" s="28">
        <f t="shared" si="0"/>
        <v>1.32</v>
      </c>
      <c r="F48" s="28"/>
    </row>
    <row r="49" spans="1:6" ht="15.75">
      <c r="A49" s="27">
        <v>2261</v>
      </c>
      <c r="B49" s="29" t="s">
        <v>11</v>
      </c>
      <c r="C49" s="94">
        <f>11.79/5</f>
        <v>2.3579999999999997</v>
      </c>
      <c r="D49" s="28"/>
      <c r="E49" s="28"/>
      <c r="F49" s="28"/>
    </row>
    <row r="50" spans="1:6" ht="15.75">
      <c r="A50" s="27">
        <v>2262</v>
      </c>
      <c r="B50" s="29" t="s">
        <v>12</v>
      </c>
      <c r="C50" s="94">
        <f>9.25/5</f>
        <v>1.85</v>
      </c>
      <c r="D50" s="28">
        <v>0</v>
      </c>
      <c r="E50" s="28">
        <f t="shared" si="0"/>
        <v>0.93</v>
      </c>
      <c r="F50" s="28"/>
    </row>
    <row r="51" spans="1:6" ht="15.75">
      <c r="A51" s="27">
        <v>2264</v>
      </c>
      <c r="B51" s="29" t="s">
        <v>13</v>
      </c>
      <c r="C51" s="94">
        <f>0.59/5</f>
        <v>0.118</v>
      </c>
      <c r="D51" s="28">
        <v>0</v>
      </c>
      <c r="E51" s="28">
        <f t="shared" si="0"/>
        <v>0.06</v>
      </c>
      <c r="F51" s="28"/>
    </row>
    <row r="52" spans="1:6" ht="15.75">
      <c r="A52" s="27">
        <v>2279</v>
      </c>
      <c r="B52" s="29" t="s">
        <v>14</v>
      </c>
      <c r="C52" s="94">
        <f>6.2/5</f>
        <v>1.24</v>
      </c>
      <c r="D52" s="28">
        <v>0</v>
      </c>
      <c r="E52" s="28">
        <f t="shared" si="0"/>
        <v>0.62</v>
      </c>
      <c r="F52" s="28"/>
    </row>
    <row r="53" spans="1:6" ht="15.75">
      <c r="A53" s="27">
        <v>2311</v>
      </c>
      <c r="B53" s="29" t="s">
        <v>15</v>
      </c>
      <c r="C53" s="94">
        <f>3.36/5</f>
        <v>0.6719999999999999</v>
      </c>
      <c r="D53" s="28">
        <v>0</v>
      </c>
      <c r="E53" s="28">
        <f t="shared" si="0"/>
        <v>0.34</v>
      </c>
      <c r="F53" s="28"/>
    </row>
    <row r="54" spans="1:6" ht="15.75">
      <c r="A54" s="27">
        <v>2312</v>
      </c>
      <c r="B54" s="29" t="s">
        <v>16</v>
      </c>
      <c r="C54" s="94">
        <f>1.88/5+0.004</f>
        <v>0.38</v>
      </c>
      <c r="D54" s="28">
        <v>0</v>
      </c>
      <c r="E54" s="28">
        <f t="shared" si="0"/>
        <v>0.19</v>
      </c>
      <c r="F54" s="28"/>
    </row>
    <row r="55" spans="1:6" ht="15.75">
      <c r="A55" s="27">
        <v>2322</v>
      </c>
      <c r="B55" s="29" t="s">
        <v>18</v>
      </c>
      <c r="C55" s="94">
        <f>9.83/5</f>
        <v>1.966</v>
      </c>
      <c r="D55" s="28">
        <v>0</v>
      </c>
      <c r="E55" s="28">
        <f t="shared" si="0"/>
        <v>0.98</v>
      </c>
      <c r="F55" s="28"/>
    </row>
    <row r="56" spans="1:6" ht="15.75">
      <c r="A56" s="27">
        <v>2350</v>
      </c>
      <c r="B56" s="29" t="s">
        <v>19</v>
      </c>
      <c r="C56" s="94">
        <f>20.98/5</f>
        <v>4.196</v>
      </c>
      <c r="D56" s="28">
        <v>0</v>
      </c>
      <c r="E56" s="28">
        <f t="shared" si="0"/>
        <v>2.1</v>
      </c>
      <c r="F56" s="28"/>
    </row>
    <row r="57" spans="1:6" ht="15.75" hidden="1">
      <c r="A57" s="27">
        <v>2361</v>
      </c>
      <c r="B57" s="29" t="s">
        <v>20</v>
      </c>
      <c r="C57" s="94">
        <v>0</v>
      </c>
      <c r="D57" s="28"/>
      <c r="E57" s="28"/>
      <c r="F57" s="28"/>
    </row>
    <row r="58" spans="1:6" ht="15.75">
      <c r="A58" s="27">
        <v>2370</v>
      </c>
      <c r="B58" s="29" t="s">
        <v>70</v>
      </c>
      <c r="C58" s="94">
        <f>8.9/5</f>
        <v>1.78</v>
      </c>
      <c r="D58" s="28"/>
      <c r="E58" s="28"/>
      <c r="F58" s="28"/>
    </row>
    <row r="59" spans="1:6" ht="15.75">
      <c r="A59" s="27">
        <v>2400</v>
      </c>
      <c r="B59" s="29" t="s">
        <v>31</v>
      </c>
      <c r="C59" s="94">
        <f>0.61/5</f>
        <v>0.122</v>
      </c>
      <c r="D59" s="28"/>
      <c r="E59" s="28"/>
      <c r="F59" s="28"/>
    </row>
    <row r="60" spans="1:6" ht="15.75" customHeight="1">
      <c r="A60" s="27">
        <v>2513</v>
      </c>
      <c r="B60" s="29" t="s">
        <v>22</v>
      </c>
      <c r="C60" s="94">
        <f>4.15/5</f>
        <v>0.8300000000000001</v>
      </c>
      <c r="D60" s="28"/>
      <c r="E60" s="28"/>
      <c r="F60" s="28"/>
    </row>
    <row r="61" spans="1:6" ht="15.75" hidden="1">
      <c r="A61" s="27">
        <v>2515</v>
      </c>
      <c r="B61" s="29" t="s">
        <v>59</v>
      </c>
      <c r="C61" s="94">
        <v>0</v>
      </c>
      <c r="D61" s="28"/>
      <c r="E61" s="28"/>
      <c r="F61" s="28"/>
    </row>
    <row r="62" spans="1:6" ht="15.75">
      <c r="A62" s="27">
        <v>2519</v>
      </c>
      <c r="B62" s="29" t="s">
        <v>24</v>
      </c>
      <c r="C62" s="94">
        <f>33.12/5</f>
        <v>6.624</v>
      </c>
      <c r="D62" s="28"/>
      <c r="E62" s="28"/>
      <c r="F62" s="28"/>
    </row>
    <row r="63" spans="1:6" ht="15.75">
      <c r="A63" s="27">
        <v>5232</v>
      </c>
      <c r="B63" s="29" t="s">
        <v>23</v>
      </c>
      <c r="C63" s="94">
        <f>28.14/5</f>
        <v>5.628</v>
      </c>
      <c r="D63" s="28"/>
      <c r="E63" s="28"/>
      <c r="F63" s="28"/>
    </row>
    <row r="64" spans="1:6" ht="15.75" hidden="1">
      <c r="A64" s="27">
        <v>5240</v>
      </c>
      <c r="B64" s="29" t="s">
        <v>25</v>
      </c>
      <c r="C64" s="88">
        <v>0</v>
      </c>
      <c r="D64" s="28"/>
      <c r="E64" s="28"/>
      <c r="F64" s="28"/>
    </row>
    <row r="65" spans="1:6" ht="15.75" hidden="1">
      <c r="A65" s="27">
        <v>5250</v>
      </c>
      <c r="B65" s="29" t="s">
        <v>26</v>
      </c>
      <c r="C65" s="88">
        <v>0</v>
      </c>
      <c r="D65" s="28"/>
      <c r="E65" s="28"/>
      <c r="F65" s="28"/>
    </row>
    <row r="66" spans="1:6" ht="15.75">
      <c r="A66" s="32"/>
      <c r="B66" s="34" t="s">
        <v>67</v>
      </c>
      <c r="C66" s="31">
        <f>SUM(C37:C65)</f>
        <v>244.324</v>
      </c>
      <c r="D66" s="31">
        <f>SUM(D37:D56)</f>
        <v>0</v>
      </c>
      <c r="E66" s="31" t="e">
        <f>SUM(E37:E56)</f>
        <v>#REF!</v>
      </c>
      <c r="F66" s="31"/>
    </row>
    <row r="67" spans="1:6" ht="15.75">
      <c r="A67" s="32"/>
      <c r="B67" s="34" t="s">
        <v>32</v>
      </c>
      <c r="C67" s="31">
        <f>C35+C66</f>
        <v>1479.864</v>
      </c>
      <c r="D67" s="31" t="e">
        <f>#REF!+D28</f>
        <v>#REF!</v>
      </c>
      <c r="E67" s="31" t="e">
        <f>#REF!+E28</f>
        <v>#REF!</v>
      </c>
      <c r="F67" s="31"/>
    </row>
    <row r="68" spans="1:6" ht="15.75" hidden="1">
      <c r="A68" s="27">
        <v>6290</v>
      </c>
      <c r="B68" s="29" t="s">
        <v>34</v>
      </c>
      <c r="C68" s="28"/>
      <c r="D68" s="46">
        <v>0</v>
      </c>
      <c r="E68" s="28">
        <f>ROUND(C68/1007*504,2)</f>
        <v>0</v>
      </c>
      <c r="F68" s="28"/>
    </row>
    <row r="69" spans="1:6" ht="15.75" hidden="1">
      <c r="A69" s="27">
        <v>5250</v>
      </c>
      <c r="B69" s="29" t="s">
        <v>26</v>
      </c>
      <c r="C69" s="45"/>
      <c r="D69" s="29"/>
      <c r="E69" s="29"/>
      <c r="F69" s="45"/>
    </row>
    <row r="70" spans="1:6" ht="15.75" hidden="1">
      <c r="A70" s="32"/>
      <c r="B70" s="34" t="s">
        <v>32</v>
      </c>
      <c r="C70" s="31">
        <f>C67+C68+C69</f>
        <v>1479.864</v>
      </c>
      <c r="D70" s="47" t="e">
        <f>#REF!+D28</f>
        <v>#REF!</v>
      </c>
      <c r="E70" s="31" t="e">
        <f>#REF!+E28</f>
        <v>#REF!</v>
      </c>
      <c r="F70" s="31"/>
    </row>
    <row r="71" spans="1:6" ht="15.75">
      <c r="A71" s="35"/>
      <c r="B71" s="20"/>
      <c r="D71" s="20"/>
      <c r="E71" s="20"/>
      <c r="F71" s="6"/>
    </row>
    <row r="72" spans="1:6" ht="15.75">
      <c r="A72" s="137" t="s">
        <v>45</v>
      </c>
      <c r="B72" s="137"/>
      <c r="C72" s="108">
        <v>1</v>
      </c>
      <c r="D72" s="21">
        <v>0</v>
      </c>
      <c r="E72" s="21">
        <v>504</v>
      </c>
      <c r="F72" s="21"/>
    </row>
    <row r="73" spans="1:6" ht="15.75">
      <c r="A73" s="137" t="s">
        <v>46</v>
      </c>
      <c r="B73" s="137"/>
      <c r="C73" s="109">
        <f>C70/C72</f>
        <v>1479.864</v>
      </c>
      <c r="D73" s="37">
        <v>0</v>
      </c>
      <c r="E73" s="37" t="e">
        <f>E70/E72</f>
        <v>#REF!</v>
      </c>
      <c r="F73" s="37"/>
    </row>
    <row r="74" spans="1:6" ht="15.75">
      <c r="A74" s="9"/>
      <c r="B74" s="9"/>
      <c r="C74" s="36"/>
      <c r="D74" s="36"/>
      <c r="E74" s="36"/>
      <c r="F74" s="36"/>
    </row>
    <row r="75" spans="1:6" ht="15.75">
      <c r="A75" s="139" t="s">
        <v>37</v>
      </c>
      <c r="B75" s="140"/>
      <c r="C75" s="39"/>
      <c r="D75" s="39"/>
      <c r="E75" s="39"/>
      <c r="F75" s="39"/>
    </row>
    <row r="76" spans="1:6" ht="15.75">
      <c r="A76" s="139" t="s">
        <v>54</v>
      </c>
      <c r="B76" s="140"/>
      <c r="C76" s="40"/>
      <c r="D76" s="40"/>
      <c r="E76" s="39"/>
      <c r="F76" s="39"/>
    </row>
    <row r="77" spans="1:6" ht="15.75">
      <c r="A77" s="17"/>
      <c r="B77" s="17"/>
      <c r="C77" s="17"/>
      <c r="D77" s="17"/>
      <c r="E77" s="17"/>
      <c r="F77" s="17"/>
    </row>
    <row r="78" spans="1:6" ht="15.75">
      <c r="A78" s="17" t="s">
        <v>38</v>
      </c>
      <c r="B78" s="17"/>
      <c r="C78" s="17"/>
      <c r="D78" s="17"/>
      <c r="E78" s="17"/>
      <c r="F78" s="17"/>
    </row>
    <row r="79" spans="1:6" ht="15.75">
      <c r="A79" s="17"/>
      <c r="B79" s="17"/>
      <c r="C79" s="17"/>
      <c r="D79" s="17"/>
      <c r="E79" s="17"/>
      <c r="F79" s="17"/>
    </row>
    <row r="80" spans="1:6" ht="15.75">
      <c r="A80" s="17" t="s">
        <v>47</v>
      </c>
      <c r="B80" s="18"/>
      <c r="C80" s="18"/>
      <c r="D80" s="18"/>
      <c r="E80" s="18"/>
      <c r="F80" s="18"/>
    </row>
    <row r="81" spans="1:6" ht="15.75">
      <c r="A81" s="17"/>
      <c r="B81" s="97"/>
      <c r="C81" s="19"/>
      <c r="D81" s="19"/>
      <c r="E81" s="17"/>
      <c r="F81" s="17"/>
    </row>
    <row r="82" spans="1:6" ht="15.75">
      <c r="A82" s="17"/>
      <c r="B82" s="19"/>
      <c r="C82" s="17"/>
      <c r="D82" s="2"/>
      <c r="E82" s="2"/>
      <c r="F82" s="2"/>
    </row>
    <row r="83" spans="3:6" ht="15">
      <c r="C83" s="101"/>
      <c r="D83" s="1"/>
      <c r="E83" s="1"/>
      <c r="F83" s="1"/>
    </row>
    <row r="84" spans="4:6" ht="15">
      <c r="D84" s="3"/>
      <c r="E84" s="3"/>
      <c r="F84" s="3"/>
    </row>
    <row r="85" spans="4:6" ht="15">
      <c r="D85" s="3"/>
      <c r="E85" s="3"/>
      <c r="F85" s="3"/>
    </row>
  </sheetData>
  <sheetProtection/>
  <mergeCells count="13">
    <mergeCell ref="B1:F1"/>
    <mergeCell ref="B2:F2"/>
    <mergeCell ref="B3:F3"/>
    <mergeCell ref="A6:F6"/>
    <mergeCell ref="A7:B7"/>
    <mergeCell ref="A8:B8"/>
    <mergeCell ref="B5:F5"/>
    <mergeCell ref="B10:D10"/>
    <mergeCell ref="B11:F11"/>
    <mergeCell ref="A72:B72"/>
    <mergeCell ref="A73:B73"/>
    <mergeCell ref="A75:B75"/>
    <mergeCell ref="A76:B7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view="pageLayout" zoomScale="90" zoomScaleNormal="90" zoomScalePageLayoutView="90" workbookViewId="0" topLeftCell="A61">
      <selection activeCell="B11" sqref="B11"/>
    </sheetView>
  </sheetViews>
  <sheetFormatPr defaultColWidth="9.140625" defaultRowHeight="12.75"/>
  <cols>
    <col min="1" max="1" width="12.28125" style="6" customWidth="1"/>
    <col min="2" max="2" width="98.28125" style="6" customWidth="1"/>
    <col min="3" max="3" width="36.28125" style="6" bestFit="1" customWidth="1"/>
  </cols>
  <sheetData>
    <row r="1" spans="1:3" ht="15.75" customHeight="1">
      <c r="A1" s="12"/>
      <c r="B1" s="133" t="s">
        <v>35</v>
      </c>
      <c r="C1" s="134"/>
    </row>
    <row r="2" spans="1:3" ht="15.75">
      <c r="A2" s="12"/>
      <c r="B2" s="135" t="s">
        <v>39</v>
      </c>
      <c r="C2" s="136"/>
    </row>
    <row r="3" spans="1:3" ht="15.75">
      <c r="A3" s="12"/>
      <c r="B3" s="131" t="s">
        <v>57</v>
      </c>
      <c r="C3" s="132"/>
    </row>
    <row r="4" spans="1:3" ht="15.75">
      <c r="A4" s="12"/>
      <c r="B4" s="11"/>
      <c r="C4" s="97"/>
    </row>
    <row r="5" spans="1:3" ht="15.75">
      <c r="A5" s="12"/>
      <c r="B5" s="15"/>
      <c r="C5" s="11" t="s">
        <v>131</v>
      </c>
    </row>
    <row r="6" spans="1:3" ht="15.75">
      <c r="A6" s="12"/>
      <c r="B6" s="11"/>
      <c r="C6" s="11"/>
    </row>
    <row r="7" spans="1:3" ht="15.75">
      <c r="A7" s="138" t="s">
        <v>5</v>
      </c>
      <c r="B7" s="138"/>
      <c r="C7" s="138"/>
    </row>
    <row r="8" spans="1:2" ht="15.75">
      <c r="A8" s="98"/>
      <c r="B8" s="98"/>
    </row>
    <row r="9" spans="1:2" ht="15" customHeight="1">
      <c r="A9" s="137" t="s">
        <v>1</v>
      </c>
      <c r="B9" s="137"/>
    </row>
    <row r="10" spans="1:2" ht="15" customHeight="1">
      <c r="A10" s="137" t="s">
        <v>0</v>
      </c>
      <c r="B10" s="137"/>
    </row>
    <row r="11" spans="1:2" ht="15" customHeight="1">
      <c r="A11" s="9"/>
      <c r="B11" s="9" t="s">
        <v>148</v>
      </c>
    </row>
    <row r="12" spans="1:3" ht="15" customHeight="1">
      <c r="A12" s="9"/>
      <c r="B12" s="9" t="s">
        <v>56</v>
      </c>
      <c r="C12" s="14"/>
    </row>
    <row r="13" spans="1:2" ht="15" customHeight="1">
      <c r="A13" s="9" t="s">
        <v>2</v>
      </c>
      <c r="B13" s="9" t="s">
        <v>99</v>
      </c>
    </row>
    <row r="14" spans="1:3" ht="66" customHeight="1">
      <c r="A14" s="54" t="s">
        <v>3</v>
      </c>
      <c r="B14" s="54" t="s">
        <v>4</v>
      </c>
      <c r="C14" s="54" t="s">
        <v>53</v>
      </c>
    </row>
    <row r="15" spans="1:3" ht="15" customHeight="1">
      <c r="A15" s="22">
        <v>1</v>
      </c>
      <c r="B15" s="23">
        <v>2</v>
      </c>
      <c r="C15" s="23">
        <v>3</v>
      </c>
    </row>
    <row r="16" spans="1:3" ht="15.75">
      <c r="A16" s="24"/>
      <c r="B16" s="25" t="s">
        <v>69</v>
      </c>
      <c r="C16" s="26"/>
    </row>
    <row r="17" spans="1:3" ht="15" customHeight="1">
      <c r="A17" s="27">
        <v>1100</v>
      </c>
      <c r="B17" s="27" t="s">
        <v>64</v>
      </c>
      <c r="C17" s="28">
        <v>1419.66</v>
      </c>
    </row>
    <row r="18" spans="1:3" ht="15.75" customHeight="1">
      <c r="A18" s="27">
        <v>1200</v>
      </c>
      <c r="B18" s="29" t="s">
        <v>63</v>
      </c>
      <c r="C18" s="28">
        <v>341.99</v>
      </c>
    </row>
    <row r="19" spans="1:3" ht="15.75">
      <c r="A19" s="27">
        <v>2210</v>
      </c>
      <c r="B19" s="29" t="s">
        <v>27</v>
      </c>
      <c r="C19" s="28">
        <v>8.8</v>
      </c>
    </row>
    <row r="20" spans="1:3" ht="15" customHeight="1">
      <c r="A20" s="27">
        <v>2222</v>
      </c>
      <c r="B20" s="29" t="s">
        <v>28</v>
      </c>
      <c r="C20" s="28">
        <v>24.1</v>
      </c>
    </row>
    <row r="21" spans="1:3" ht="15" customHeight="1">
      <c r="A21" s="27">
        <v>2223</v>
      </c>
      <c r="B21" s="29" t="s">
        <v>29</v>
      </c>
      <c r="C21" s="28">
        <v>28.15</v>
      </c>
    </row>
    <row r="22" spans="1:3" ht="15" customHeight="1">
      <c r="A22" s="27">
        <v>2243</v>
      </c>
      <c r="B22" s="29" t="s">
        <v>9</v>
      </c>
      <c r="C22" s="28">
        <v>26.3</v>
      </c>
    </row>
    <row r="23" spans="1:3" ht="15" customHeight="1">
      <c r="A23" s="27">
        <v>2244</v>
      </c>
      <c r="B23" s="29" t="s">
        <v>10</v>
      </c>
      <c r="C23" s="28">
        <v>31.8</v>
      </c>
    </row>
    <row r="24" spans="1:3" ht="15" customHeight="1">
      <c r="A24" s="27">
        <v>2251</v>
      </c>
      <c r="B24" s="29" t="s">
        <v>61</v>
      </c>
      <c r="C24" s="28">
        <v>16.6</v>
      </c>
    </row>
    <row r="25" spans="1:3" ht="15" customHeight="1" hidden="1">
      <c r="A25" s="27">
        <v>2261</v>
      </c>
      <c r="B25" s="29" t="s">
        <v>11</v>
      </c>
      <c r="C25" s="28"/>
    </row>
    <row r="26" spans="1:3" ht="15" customHeight="1">
      <c r="A26" s="27">
        <v>2279</v>
      </c>
      <c r="B26" s="29" t="s">
        <v>14</v>
      </c>
      <c r="C26" s="28">
        <v>5.2</v>
      </c>
    </row>
    <row r="27" spans="1:3" ht="15" customHeight="1">
      <c r="A27" s="27">
        <v>2311</v>
      </c>
      <c r="B27" s="29" t="s">
        <v>74</v>
      </c>
      <c r="C27" s="28">
        <v>15.85</v>
      </c>
    </row>
    <row r="28" spans="1:3" ht="15" customHeight="1">
      <c r="A28" s="27">
        <v>2312</v>
      </c>
      <c r="B28" s="29" t="s">
        <v>16</v>
      </c>
      <c r="C28" s="28">
        <v>25.75</v>
      </c>
    </row>
    <row r="29" spans="1:3" ht="15" customHeight="1">
      <c r="A29" s="27">
        <v>2321</v>
      </c>
      <c r="B29" s="29" t="s">
        <v>17</v>
      </c>
      <c r="C29" s="28">
        <v>28.9</v>
      </c>
    </row>
    <row r="30" spans="1:3" ht="15" customHeight="1" hidden="1">
      <c r="A30" s="27">
        <v>2350</v>
      </c>
      <c r="B30" s="29" t="s">
        <v>19</v>
      </c>
      <c r="C30" s="28"/>
    </row>
    <row r="31" spans="1:3" ht="15" customHeight="1" hidden="1">
      <c r="A31" s="27">
        <v>2361</v>
      </c>
      <c r="B31" s="29" t="s">
        <v>20</v>
      </c>
      <c r="C31" s="28"/>
    </row>
    <row r="32" spans="1:3" ht="15" customHeight="1">
      <c r="A32" s="27">
        <v>2370</v>
      </c>
      <c r="B32" s="29" t="s">
        <v>70</v>
      </c>
      <c r="C32" s="28">
        <v>109.75</v>
      </c>
    </row>
    <row r="33" spans="1:3" ht="15" customHeight="1" hidden="1">
      <c r="A33" s="55">
        <v>2513</v>
      </c>
      <c r="B33" s="29" t="s">
        <v>22</v>
      </c>
      <c r="C33" s="28"/>
    </row>
    <row r="34" spans="1:3" ht="15" customHeight="1">
      <c r="A34" s="27">
        <v>5230</v>
      </c>
      <c r="B34" s="29" t="s">
        <v>58</v>
      </c>
      <c r="C34" s="28">
        <v>34.75</v>
      </c>
    </row>
    <row r="35" spans="1:3" ht="15" customHeight="1">
      <c r="A35" s="27"/>
      <c r="B35" s="30" t="s">
        <v>66</v>
      </c>
      <c r="C35" s="31">
        <f>SUM(C17:C34)</f>
        <v>2117.6</v>
      </c>
    </row>
    <row r="36" spans="1:3" ht="15" customHeight="1">
      <c r="A36" s="32"/>
      <c r="B36" s="27" t="s">
        <v>65</v>
      </c>
      <c r="C36" s="26"/>
    </row>
    <row r="37" spans="1:3" ht="15" customHeight="1">
      <c r="A37" s="27">
        <v>1100</v>
      </c>
      <c r="B37" s="27" t="s">
        <v>64</v>
      </c>
      <c r="C37" s="28">
        <v>227.25</v>
      </c>
    </row>
    <row r="38" spans="1:3" ht="15" customHeight="1">
      <c r="A38" s="27">
        <v>1200</v>
      </c>
      <c r="B38" s="29" t="s">
        <v>63</v>
      </c>
      <c r="C38" s="28">
        <v>54.75</v>
      </c>
    </row>
    <row r="39" spans="1:3" ht="15" customHeight="1">
      <c r="A39" s="33">
        <v>2210</v>
      </c>
      <c r="B39" s="29" t="s">
        <v>27</v>
      </c>
      <c r="C39" s="28">
        <v>10.85</v>
      </c>
    </row>
    <row r="40" spans="1:3" ht="14.25" customHeight="1">
      <c r="A40" s="27">
        <v>2230</v>
      </c>
      <c r="B40" s="29" t="s">
        <v>30</v>
      </c>
      <c r="C40" s="28">
        <v>11</v>
      </c>
    </row>
    <row r="41" spans="1:3" ht="15" customHeight="1">
      <c r="A41" s="27">
        <v>2241</v>
      </c>
      <c r="B41" s="29" t="s">
        <v>7</v>
      </c>
      <c r="C41" s="28">
        <v>15.05</v>
      </c>
    </row>
    <row r="42" spans="1:3" ht="15" customHeight="1">
      <c r="A42" s="27">
        <v>2242</v>
      </c>
      <c r="B42" s="29" t="s">
        <v>8</v>
      </c>
      <c r="C42" s="28">
        <v>9.65</v>
      </c>
    </row>
    <row r="43" spans="1:3" ht="15" customHeight="1">
      <c r="A43" s="27">
        <v>2243</v>
      </c>
      <c r="B43" s="29" t="s">
        <v>9</v>
      </c>
      <c r="C43" s="28">
        <v>15.85</v>
      </c>
    </row>
    <row r="44" spans="1:3" ht="15.75">
      <c r="A44" s="27">
        <v>2247</v>
      </c>
      <c r="B44" s="25" t="s">
        <v>60</v>
      </c>
      <c r="C44" s="28">
        <v>0.9</v>
      </c>
    </row>
    <row r="45" spans="1:3" ht="15" customHeight="1">
      <c r="A45" s="27">
        <v>2251</v>
      </c>
      <c r="B45" s="29" t="s">
        <v>61</v>
      </c>
      <c r="C45" s="28">
        <v>27.3</v>
      </c>
    </row>
    <row r="46" spans="1:3" ht="15" customHeight="1">
      <c r="A46" s="27">
        <v>2259</v>
      </c>
      <c r="B46" s="29" t="s">
        <v>62</v>
      </c>
      <c r="C46" s="28">
        <v>2.85</v>
      </c>
    </row>
    <row r="47" spans="1:3" ht="15" customHeight="1">
      <c r="A47" s="27">
        <v>2262</v>
      </c>
      <c r="B47" s="29" t="s">
        <v>12</v>
      </c>
      <c r="C47" s="28">
        <v>14.85</v>
      </c>
    </row>
    <row r="48" spans="1:3" ht="15.75">
      <c r="A48" s="27">
        <v>2264</v>
      </c>
      <c r="B48" s="29" t="s">
        <v>13</v>
      </c>
      <c r="C48" s="28">
        <v>0.1</v>
      </c>
    </row>
    <row r="49" spans="1:3" ht="15" customHeight="1">
      <c r="A49" s="27">
        <v>2279</v>
      </c>
      <c r="B49" s="29" t="s">
        <v>14</v>
      </c>
      <c r="C49" s="28">
        <v>0.9</v>
      </c>
    </row>
    <row r="50" spans="1:3" ht="15" customHeight="1">
      <c r="A50" s="27">
        <v>2311</v>
      </c>
      <c r="B50" s="29" t="s">
        <v>15</v>
      </c>
      <c r="C50" s="28">
        <v>14.55</v>
      </c>
    </row>
    <row r="51" spans="1:3" ht="15" customHeight="1">
      <c r="A51" s="27">
        <v>2312</v>
      </c>
      <c r="B51" s="29" t="s">
        <v>16</v>
      </c>
      <c r="C51" s="28">
        <v>21.9</v>
      </c>
    </row>
    <row r="52" spans="1:3" ht="15" customHeight="1">
      <c r="A52" s="27">
        <v>2322</v>
      </c>
      <c r="B52" s="29" t="s">
        <v>18</v>
      </c>
      <c r="C52" s="28">
        <v>9.9</v>
      </c>
    </row>
    <row r="53" spans="1:3" ht="15" customHeight="1">
      <c r="A53" s="27">
        <v>2350</v>
      </c>
      <c r="B53" s="29" t="s">
        <v>19</v>
      </c>
      <c r="C53" s="28">
        <v>50.85</v>
      </c>
    </row>
    <row r="54" spans="1:3" ht="15" customHeight="1">
      <c r="A54" s="27">
        <v>2361</v>
      </c>
      <c r="B54" s="29" t="s">
        <v>20</v>
      </c>
      <c r="C54" s="28">
        <v>26.35</v>
      </c>
    </row>
    <row r="55" spans="1:3" ht="15.75">
      <c r="A55" s="27">
        <v>2370</v>
      </c>
      <c r="B55" s="29" t="s">
        <v>21</v>
      </c>
      <c r="C55" s="28">
        <v>23.5</v>
      </c>
    </row>
    <row r="56" spans="1:3" ht="15.75">
      <c r="A56" s="27">
        <v>2400</v>
      </c>
      <c r="B56" s="29" t="s">
        <v>31</v>
      </c>
      <c r="C56" s="28">
        <v>1.15</v>
      </c>
    </row>
    <row r="57" spans="1:3" ht="15.75" customHeight="1">
      <c r="A57" s="27">
        <v>2515</v>
      </c>
      <c r="B57" s="29" t="s">
        <v>59</v>
      </c>
      <c r="C57" s="28">
        <v>8.2</v>
      </c>
    </row>
    <row r="58" spans="1:3" ht="15" customHeight="1">
      <c r="A58" s="27">
        <v>2519</v>
      </c>
      <c r="B58" s="29" t="s">
        <v>24</v>
      </c>
      <c r="C58" s="28">
        <v>15.15</v>
      </c>
    </row>
    <row r="59" spans="1:3" ht="15.75" customHeight="1" hidden="1">
      <c r="A59" s="27">
        <v>6240</v>
      </c>
      <c r="B59" s="29" t="s">
        <v>33</v>
      </c>
      <c r="C59" s="28"/>
    </row>
    <row r="60" spans="1:3" ht="15.75" customHeight="1" hidden="1">
      <c r="A60" s="27">
        <v>6290</v>
      </c>
      <c r="B60" s="29" t="s">
        <v>34</v>
      </c>
      <c r="C60" s="28"/>
    </row>
    <row r="61" spans="1:3" ht="15.75">
      <c r="A61" s="27">
        <v>5232</v>
      </c>
      <c r="B61" s="29" t="s">
        <v>23</v>
      </c>
      <c r="C61" s="28">
        <v>57.95</v>
      </c>
    </row>
    <row r="62" spans="1:3" ht="15" customHeight="1" hidden="1">
      <c r="A62" s="27">
        <v>5240</v>
      </c>
      <c r="B62" s="29" t="s">
        <v>25</v>
      </c>
      <c r="C62" s="28"/>
    </row>
    <row r="63" spans="1:3" ht="15" customHeight="1">
      <c r="A63" s="27">
        <v>5250</v>
      </c>
      <c r="B63" s="29" t="s">
        <v>26</v>
      </c>
      <c r="C63" s="28">
        <v>22.7</v>
      </c>
    </row>
    <row r="64" spans="1:3" ht="15" customHeight="1">
      <c r="A64" s="32"/>
      <c r="B64" s="34" t="s">
        <v>67</v>
      </c>
      <c r="C64" s="31">
        <f>SUM(C37:C63)</f>
        <v>643.5000000000001</v>
      </c>
    </row>
    <row r="65" spans="1:3" ht="15.75">
      <c r="A65" s="32"/>
      <c r="B65" s="34" t="s">
        <v>68</v>
      </c>
      <c r="C65" s="31">
        <f>C64+C35</f>
        <v>2761.1</v>
      </c>
    </row>
    <row r="66" spans="1:3" ht="17.25" customHeight="1">
      <c r="A66" s="64"/>
      <c r="B66" s="41"/>
      <c r="C66" s="61"/>
    </row>
    <row r="67" spans="1:3" ht="15" customHeight="1">
      <c r="A67" s="128" t="s">
        <v>45</v>
      </c>
      <c r="B67" s="128"/>
      <c r="C67" s="103">
        <v>5</v>
      </c>
    </row>
    <row r="68" spans="1:3" ht="15.75">
      <c r="A68" s="128" t="s">
        <v>46</v>
      </c>
      <c r="B68" s="128"/>
      <c r="C68" s="107">
        <f>C65/C67</f>
        <v>552.22</v>
      </c>
    </row>
    <row r="69" spans="1:3" ht="15.75">
      <c r="A69" s="42"/>
      <c r="B69" s="42"/>
      <c r="C69" s="44"/>
    </row>
    <row r="70" spans="1:3" s="2" customFormat="1" ht="15.75">
      <c r="A70" s="129" t="s">
        <v>37</v>
      </c>
      <c r="B70" s="130"/>
      <c r="C70" s="53"/>
    </row>
    <row r="71" spans="1:3" s="2" customFormat="1" ht="15.75">
      <c r="A71" s="129" t="s">
        <v>55</v>
      </c>
      <c r="B71" s="130"/>
      <c r="C71" s="53"/>
    </row>
    <row r="72" spans="1:3" s="2" customFormat="1" ht="15.75">
      <c r="A72" s="17"/>
      <c r="B72" s="17"/>
      <c r="C72" s="17"/>
    </row>
    <row r="73" spans="1:3" s="2" customFormat="1" ht="15.75">
      <c r="A73" s="17" t="s">
        <v>38</v>
      </c>
      <c r="B73" s="17"/>
      <c r="C73" s="17"/>
    </row>
    <row r="74" spans="1:3" s="2" customFormat="1" ht="15.75">
      <c r="A74" s="17"/>
      <c r="B74" s="17"/>
      <c r="C74" s="17"/>
    </row>
    <row r="75" spans="1:3" s="2" customFormat="1" ht="15.75">
      <c r="A75" s="17" t="s">
        <v>47</v>
      </c>
      <c r="B75" s="18"/>
      <c r="C75" s="18"/>
    </row>
    <row r="76" spans="1:3" s="2" customFormat="1" ht="13.5" customHeight="1">
      <c r="A76" s="17"/>
      <c r="B76" s="97"/>
      <c r="C76" s="17"/>
    </row>
    <row r="77" spans="1:3" s="2" customFormat="1" ht="13.5" customHeight="1">
      <c r="A77" s="17"/>
      <c r="B77" s="19"/>
      <c r="C77" s="17"/>
    </row>
    <row r="78" spans="1:3" s="1" customFormat="1" ht="15">
      <c r="A78" s="6"/>
      <c r="B78" s="6"/>
      <c r="C78" s="6"/>
    </row>
  </sheetData>
  <sheetProtection/>
  <mergeCells count="10">
    <mergeCell ref="A68:B68"/>
    <mergeCell ref="A70:B70"/>
    <mergeCell ref="A71:B71"/>
    <mergeCell ref="B3:C3"/>
    <mergeCell ref="B1:C1"/>
    <mergeCell ref="B2:C2"/>
    <mergeCell ref="A9:B9"/>
    <mergeCell ref="A10:B10"/>
    <mergeCell ref="A7:C7"/>
    <mergeCell ref="A67:B67"/>
  </mergeCells>
  <printOptions/>
  <pageMargins left="0.9448818897637796" right="0.5511811023622047" top="0.6299212598425197" bottom="0.7480314960629921" header="0.31496062992125984" footer="0.31496062992125984"/>
  <pageSetup firstPageNumber="2" useFirstPageNumber="1" fitToHeight="0" fitToWidth="1" horizontalDpi="600" verticalDpi="600" orientation="portrait" paperSize="9" scale="60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view="pageLayout" zoomScale="90" zoomScaleNormal="90" zoomScalePageLayoutView="90" workbookViewId="0" topLeftCell="A52">
      <selection activeCell="B11" sqref="B11"/>
    </sheetView>
  </sheetViews>
  <sheetFormatPr defaultColWidth="9.140625" defaultRowHeight="12.75"/>
  <cols>
    <col min="1" max="1" width="12.28125" style="6" customWidth="1"/>
    <col min="2" max="2" width="97.140625" style="6" customWidth="1"/>
    <col min="3" max="3" width="24.8515625" style="101" hidden="1" customWidth="1"/>
    <col min="4" max="4" width="25.8515625" style="6" hidden="1" customWidth="1"/>
    <col min="5" max="5" width="22.421875" style="6" hidden="1" customWidth="1"/>
    <col min="6" max="6" width="32.7109375" style="6" customWidth="1"/>
  </cols>
  <sheetData>
    <row r="1" spans="1:6" ht="15.75" customHeight="1">
      <c r="A1" s="12"/>
      <c r="B1" s="133" t="s">
        <v>35</v>
      </c>
      <c r="C1" s="133"/>
      <c r="D1" s="133"/>
      <c r="E1" s="133"/>
      <c r="F1" s="134"/>
    </row>
    <row r="2" spans="1:6" ht="15.75">
      <c r="A2" s="12"/>
      <c r="B2" s="135" t="s">
        <v>39</v>
      </c>
      <c r="C2" s="135"/>
      <c r="D2" s="135"/>
      <c r="E2" s="135"/>
      <c r="F2" s="136"/>
    </row>
    <row r="3" spans="1:6" ht="15.75">
      <c r="A3" s="12"/>
      <c r="B3" s="131" t="s">
        <v>57</v>
      </c>
      <c r="C3" s="132"/>
      <c r="D3" s="132"/>
      <c r="E3" s="132"/>
      <c r="F3" s="132"/>
    </row>
    <row r="4" spans="1:6" ht="15.75">
      <c r="A4" s="12"/>
      <c r="B4" s="11"/>
      <c r="C4" s="11"/>
      <c r="D4" s="11"/>
      <c r="E4" s="13"/>
      <c r="F4" s="97"/>
    </row>
    <row r="5" spans="1:6" ht="15.75">
      <c r="A5" s="12"/>
      <c r="B5" s="15"/>
      <c r="C5" s="15"/>
      <c r="D5" s="15"/>
      <c r="E5" s="12"/>
      <c r="F5" s="11" t="s">
        <v>132</v>
      </c>
    </row>
    <row r="6" spans="1:6" ht="15.75">
      <c r="A6" s="12"/>
      <c r="B6" s="11"/>
      <c r="C6" s="11"/>
      <c r="D6" s="11"/>
      <c r="E6" s="11"/>
      <c r="F6" s="11"/>
    </row>
    <row r="7" spans="1:6" ht="17.25" customHeight="1">
      <c r="A7" s="143" t="s">
        <v>5</v>
      </c>
      <c r="B7" s="143"/>
      <c r="C7" s="143"/>
      <c r="D7" s="143"/>
      <c r="E7" s="143"/>
      <c r="F7" s="143"/>
    </row>
    <row r="8" spans="1:5" ht="15.75">
      <c r="A8" s="99"/>
      <c r="B8" s="100"/>
      <c r="C8" s="100"/>
      <c r="D8" s="100"/>
      <c r="E8" s="98"/>
    </row>
    <row r="9" spans="1:5" ht="15" customHeight="1">
      <c r="A9" s="137" t="s">
        <v>1</v>
      </c>
      <c r="B9" s="142"/>
      <c r="C9" s="9"/>
      <c r="D9" s="9"/>
      <c r="E9" s="9"/>
    </row>
    <row r="10" spans="1:5" ht="15" customHeight="1">
      <c r="A10" s="137" t="s">
        <v>0</v>
      </c>
      <c r="B10" s="142"/>
      <c r="C10" s="9"/>
      <c r="D10" s="9"/>
      <c r="E10" s="9"/>
    </row>
    <row r="11" spans="1:5" ht="15" customHeight="1">
      <c r="A11" s="9"/>
      <c r="B11" s="9" t="s">
        <v>148</v>
      </c>
      <c r="C11" s="9"/>
      <c r="D11" s="9"/>
      <c r="E11" s="9"/>
    </row>
    <row r="12" spans="1:6" ht="15" customHeight="1">
      <c r="A12" s="9"/>
      <c r="B12" s="137" t="s">
        <v>73</v>
      </c>
      <c r="C12" s="142"/>
      <c r="D12" s="142"/>
      <c r="E12" s="9"/>
      <c r="F12" s="14"/>
    </row>
    <row r="13" spans="1:5" ht="15.75" customHeight="1">
      <c r="A13" s="9" t="s">
        <v>2</v>
      </c>
      <c r="B13" s="9" t="s">
        <v>99</v>
      </c>
      <c r="C13" s="9"/>
      <c r="D13" s="9"/>
      <c r="E13" s="9"/>
    </row>
    <row r="14" spans="1:6" ht="63.7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69</v>
      </c>
      <c r="C16" s="26"/>
      <c r="D16" s="26"/>
      <c r="E16" s="26"/>
      <c r="F16" s="26"/>
    </row>
    <row r="17" spans="1:6" ht="16.5" customHeight="1">
      <c r="A17" s="27">
        <v>1100</v>
      </c>
      <c r="B17" s="27" t="s">
        <v>64</v>
      </c>
      <c r="C17" s="28">
        <v>1197.23</v>
      </c>
      <c r="D17" s="28">
        <v>0</v>
      </c>
      <c r="E17" s="28">
        <v>3074.97</v>
      </c>
      <c r="F17" s="28">
        <v>2118.01</v>
      </c>
    </row>
    <row r="18" spans="1:6" ht="15.75" customHeight="1">
      <c r="A18" s="27">
        <v>1200</v>
      </c>
      <c r="B18" s="29" t="s">
        <v>63</v>
      </c>
      <c r="C18" s="28">
        <v>282.43</v>
      </c>
      <c r="D18" s="28">
        <v>0</v>
      </c>
      <c r="E18" s="28">
        <v>725.39</v>
      </c>
      <c r="F18" s="28">
        <v>510.23</v>
      </c>
    </row>
    <row r="19" spans="1:6" ht="15.75">
      <c r="A19" s="27">
        <v>2210</v>
      </c>
      <c r="B19" s="29" t="s">
        <v>27</v>
      </c>
      <c r="C19" s="28">
        <v>8.82</v>
      </c>
      <c r="D19" s="28"/>
      <c r="E19" s="28"/>
      <c r="F19" s="28">
        <v>21</v>
      </c>
    </row>
    <row r="20" spans="1:6" ht="15.75">
      <c r="A20" s="27">
        <v>2222</v>
      </c>
      <c r="B20" s="29" t="s">
        <v>28</v>
      </c>
      <c r="C20" s="28">
        <v>24.08</v>
      </c>
      <c r="D20" s="28">
        <v>0</v>
      </c>
      <c r="E20" s="28">
        <f>ROUND(C20/2,2)</f>
        <v>12.04</v>
      </c>
      <c r="F20" s="28">
        <v>39.31</v>
      </c>
    </row>
    <row r="21" spans="1:6" ht="15.75">
      <c r="A21" s="27">
        <v>2223</v>
      </c>
      <c r="B21" s="29" t="s">
        <v>29</v>
      </c>
      <c r="C21" s="28">
        <v>28.15</v>
      </c>
      <c r="D21" s="28">
        <v>0</v>
      </c>
      <c r="E21" s="28">
        <f>ROUND(C21/2,2)</f>
        <v>14.08</v>
      </c>
      <c r="F21" s="28">
        <v>118.33</v>
      </c>
    </row>
    <row r="22" spans="1:6" ht="15" customHeight="1">
      <c r="A22" s="27">
        <v>2243</v>
      </c>
      <c r="B22" s="29" t="s">
        <v>9</v>
      </c>
      <c r="C22" s="28">
        <v>6.3</v>
      </c>
      <c r="D22" s="28">
        <v>0</v>
      </c>
      <c r="E22" s="28">
        <f>ROUND(C22/2,2)</f>
        <v>3.15</v>
      </c>
      <c r="F22" s="28">
        <v>255.21</v>
      </c>
    </row>
    <row r="23" spans="1:6" ht="15.75">
      <c r="A23" s="27">
        <v>2244</v>
      </c>
      <c r="B23" s="29" t="s">
        <v>10</v>
      </c>
      <c r="C23" s="28">
        <v>31.8</v>
      </c>
      <c r="D23" s="28"/>
      <c r="E23" s="28"/>
      <c r="F23" s="28">
        <v>75.36</v>
      </c>
    </row>
    <row r="24" spans="1:6" ht="15" customHeight="1">
      <c r="A24" s="27">
        <v>2251</v>
      </c>
      <c r="B24" s="29" t="s">
        <v>61</v>
      </c>
      <c r="C24" s="28">
        <v>26.6</v>
      </c>
      <c r="D24" s="28"/>
      <c r="E24" s="28"/>
      <c r="F24" s="28">
        <v>30.83</v>
      </c>
    </row>
    <row r="25" spans="1:6" ht="15" customHeight="1" hidden="1">
      <c r="A25" s="27">
        <v>2261</v>
      </c>
      <c r="B25" s="29" t="s">
        <v>11</v>
      </c>
      <c r="C25" s="28"/>
      <c r="D25" s="28"/>
      <c r="E25" s="28"/>
      <c r="F25" s="28"/>
    </row>
    <row r="26" spans="1:6" ht="15" customHeight="1">
      <c r="A26" s="27">
        <v>2279</v>
      </c>
      <c r="B26" s="29" t="s">
        <v>14</v>
      </c>
      <c r="C26" s="28">
        <v>25.19</v>
      </c>
      <c r="D26" s="28"/>
      <c r="E26" s="28"/>
      <c r="F26" s="28">
        <v>53.84</v>
      </c>
    </row>
    <row r="27" spans="1:6" ht="15" customHeight="1">
      <c r="A27" s="27">
        <v>2311</v>
      </c>
      <c r="B27" s="29" t="s">
        <v>74</v>
      </c>
      <c r="C27" s="28">
        <v>25.84</v>
      </c>
      <c r="D27" s="28"/>
      <c r="E27" s="28"/>
      <c r="F27" s="28">
        <v>80.75</v>
      </c>
    </row>
    <row r="28" spans="1:6" ht="15" customHeight="1">
      <c r="A28" s="27">
        <v>2312</v>
      </c>
      <c r="B28" s="29" t="s">
        <v>16</v>
      </c>
      <c r="C28" s="28">
        <v>25.75</v>
      </c>
      <c r="D28" s="28"/>
      <c r="E28" s="28"/>
      <c r="F28" s="28">
        <v>223.76</v>
      </c>
    </row>
    <row r="29" spans="1:6" ht="15" customHeight="1">
      <c r="A29" s="27">
        <v>2321</v>
      </c>
      <c r="B29" s="29" t="s">
        <v>17</v>
      </c>
      <c r="C29" s="28">
        <v>28.89</v>
      </c>
      <c r="D29" s="28">
        <v>0</v>
      </c>
      <c r="E29" s="28">
        <f>ROUND(C29/2,2)</f>
        <v>14.45</v>
      </c>
      <c r="F29" s="28">
        <v>121.47</v>
      </c>
    </row>
    <row r="30" spans="1:6" ht="15" customHeight="1" hidden="1">
      <c r="A30" s="27">
        <v>2350</v>
      </c>
      <c r="B30" s="29" t="s">
        <v>19</v>
      </c>
      <c r="C30" s="28"/>
      <c r="D30" s="28">
        <v>0</v>
      </c>
      <c r="E30" s="28">
        <f>ROUND(C30/2,2)</f>
        <v>0</v>
      </c>
      <c r="F30" s="28"/>
    </row>
    <row r="31" spans="1:6" ht="15" customHeight="1" hidden="1">
      <c r="A31" s="27">
        <v>2361</v>
      </c>
      <c r="B31" s="29" t="s">
        <v>20</v>
      </c>
      <c r="C31" s="28"/>
      <c r="D31" s="28"/>
      <c r="E31" s="28"/>
      <c r="F31" s="28"/>
    </row>
    <row r="32" spans="1:6" ht="15.75">
      <c r="A32" s="27">
        <v>2370</v>
      </c>
      <c r="B32" s="29" t="s">
        <v>70</v>
      </c>
      <c r="C32" s="28">
        <v>140.5</v>
      </c>
      <c r="D32" s="28"/>
      <c r="E32" s="28"/>
      <c r="F32" s="28">
        <v>245.01</v>
      </c>
    </row>
    <row r="33" spans="1:6" ht="15.75" customHeight="1" hidden="1">
      <c r="A33" s="55">
        <v>2513</v>
      </c>
      <c r="B33" s="29" t="s">
        <v>22</v>
      </c>
      <c r="C33" s="28"/>
      <c r="D33" s="28"/>
      <c r="E33" s="28"/>
      <c r="F33" s="28"/>
    </row>
    <row r="34" spans="1:6" ht="15.75" customHeight="1">
      <c r="A34" s="27">
        <v>5230</v>
      </c>
      <c r="B34" s="29" t="s">
        <v>58</v>
      </c>
      <c r="C34" s="28">
        <v>0</v>
      </c>
      <c r="D34" s="28">
        <v>0</v>
      </c>
      <c r="E34" s="28">
        <f>ROUND(C34/2,2)</f>
        <v>0</v>
      </c>
      <c r="F34" s="28">
        <v>105.49</v>
      </c>
    </row>
    <row r="35" spans="1:6" ht="15" customHeight="1">
      <c r="A35" s="27"/>
      <c r="B35" s="30" t="s">
        <v>66</v>
      </c>
      <c r="C35" s="31">
        <f>SUM(C17:C34)</f>
        <v>1851.58</v>
      </c>
      <c r="D35" s="31">
        <f>SUM(D17:D34)</f>
        <v>0</v>
      </c>
      <c r="E35" s="31">
        <f>SUM(E17:E34)</f>
        <v>3844.0799999999995</v>
      </c>
      <c r="F35" s="31">
        <f>SUM(F17:F34)</f>
        <v>3998.5999999999995</v>
      </c>
    </row>
    <row r="36" spans="1:6" ht="15" customHeight="1">
      <c r="A36" s="89"/>
      <c r="B36" s="27" t="s">
        <v>65</v>
      </c>
      <c r="C36" s="26"/>
      <c r="D36" s="26"/>
      <c r="E36" s="26"/>
      <c r="F36" s="28"/>
    </row>
    <row r="37" spans="1:6" ht="15.75">
      <c r="A37" s="27">
        <v>1100</v>
      </c>
      <c r="B37" s="27" t="s">
        <v>64</v>
      </c>
      <c r="C37" s="28">
        <v>454.77</v>
      </c>
      <c r="D37" s="28">
        <v>0</v>
      </c>
      <c r="E37" s="28">
        <f aca="true" t="shared" si="0" ref="E37:E60">ROUND(C37/2,2)</f>
        <v>227.39</v>
      </c>
      <c r="F37" s="28">
        <v>634.59</v>
      </c>
    </row>
    <row r="38" spans="1:6" ht="14.25" customHeight="1">
      <c r="A38" s="27">
        <v>1200</v>
      </c>
      <c r="B38" s="29" t="s">
        <v>63</v>
      </c>
      <c r="C38" s="28">
        <v>109.15</v>
      </c>
      <c r="D38" s="28">
        <v>0</v>
      </c>
      <c r="E38" s="28">
        <f t="shared" si="0"/>
        <v>54.58</v>
      </c>
      <c r="F38" s="28">
        <v>152.87</v>
      </c>
    </row>
    <row r="39" spans="1:6" ht="15" customHeight="1">
      <c r="A39" s="33">
        <v>2210</v>
      </c>
      <c r="B39" s="29" t="s">
        <v>27</v>
      </c>
      <c r="C39" s="28">
        <v>10.84</v>
      </c>
      <c r="D39" s="28">
        <v>0</v>
      </c>
      <c r="E39" s="28">
        <f t="shared" si="0"/>
        <v>5.42</v>
      </c>
      <c r="F39" s="28">
        <v>15.14</v>
      </c>
    </row>
    <row r="40" spans="1:6" ht="15.75" customHeight="1">
      <c r="A40" s="27">
        <v>2230</v>
      </c>
      <c r="B40" s="29" t="s">
        <v>30</v>
      </c>
      <c r="C40" s="28">
        <v>11</v>
      </c>
      <c r="D40" s="28">
        <v>0</v>
      </c>
      <c r="E40" s="28">
        <f t="shared" si="0"/>
        <v>5.5</v>
      </c>
      <c r="F40" s="28">
        <v>35.36</v>
      </c>
    </row>
    <row r="41" spans="1:6" ht="15.75">
      <c r="A41" s="27">
        <v>2241</v>
      </c>
      <c r="B41" s="29" t="s">
        <v>7</v>
      </c>
      <c r="C41" s="28">
        <v>15.05</v>
      </c>
      <c r="D41" s="28">
        <v>0</v>
      </c>
      <c r="E41" s="28">
        <f t="shared" si="0"/>
        <v>7.53</v>
      </c>
      <c r="F41" s="28">
        <v>71.02</v>
      </c>
    </row>
    <row r="42" spans="1:6" ht="14.25" customHeight="1">
      <c r="A42" s="27">
        <v>2242</v>
      </c>
      <c r="B42" s="29" t="s">
        <v>8</v>
      </c>
      <c r="C42" s="28">
        <v>13.64</v>
      </c>
      <c r="D42" s="28">
        <v>0</v>
      </c>
      <c r="E42" s="28">
        <f t="shared" si="0"/>
        <v>6.82</v>
      </c>
      <c r="F42" s="28">
        <v>19.05</v>
      </c>
    </row>
    <row r="43" spans="1:6" ht="15" customHeight="1">
      <c r="A43" s="27">
        <v>2243</v>
      </c>
      <c r="B43" s="29" t="s">
        <v>9</v>
      </c>
      <c r="C43" s="28">
        <v>15.85</v>
      </c>
      <c r="D43" s="28">
        <v>0</v>
      </c>
      <c r="E43" s="28">
        <f t="shared" si="0"/>
        <v>7.93</v>
      </c>
      <c r="F43" s="28">
        <v>22.13</v>
      </c>
    </row>
    <row r="44" spans="1:6" ht="15" customHeight="1">
      <c r="A44" s="27">
        <v>2247</v>
      </c>
      <c r="B44" s="25" t="s">
        <v>60</v>
      </c>
      <c r="C44" s="28">
        <v>0.91</v>
      </c>
      <c r="D44" s="28">
        <v>0</v>
      </c>
      <c r="E44" s="28">
        <f t="shared" si="0"/>
        <v>0.46</v>
      </c>
      <c r="F44" s="28">
        <v>1.27</v>
      </c>
    </row>
    <row r="45" spans="1:6" ht="15" customHeight="1">
      <c r="A45" s="27">
        <v>2251</v>
      </c>
      <c r="B45" s="29" t="s">
        <v>61</v>
      </c>
      <c r="C45" s="28">
        <v>27.28</v>
      </c>
      <c r="D45" s="28">
        <v>0</v>
      </c>
      <c r="E45" s="28">
        <f t="shared" si="0"/>
        <v>13.64</v>
      </c>
      <c r="F45" s="28">
        <v>38.09</v>
      </c>
    </row>
    <row r="46" spans="1:6" ht="15" customHeight="1">
      <c r="A46" s="27">
        <v>2259</v>
      </c>
      <c r="B46" s="29" t="s">
        <v>62</v>
      </c>
      <c r="C46" s="28">
        <v>2.85</v>
      </c>
      <c r="D46" s="28">
        <v>0</v>
      </c>
      <c r="E46" s="28">
        <f t="shared" si="0"/>
        <v>1.43</v>
      </c>
      <c r="F46" s="28">
        <v>3.98</v>
      </c>
    </row>
    <row r="47" spans="1:6" ht="15" customHeight="1">
      <c r="A47" s="27">
        <v>2262</v>
      </c>
      <c r="B47" s="29" t="s">
        <v>12</v>
      </c>
      <c r="C47" s="28">
        <v>14.86</v>
      </c>
      <c r="D47" s="28">
        <v>0</v>
      </c>
      <c r="E47" s="28">
        <f t="shared" si="0"/>
        <v>7.43</v>
      </c>
      <c r="F47" s="28">
        <v>20.75</v>
      </c>
    </row>
    <row r="48" spans="1:6" ht="15.75">
      <c r="A48" s="27">
        <v>2264</v>
      </c>
      <c r="B48" s="29" t="s">
        <v>13</v>
      </c>
      <c r="C48" s="28">
        <v>0.11</v>
      </c>
      <c r="D48" s="28">
        <v>0</v>
      </c>
      <c r="E48" s="28">
        <f t="shared" si="0"/>
        <v>0.06</v>
      </c>
      <c r="F48" s="28">
        <v>0.15</v>
      </c>
    </row>
    <row r="49" spans="1:6" ht="15.75">
      <c r="A49" s="27">
        <v>2279</v>
      </c>
      <c r="B49" s="29" t="s">
        <v>14</v>
      </c>
      <c r="C49" s="28">
        <v>0.91</v>
      </c>
      <c r="D49" s="28">
        <v>0</v>
      </c>
      <c r="E49" s="28">
        <f t="shared" si="0"/>
        <v>0.46</v>
      </c>
      <c r="F49" s="28">
        <v>31.27</v>
      </c>
    </row>
    <row r="50" spans="1:6" ht="15.75">
      <c r="A50" s="27">
        <v>2311</v>
      </c>
      <c r="B50" s="29" t="s">
        <v>15</v>
      </c>
      <c r="C50" s="28">
        <v>14.55</v>
      </c>
      <c r="D50" s="28">
        <v>0</v>
      </c>
      <c r="E50" s="28">
        <f t="shared" si="0"/>
        <v>7.28</v>
      </c>
      <c r="F50" s="28">
        <v>20.32</v>
      </c>
    </row>
    <row r="51" spans="1:6" ht="15" customHeight="1">
      <c r="A51" s="27">
        <v>2312</v>
      </c>
      <c r="B51" s="29" t="s">
        <v>16</v>
      </c>
      <c r="C51" s="28">
        <v>21.91</v>
      </c>
      <c r="D51" s="28">
        <v>0</v>
      </c>
      <c r="E51" s="28">
        <f t="shared" si="0"/>
        <v>10.96</v>
      </c>
      <c r="F51" s="28">
        <v>30.6</v>
      </c>
    </row>
    <row r="52" spans="1:6" ht="15" customHeight="1">
      <c r="A52" s="27">
        <v>2322</v>
      </c>
      <c r="B52" s="29" t="s">
        <v>18</v>
      </c>
      <c r="C52" s="28">
        <v>9.92</v>
      </c>
      <c r="D52" s="28">
        <v>0</v>
      </c>
      <c r="E52" s="28">
        <f t="shared" si="0"/>
        <v>4.96</v>
      </c>
      <c r="F52" s="28">
        <v>13.85</v>
      </c>
    </row>
    <row r="53" spans="1:6" ht="15" customHeight="1">
      <c r="A53" s="27">
        <v>2350</v>
      </c>
      <c r="B53" s="29" t="s">
        <v>19</v>
      </c>
      <c r="C53" s="28">
        <v>30.86</v>
      </c>
      <c r="D53" s="28">
        <v>0</v>
      </c>
      <c r="E53" s="28">
        <f t="shared" si="0"/>
        <v>15.43</v>
      </c>
      <c r="F53" s="28">
        <v>43.09</v>
      </c>
    </row>
    <row r="54" spans="1:6" ht="15" customHeight="1">
      <c r="A54" s="27">
        <v>2361</v>
      </c>
      <c r="B54" s="29" t="s">
        <v>20</v>
      </c>
      <c r="C54" s="28">
        <v>26.37</v>
      </c>
      <c r="D54" s="28">
        <v>0</v>
      </c>
      <c r="E54" s="28">
        <f t="shared" si="0"/>
        <v>13.19</v>
      </c>
      <c r="F54" s="28">
        <v>36.82</v>
      </c>
    </row>
    <row r="55" spans="1:6" ht="15" customHeight="1">
      <c r="A55" s="27">
        <v>2370</v>
      </c>
      <c r="B55" s="29" t="s">
        <v>21</v>
      </c>
      <c r="C55" s="28">
        <v>23.52</v>
      </c>
      <c r="D55" s="28">
        <v>0</v>
      </c>
      <c r="E55" s="28">
        <f t="shared" si="0"/>
        <v>11.76</v>
      </c>
      <c r="F55" s="28">
        <v>32.84</v>
      </c>
    </row>
    <row r="56" spans="1:6" ht="15.75" customHeight="1">
      <c r="A56" s="27">
        <v>2400</v>
      </c>
      <c r="B56" s="29" t="s">
        <v>31</v>
      </c>
      <c r="C56" s="28">
        <v>1.15</v>
      </c>
      <c r="D56" s="28">
        <v>0</v>
      </c>
      <c r="E56" s="28">
        <f t="shared" si="0"/>
        <v>0.58</v>
      </c>
      <c r="F56" s="28">
        <v>1.61</v>
      </c>
    </row>
    <row r="57" spans="1:6" ht="15.75">
      <c r="A57" s="27">
        <v>2515</v>
      </c>
      <c r="B57" s="29" t="s">
        <v>59</v>
      </c>
      <c r="C57" s="28">
        <v>8.2</v>
      </c>
      <c r="D57" s="28">
        <v>0</v>
      </c>
      <c r="E57" s="28">
        <f t="shared" si="0"/>
        <v>4.1</v>
      </c>
      <c r="F57" s="28">
        <v>11.45</v>
      </c>
    </row>
    <row r="58" spans="1:6" ht="15.75" customHeight="1">
      <c r="A58" s="27">
        <v>2519</v>
      </c>
      <c r="B58" s="29" t="s">
        <v>24</v>
      </c>
      <c r="C58" s="28">
        <v>15.15</v>
      </c>
      <c r="D58" s="28"/>
      <c r="E58" s="28"/>
      <c r="F58" s="28">
        <v>21.15</v>
      </c>
    </row>
    <row r="59" spans="1:6" ht="15.75" hidden="1">
      <c r="A59" s="27">
        <v>6240</v>
      </c>
      <c r="B59" s="29" t="s">
        <v>33</v>
      </c>
      <c r="C59" s="28"/>
      <c r="D59" s="28">
        <v>0</v>
      </c>
      <c r="E59" s="28">
        <f t="shared" si="0"/>
        <v>0</v>
      </c>
      <c r="F59" s="28"/>
    </row>
    <row r="60" spans="1:6" ht="15" customHeight="1" hidden="1">
      <c r="A60" s="27">
        <v>6290</v>
      </c>
      <c r="B60" s="29" t="s">
        <v>34</v>
      </c>
      <c r="C60" s="28"/>
      <c r="D60" s="28">
        <v>0</v>
      </c>
      <c r="E60" s="28">
        <f t="shared" si="0"/>
        <v>0</v>
      </c>
      <c r="F60" s="28"/>
    </row>
    <row r="61" spans="1:6" ht="15" customHeight="1">
      <c r="A61" s="27">
        <v>5232</v>
      </c>
      <c r="B61" s="29" t="s">
        <v>23</v>
      </c>
      <c r="C61" s="28">
        <v>57.93</v>
      </c>
      <c r="D61" s="31">
        <f>SUM(D37:D60)</f>
        <v>0</v>
      </c>
      <c r="E61" s="31">
        <f>SUM(E37:E60)</f>
        <v>406.90999999999985</v>
      </c>
      <c r="F61" s="28">
        <v>80.89</v>
      </c>
    </row>
    <row r="62" spans="1:6" ht="14.25" customHeight="1" hidden="1">
      <c r="A62" s="27">
        <v>5240</v>
      </c>
      <c r="B62" s="29" t="s">
        <v>25</v>
      </c>
      <c r="C62" s="28"/>
      <c r="D62" s="31">
        <f>D61+D35</f>
        <v>0</v>
      </c>
      <c r="E62" s="31">
        <f>E61+E35</f>
        <v>4250.99</v>
      </c>
      <c r="F62" s="28"/>
    </row>
    <row r="63" spans="1:6" ht="15" customHeight="1">
      <c r="A63" s="27">
        <v>5250</v>
      </c>
      <c r="B63" s="29" t="s">
        <v>26</v>
      </c>
      <c r="C63" s="28">
        <v>22.74</v>
      </c>
      <c r="D63" s="28">
        <v>0</v>
      </c>
      <c r="E63" s="28">
        <f>ROUND(C63/2,2)</f>
        <v>11.37</v>
      </c>
      <c r="F63" s="28">
        <v>31.76</v>
      </c>
    </row>
    <row r="64" spans="1:6" ht="17.25" customHeight="1">
      <c r="A64" s="32"/>
      <c r="B64" s="34" t="s">
        <v>67</v>
      </c>
      <c r="C64" s="31">
        <f>SUM(C37:C63)</f>
        <v>909.5199999999998</v>
      </c>
      <c r="D64" s="28">
        <v>0</v>
      </c>
      <c r="E64" s="28">
        <f>ROUND(C64/2,2)</f>
        <v>454.76</v>
      </c>
      <c r="F64" s="31">
        <f>SUM(F37:F63)</f>
        <v>1370.0499999999997</v>
      </c>
    </row>
    <row r="65" spans="1:6" ht="18.75" customHeight="1">
      <c r="A65" s="32"/>
      <c r="B65" s="34" t="s">
        <v>68</v>
      </c>
      <c r="C65" s="31">
        <f>C64+C35</f>
        <v>2761.0999999999995</v>
      </c>
      <c r="D65" s="52"/>
      <c r="E65" s="41"/>
      <c r="F65" s="31">
        <f>F35+F64</f>
        <v>5368.65</v>
      </c>
    </row>
    <row r="66" spans="1:6" ht="15" customHeight="1">
      <c r="A66" s="128" t="s">
        <v>45</v>
      </c>
      <c r="B66" s="141"/>
      <c r="C66" s="43">
        <v>442</v>
      </c>
      <c r="D66" s="38">
        <v>0</v>
      </c>
      <c r="E66" s="38">
        <v>221</v>
      </c>
      <c r="F66" s="103">
        <v>5</v>
      </c>
    </row>
    <row r="67" spans="1:6" ht="15.75" customHeight="1">
      <c r="A67" s="128" t="s">
        <v>46</v>
      </c>
      <c r="B67" s="141"/>
      <c r="C67" s="44" t="e">
        <f>#REF!/C66</f>
        <v>#REF!</v>
      </c>
      <c r="D67" s="46">
        <v>0</v>
      </c>
      <c r="E67" s="31" t="e">
        <f>#REF!/E66</f>
        <v>#REF!</v>
      </c>
      <c r="F67" s="107">
        <f>F65/F66</f>
        <v>1073.73</v>
      </c>
    </row>
    <row r="68" spans="1:6" ht="15.75" customHeight="1">
      <c r="A68" s="9"/>
      <c r="B68" s="9"/>
      <c r="C68" s="36"/>
      <c r="D68" s="49"/>
      <c r="E68" s="36"/>
      <c r="F68" s="36"/>
    </row>
    <row r="69" spans="1:6" s="2" customFormat="1" ht="15.75">
      <c r="A69" s="139" t="s">
        <v>37</v>
      </c>
      <c r="B69" s="140"/>
      <c r="C69" s="39"/>
      <c r="D69" s="39"/>
      <c r="E69" s="39"/>
      <c r="F69" s="39"/>
    </row>
    <row r="70" spans="1:6" s="2" customFormat="1" ht="15.75">
      <c r="A70" s="139" t="s">
        <v>54</v>
      </c>
      <c r="B70" s="140"/>
      <c r="C70" s="16"/>
      <c r="D70" s="40"/>
      <c r="E70" s="39"/>
      <c r="F70" s="39"/>
    </row>
    <row r="71" spans="1:6" s="2" customFormat="1" ht="15.75">
      <c r="A71" s="17"/>
      <c r="B71" s="17"/>
      <c r="C71" s="17"/>
      <c r="D71" s="17"/>
      <c r="E71" s="17"/>
      <c r="F71" s="17"/>
    </row>
    <row r="72" spans="1:6" s="2" customFormat="1" ht="15.75">
      <c r="A72" s="17" t="s">
        <v>38</v>
      </c>
      <c r="B72" s="17"/>
      <c r="C72" s="17"/>
      <c r="D72" s="17"/>
      <c r="E72" s="17"/>
      <c r="F72" s="17"/>
    </row>
    <row r="73" spans="1:6" s="2" customFormat="1" ht="15.75">
      <c r="A73" s="17"/>
      <c r="B73" s="17"/>
      <c r="C73" s="17"/>
      <c r="D73" s="17"/>
      <c r="E73" s="17"/>
      <c r="F73" s="17"/>
    </row>
    <row r="74" spans="1:6" s="2" customFormat="1" ht="15.75">
      <c r="A74" s="17" t="s">
        <v>47</v>
      </c>
      <c r="B74" s="18"/>
      <c r="C74" s="18"/>
      <c r="D74" s="18"/>
      <c r="E74" s="18"/>
      <c r="F74" s="18"/>
    </row>
    <row r="75" spans="1:6" s="2" customFormat="1" ht="13.5" customHeight="1">
      <c r="A75" s="17"/>
      <c r="B75" s="97"/>
      <c r="C75" s="19"/>
      <c r="D75" s="19"/>
      <c r="E75" s="17"/>
      <c r="F75" s="17"/>
    </row>
    <row r="76" spans="1:6" s="2" customFormat="1" ht="13.5" customHeight="1">
      <c r="A76" s="17"/>
      <c r="B76" s="19"/>
      <c r="C76" s="17"/>
      <c r="D76" s="17"/>
      <c r="E76" s="17"/>
      <c r="F76" s="17"/>
    </row>
    <row r="77" spans="1:6" s="1" customFormat="1" ht="15">
      <c r="A77" s="6"/>
      <c r="B77" s="6"/>
      <c r="C77" s="101"/>
      <c r="D77" s="6"/>
      <c r="E77" s="6"/>
      <c r="F77" s="6"/>
    </row>
  </sheetData>
  <sheetProtection/>
  <mergeCells count="11">
    <mergeCell ref="B1:F1"/>
    <mergeCell ref="B2:F2"/>
    <mergeCell ref="B12:D12"/>
    <mergeCell ref="A7:F7"/>
    <mergeCell ref="A69:B69"/>
    <mergeCell ref="A70:B70"/>
    <mergeCell ref="A66:B66"/>
    <mergeCell ref="A67:B67"/>
    <mergeCell ref="A9:B9"/>
    <mergeCell ref="A10:B10"/>
    <mergeCell ref="B3:F3"/>
  </mergeCells>
  <printOptions/>
  <pageMargins left="0.9448818897637796" right="0.5511811023622047" top="0.6299212598425197" bottom="0.6299212598425197" header="0.31496062992125984" footer="0.31496062992125984"/>
  <pageSetup firstPageNumber="3" useFirstPageNumber="1" fitToHeight="0" fitToWidth="1" horizontalDpi="600" verticalDpi="600" orientation="portrait" paperSize="9" scale="62" r:id="rId1"/>
  <headerFooter>
    <oddFooter>&amp;C&amp;"Times New Roman,Regular"LManotp1_130218_MK1002; Grozījumi MK 24.09.2013. noteikumos Nr.1002 "Sociālā integrāicjas valsts aģentūras sniegto maksas pakalpojumu cenrādis"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Layout" zoomScaleNormal="90" workbookViewId="0" topLeftCell="A50">
      <selection activeCell="B11" sqref="B11"/>
    </sheetView>
  </sheetViews>
  <sheetFormatPr defaultColWidth="9.140625" defaultRowHeight="12.75"/>
  <cols>
    <col min="1" max="1" width="13.00390625" style="6" customWidth="1"/>
    <col min="2" max="2" width="97.57421875" style="6" customWidth="1"/>
    <col min="3" max="3" width="1.28515625" style="101" hidden="1" customWidth="1"/>
    <col min="4" max="4" width="25.8515625" style="6" hidden="1" customWidth="1"/>
    <col min="5" max="5" width="21.28125" style="6" hidden="1" customWidth="1"/>
    <col min="6" max="6" width="31.140625" style="6" customWidth="1"/>
    <col min="7" max="16384" width="9.140625" style="3" customWidth="1"/>
  </cols>
  <sheetData>
    <row r="1" spans="1:6" ht="15.75" customHeight="1">
      <c r="A1" s="12"/>
      <c r="B1" s="133" t="s">
        <v>35</v>
      </c>
      <c r="C1" s="133"/>
      <c r="D1" s="133"/>
      <c r="E1" s="133"/>
      <c r="F1" s="134"/>
    </row>
    <row r="2" spans="1:6" ht="15.75">
      <c r="A2" s="12"/>
      <c r="B2" s="135" t="s">
        <v>39</v>
      </c>
      <c r="C2" s="135"/>
      <c r="D2" s="135"/>
      <c r="E2" s="135"/>
      <c r="F2" s="136"/>
    </row>
    <row r="3" spans="1:6" ht="15.75">
      <c r="A3" s="12"/>
      <c r="B3" s="131" t="s">
        <v>57</v>
      </c>
      <c r="C3" s="132"/>
      <c r="D3" s="132"/>
      <c r="E3" s="132"/>
      <c r="F3" s="132"/>
    </row>
    <row r="4" spans="1:6" ht="15.75">
      <c r="A4" s="12"/>
      <c r="B4" s="11"/>
      <c r="C4" s="11"/>
      <c r="D4" s="11"/>
      <c r="E4" s="13"/>
      <c r="F4" s="97"/>
    </row>
    <row r="5" spans="1:6" ht="15.75">
      <c r="A5" s="12"/>
      <c r="B5" s="15"/>
      <c r="C5" s="15"/>
      <c r="D5" s="15"/>
      <c r="E5" s="12"/>
      <c r="F5" s="11" t="s">
        <v>133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38" t="s">
        <v>5</v>
      </c>
      <c r="B7" s="138"/>
      <c r="C7" s="138"/>
      <c r="D7" s="138"/>
      <c r="E7" s="138"/>
      <c r="F7" s="138"/>
    </row>
    <row r="8" spans="1:5" ht="15.75">
      <c r="A8" s="98"/>
      <c r="B8" s="98"/>
      <c r="C8" s="98"/>
      <c r="D8" s="98"/>
      <c r="E8" s="98"/>
    </row>
    <row r="9" spans="1:5" ht="15" customHeight="1">
      <c r="A9" s="137" t="s">
        <v>1</v>
      </c>
      <c r="B9" s="137"/>
      <c r="C9" s="9"/>
      <c r="D9" s="9"/>
      <c r="E9" s="9"/>
    </row>
    <row r="10" spans="1:5" ht="15" customHeight="1">
      <c r="A10" s="137" t="s">
        <v>0</v>
      </c>
      <c r="B10" s="137"/>
      <c r="C10" s="9"/>
      <c r="D10" s="9"/>
      <c r="E10" s="9"/>
    </row>
    <row r="11" spans="1:5" ht="15" customHeight="1">
      <c r="A11" s="9"/>
      <c r="B11" s="9" t="s">
        <v>148</v>
      </c>
      <c r="C11" s="9"/>
      <c r="D11" s="9"/>
      <c r="E11" s="9"/>
    </row>
    <row r="12" spans="1:6" ht="12.75" customHeight="1">
      <c r="A12" s="9"/>
      <c r="B12" s="137" t="s">
        <v>77</v>
      </c>
      <c r="C12" s="142"/>
      <c r="D12" s="142"/>
      <c r="E12" s="9"/>
      <c r="F12" s="14"/>
    </row>
    <row r="13" spans="1:5" ht="15" customHeight="1">
      <c r="A13" s="9" t="s">
        <v>2</v>
      </c>
      <c r="B13" s="9" t="s">
        <v>99</v>
      </c>
      <c r="C13" s="9"/>
      <c r="D13" s="9"/>
      <c r="E13" s="9"/>
    </row>
    <row r="14" spans="1:6" ht="66.7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" customHeight="1">
      <c r="A16" s="24"/>
      <c r="B16" s="25" t="s">
        <v>69</v>
      </c>
      <c r="C16" s="26"/>
      <c r="D16" s="26"/>
      <c r="E16" s="26"/>
      <c r="F16" s="26"/>
    </row>
    <row r="17" spans="1:6" ht="15" customHeight="1">
      <c r="A17" s="27">
        <v>1100</v>
      </c>
      <c r="B17" s="27" t="s">
        <v>64</v>
      </c>
      <c r="C17" s="28">
        <v>5789.22</v>
      </c>
      <c r="D17" s="28">
        <v>0</v>
      </c>
      <c r="E17" s="28">
        <v>3074.97</v>
      </c>
      <c r="F17" s="28">
        <v>1998.58</v>
      </c>
    </row>
    <row r="18" spans="1:6" ht="15.75" customHeight="1">
      <c r="A18" s="27">
        <v>1200</v>
      </c>
      <c r="B18" s="29" t="s">
        <v>63</v>
      </c>
      <c r="C18" s="28">
        <v>1365.67</v>
      </c>
      <c r="D18" s="28">
        <v>0</v>
      </c>
      <c r="E18" s="28">
        <v>725.39</v>
      </c>
      <c r="F18" s="28">
        <v>481.46</v>
      </c>
    </row>
    <row r="19" spans="1:6" ht="15" customHeight="1">
      <c r="A19" s="27">
        <v>2210</v>
      </c>
      <c r="B19" s="29" t="s">
        <v>27</v>
      </c>
      <c r="C19" s="28"/>
      <c r="D19" s="28"/>
      <c r="E19" s="28"/>
      <c r="F19" s="28">
        <v>15.17</v>
      </c>
    </row>
    <row r="20" spans="1:6" ht="15" customHeight="1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78.62</v>
      </c>
    </row>
    <row r="21" spans="1:6" ht="15" customHeight="1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124.78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11.37</v>
      </c>
    </row>
    <row r="23" spans="1:6" ht="15" customHeight="1">
      <c r="A23" s="27">
        <v>2244</v>
      </c>
      <c r="B23" s="29" t="s">
        <v>10</v>
      </c>
      <c r="C23" s="28"/>
      <c r="D23" s="28"/>
      <c r="E23" s="28"/>
      <c r="F23" s="28">
        <v>85.2</v>
      </c>
    </row>
    <row r="24" spans="1:6" ht="15" customHeight="1">
      <c r="A24" s="27">
        <v>2251</v>
      </c>
      <c r="B24" s="29" t="s">
        <v>6</v>
      </c>
      <c r="C24" s="28"/>
      <c r="D24" s="28"/>
      <c r="E24" s="28"/>
      <c r="F24" s="28">
        <v>41.7</v>
      </c>
    </row>
    <row r="25" spans="1:6" ht="15" customHeight="1" hidden="1">
      <c r="A25" s="27">
        <v>2261</v>
      </c>
      <c r="B25" s="29" t="s">
        <v>11</v>
      </c>
      <c r="C25" s="28"/>
      <c r="D25" s="28"/>
      <c r="E25" s="28"/>
      <c r="F25" s="28"/>
    </row>
    <row r="26" spans="1:6" ht="15" customHeight="1">
      <c r="A26" s="27">
        <v>2279</v>
      </c>
      <c r="B26" s="29" t="s">
        <v>14</v>
      </c>
      <c r="C26" s="28"/>
      <c r="D26" s="28"/>
      <c r="E26" s="28"/>
      <c r="F26" s="28">
        <v>17.69</v>
      </c>
    </row>
    <row r="27" spans="1:6" ht="15" customHeight="1">
      <c r="A27" s="27">
        <v>2311</v>
      </c>
      <c r="B27" s="29" t="s">
        <v>74</v>
      </c>
      <c r="C27" s="28"/>
      <c r="D27" s="28"/>
      <c r="E27" s="28"/>
      <c r="F27" s="28">
        <v>21.48</v>
      </c>
    </row>
    <row r="28" spans="1:6" ht="15" customHeight="1">
      <c r="A28" s="27">
        <v>2312</v>
      </c>
      <c r="B28" s="29" t="s">
        <v>16</v>
      </c>
      <c r="C28" s="28"/>
      <c r="D28" s="28"/>
      <c r="E28" s="28"/>
      <c r="F28" s="28">
        <v>8.85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128.08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18.96</v>
      </c>
    </row>
    <row r="31" spans="1:6" ht="15.75" hidden="1">
      <c r="A31" s="27">
        <v>2361</v>
      </c>
      <c r="B31" s="29" t="s">
        <v>20</v>
      </c>
      <c r="C31" s="28"/>
      <c r="D31" s="28"/>
      <c r="E31" s="28"/>
      <c r="F31" s="28"/>
    </row>
    <row r="32" spans="1:6" ht="15.75">
      <c r="A32" s="27">
        <v>2370</v>
      </c>
      <c r="B32" s="29" t="s">
        <v>70</v>
      </c>
      <c r="C32" s="28"/>
      <c r="D32" s="28"/>
      <c r="E32" s="28"/>
      <c r="F32" s="28">
        <v>136.95</v>
      </c>
    </row>
    <row r="33" spans="1:6" ht="15" customHeight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58</v>
      </c>
      <c r="C34" s="28">
        <v>1.8</v>
      </c>
      <c r="D34" s="28">
        <v>0</v>
      </c>
      <c r="E34" s="28">
        <f>ROUND(C34/2,2)</f>
        <v>0.9</v>
      </c>
      <c r="F34" s="28">
        <v>40.06</v>
      </c>
    </row>
    <row r="35" spans="1:6" ht="15" customHeight="1">
      <c r="A35" s="27"/>
      <c r="B35" s="30" t="s">
        <v>66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3208.9499999999994</v>
      </c>
    </row>
    <row r="36" spans="1:6" ht="15" customHeight="1">
      <c r="A36" s="32"/>
      <c r="B36" s="27" t="s">
        <v>65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64</v>
      </c>
      <c r="C37" s="28">
        <v>4429</v>
      </c>
      <c r="D37" s="28">
        <v>0</v>
      </c>
      <c r="E37" s="28">
        <f aca="true" t="shared" si="0" ref="E37:E60">ROUND(C37/2,2)</f>
        <v>2214.5</v>
      </c>
      <c r="F37" s="28">
        <v>690.72</v>
      </c>
    </row>
    <row r="38" spans="1:6" ht="15.75" customHeight="1">
      <c r="A38" s="27">
        <v>1200</v>
      </c>
      <c r="B38" s="29" t="s">
        <v>63</v>
      </c>
      <c r="C38" s="28">
        <v>1044.8</v>
      </c>
      <c r="D38" s="28">
        <v>0</v>
      </c>
      <c r="E38" s="28">
        <f t="shared" si="0"/>
        <v>522.4</v>
      </c>
      <c r="F38" s="28">
        <v>166.39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6.76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4.55</v>
      </c>
    </row>
    <row r="41" spans="1:6" ht="15.75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0.86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3.13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3.63</v>
      </c>
    </row>
    <row r="44" spans="1:6" ht="15" customHeight="1">
      <c r="A44" s="27">
        <v>2247</v>
      </c>
      <c r="B44" s="25" t="s">
        <v>60</v>
      </c>
      <c r="C44" s="28">
        <v>5.71</v>
      </c>
      <c r="D44" s="28">
        <v>0</v>
      </c>
      <c r="E44" s="28">
        <f t="shared" si="0"/>
        <v>2.86</v>
      </c>
      <c r="F44" s="28">
        <v>0.93</v>
      </c>
    </row>
    <row r="45" spans="1:6" ht="15" customHeight="1">
      <c r="A45" s="27">
        <v>2251</v>
      </c>
      <c r="B45" s="29" t="s">
        <v>61</v>
      </c>
      <c r="C45" s="28">
        <v>145.52</v>
      </c>
      <c r="D45" s="28">
        <v>0</v>
      </c>
      <c r="E45" s="28">
        <f t="shared" si="0"/>
        <v>72.76</v>
      </c>
      <c r="F45" s="28">
        <v>13.8</v>
      </c>
    </row>
    <row r="46" spans="1:6" ht="15" customHeight="1">
      <c r="A46" s="27">
        <v>2259</v>
      </c>
      <c r="B46" s="29" t="s">
        <v>62</v>
      </c>
      <c r="C46" s="28">
        <v>0.48</v>
      </c>
      <c r="D46" s="28">
        <v>0</v>
      </c>
      <c r="E46" s="28">
        <f t="shared" si="0"/>
        <v>0.24</v>
      </c>
      <c r="F46" s="28">
        <v>0.07</v>
      </c>
    </row>
    <row r="47" spans="1:6" ht="15" customHeight="1">
      <c r="A47" s="27">
        <v>2262</v>
      </c>
      <c r="B47" s="29" t="s">
        <v>12</v>
      </c>
      <c r="C47" s="28">
        <v>63.08</v>
      </c>
      <c r="D47" s="28">
        <v>0</v>
      </c>
      <c r="E47" s="28">
        <f t="shared" si="0"/>
        <v>31.54</v>
      </c>
      <c r="F47" s="28">
        <v>7.61</v>
      </c>
    </row>
    <row r="48" spans="1:6" ht="15.75">
      <c r="A48" s="27">
        <v>2264</v>
      </c>
      <c r="B48" s="29" t="s">
        <v>13</v>
      </c>
      <c r="C48" s="28">
        <v>1.18</v>
      </c>
      <c r="D48" s="28">
        <v>0</v>
      </c>
      <c r="E48" s="28">
        <f t="shared" si="0"/>
        <v>0.59</v>
      </c>
      <c r="F48" s="28">
        <v>0.14</v>
      </c>
    </row>
    <row r="49" spans="1:6" ht="15.75">
      <c r="A49" s="27">
        <v>2279</v>
      </c>
      <c r="B49" s="29" t="s">
        <v>14</v>
      </c>
      <c r="C49" s="28">
        <v>259.89</v>
      </c>
      <c r="D49" s="28">
        <v>0</v>
      </c>
      <c r="E49" s="28">
        <f t="shared" si="0"/>
        <v>129.95</v>
      </c>
      <c r="F49" s="28">
        <v>2.56</v>
      </c>
    </row>
    <row r="50" spans="1:6" ht="15.75" customHeight="1">
      <c r="A50" s="27">
        <v>2311</v>
      </c>
      <c r="B50" s="29" t="s">
        <v>15</v>
      </c>
      <c r="C50" s="28">
        <v>24.47</v>
      </c>
      <c r="D50" s="28">
        <v>0</v>
      </c>
      <c r="E50" s="28">
        <f t="shared" si="0"/>
        <v>12.24</v>
      </c>
      <c r="F50" s="28">
        <v>3.3</v>
      </c>
    </row>
    <row r="51" spans="1:6" ht="15.75">
      <c r="A51" s="27">
        <v>2312</v>
      </c>
      <c r="B51" s="29" t="s">
        <v>16</v>
      </c>
      <c r="C51" s="28">
        <v>45.22</v>
      </c>
      <c r="D51" s="28">
        <v>0</v>
      </c>
      <c r="E51" s="28">
        <f t="shared" si="0"/>
        <v>22.61</v>
      </c>
      <c r="F51" s="28">
        <v>1.61</v>
      </c>
    </row>
    <row r="52" spans="1:6" ht="15.75">
      <c r="A52" s="27">
        <v>2322</v>
      </c>
      <c r="B52" s="29" t="s">
        <v>18</v>
      </c>
      <c r="C52" s="28">
        <v>170.03</v>
      </c>
      <c r="D52" s="28">
        <v>0</v>
      </c>
      <c r="E52" s="28">
        <f t="shared" si="0"/>
        <v>85.02</v>
      </c>
      <c r="F52" s="28">
        <v>0</v>
      </c>
    </row>
    <row r="53" spans="1:6" ht="15.75">
      <c r="A53" s="27">
        <v>2350</v>
      </c>
      <c r="B53" s="29" t="s">
        <v>19</v>
      </c>
      <c r="C53" s="28">
        <v>193.6</v>
      </c>
      <c r="D53" s="28">
        <v>0</v>
      </c>
      <c r="E53" s="28">
        <f t="shared" si="0"/>
        <v>96.8</v>
      </c>
      <c r="F53" s="28">
        <v>13.63</v>
      </c>
    </row>
    <row r="54" spans="1:6" ht="15" customHeight="1">
      <c r="A54" s="27">
        <v>2361</v>
      </c>
      <c r="B54" s="29" t="s">
        <v>20</v>
      </c>
      <c r="C54" s="28">
        <v>93.78</v>
      </c>
      <c r="D54" s="28">
        <v>0</v>
      </c>
      <c r="E54" s="28">
        <f t="shared" si="0"/>
        <v>46.89</v>
      </c>
      <c r="F54" s="28">
        <v>5.84</v>
      </c>
    </row>
    <row r="55" spans="1:6" ht="15" customHeight="1">
      <c r="A55" s="27">
        <v>2400</v>
      </c>
      <c r="B55" s="29" t="s">
        <v>31</v>
      </c>
      <c r="C55" s="28">
        <v>10.07</v>
      </c>
      <c r="D55" s="28">
        <v>0</v>
      </c>
      <c r="E55" s="28">
        <f t="shared" si="0"/>
        <v>5.04</v>
      </c>
      <c r="F55" s="28">
        <v>1.07</v>
      </c>
    </row>
    <row r="56" spans="1:6" ht="15" customHeight="1">
      <c r="A56" s="27">
        <v>2515</v>
      </c>
      <c r="B56" s="29" t="s">
        <v>59</v>
      </c>
      <c r="C56" s="28">
        <v>6.97</v>
      </c>
      <c r="D56" s="28">
        <v>0</v>
      </c>
      <c r="E56" s="28">
        <f t="shared" si="0"/>
        <v>3.49</v>
      </c>
      <c r="F56" s="28">
        <v>26.61</v>
      </c>
    </row>
    <row r="57" spans="1:6" ht="15" customHeight="1">
      <c r="A57" s="27">
        <v>2519</v>
      </c>
      <c r="B57" s="29" t="s">
        <v>24</v>
      </c>
      <c r="C57" s="28">
        <v>36.72</v>
      </c>
      <c r="D57" s="28">
        <v>0</v>
      </c>
      <c r="E57" s="28">
        <f t="shared" si="0"/>
        <v>18.36</v>
      </c>
      <c r="F57" s="28">
        <v>6.55</v>
      </c>
    </row>
    <row r="58" spans="1:6" ht="15" customHeight="1">
      <c r="A58" s="27">
        <v>5232</v>
      </c>
      <c r="B58" s="29" t="s">
        <v>23</v>
      </c>
      <c r="C58" s="28"/>
      <c r="D58" s="28"/>
      <c r="E58" s="28"/>
      <c r="F58" s="28">
        <v>46.46</v>
      </c>
    </row>
    <row r="59" spans="1:6" ht="15" customHeight="1">
      <c r="A59" s="27">
        <v>5240</v>
      </c>
      <c r="B59" s="29" t="s">
        <v>25</v>
      </c>
      <c r="C59" s="28">
        <v>2.07</v>
      </c>
      <c r="D59" s="28">
        <v>0</v>
      </c>
      <c r="E59" s="28">
        <f t="shared" si="0"/>
        <v>1.04</v>
      </c>
      <c r="F59" s="28">
        <v>9.32</v>
      </c>
    </row>
    <row r="60" spans="1:6" ht="15" customHeight="1">
      <c r="A60" s="27">
        <v>5250</v>
      </c>
      <c r="B60" s="29" t="s">
        <v>26</v>
      </c>
      <c r="C60" s="45">
        <v>5975.84</v>
      </c>
      <c r="D60" s="28">
        <v>0</v>
      </c>
      <c r="E60" s="28">
        <f t="shared" si="0"/>
        <v>2987.92</v>
      </c>
      <c r="F60" s="28">
        <v>37.21</v>
      </c>
    </row>
    <row r="61" spans="1:6" ht="15.75">
      <c r="A61" s="32"/>
      <c r="B61" s="34" t="s">
        <v>67</v>
      </c>
      <c r="C61" s="31">
        <f>SUM(C37:C60)</f>
        <v>12764.950000000003</v>
      </c>
      <c r="D61" s="31">
        <f>SUM(D37:D60)</f>
        <v>0</v>
      </c>
      <c r="E61" s="31">
        <f>SUM(E37:E60)</f>
        <v>6382.52</v>
      </c>
      <c r="F61" s="31">
        <f>SUM(F37:F60)</f>
        <v>1052.75</v>
      </c>
    </row>
    <row r="62" spans="1:6" ht="15" customHeight="1">
      <c r="A62" s="32"/>
      <c r="B62" s="34" t="s">
        <v>32</v>
      </c>
      <c r="C62" s="31" t="e">
        <f>#REF!+C28</f>
        <v>#REF!</v>
      </c>
      <c r="D62" s="31" t="e">
        <f>#REF!+D28</f>
        <v>#REF!</v>
      </c>
      <c r="E62" s="31" t="e">
        <f>#REF!+E28</f>
        <v>#REF!</v>
      </c>
      <c r="F62" s="31">
        <f>F35+F61</f>
        <v>4261.699999999999</v>
      </c>
    </row>
    <row r="63" spans="1:6" ht="12.75" customHeight="1">
      <c r="A63" s="35"/>
      <c r="B63" s="20"/>
      <c r="C63" s="6"/>
      <c r="D63" s="20"/>
      <c r="E63" s="20"/>
      <c r="F63" s="90"/>
    </row>
    <row r="64" spans="1:6" ht="15.75">
      <c r="A64" s="137" t="s">
        <v>45</v>
      </c>
      <c r="B64" s="137"/>
      <c r="C64" s="10">
        <v>2943</v>
      </c>
      <c r="D64" s="21">
        <v>0</v>
      </c>
      <c r="E64" s="21">
        <v>1472</v>
      </c>
      <c r="F64" s="108">
        <v>5</v>
      </c>
    </row>
    <row r="65" spans="1:6" ht="15.75" customHeight="1">
      <c r="A65" s="137" t="s">
        <v>46</v>
      </c>
      <c r="B65" s="137"/>
      <c r="C65" s="36" t="e">
        <f>C62/C64</f>
        <v>#REF!</v>
      </c>
      <c r="D65" s="48">
        <v>0</v>
      </c>
      <c r="E65" s="37" t="e">
        <f>E62/E64</f>
        <v>#REF!</v>
      </c>
      <c r="F65" s="109">
        <f>F62/F64</f>
        <v>852.3399999999998</v>
      </c>
    </row>
    <row r="66" spans="1:6" ht="12.75" customHeight="1">
      <c r="A66" s="9"/>
      <c r="B66" s="9"/>
      <c r="C66" s="36"/>
      <c r="D66" s="49"/>
      <c r="E66" s="36"/>
      <c r="F66" s="36"/>
    </row>
    <row r="67" spans="1:6" s="2" customFormat="1" ht="15.75">
      <c r="A67" s="139" t="s">
        <v>37</v>
      </c>
      <c r="B67" s="140"/>
      <c r="C67" s="39"/>
      <c r="D67" s="39"/>
      <c r="E67" s="39"/>
      <c r="F67" s="39"/>
    </row>
    <row r="68" spans="1:6" s="2" customFormat="1" ht="15.75">
      <c r="A68" s="139" t="s">
        <v>54</v>
      </c>
      <c r="B68" s="140"/>
      <c r="C68" s="16"/>
      <c r="D68" s="40"/>
      <c r="E68" s="39"/>
      <c r="F68" s="39"/>
    </row>
    <row r="69" spans="1:6" s="2" customFormat="1" ht="15.75" customHeight="1">
      <c r="A69" s="17"/>
      <c r="B69" s="17"/>
      <c r="C69" s="17"/>
      <c r="D69" s="17"/>
      <c r="E69" s="17"/>
      <c r="F69" s="65"/>
    </row>
    <row r="70" spans="1:6" s="2" customFormat="1" ht="15.75">
      <c r="A70" s="17" t="s">
        <v>38</v>
      </c>
      <c r="B70" s="17"/>
      <c r="C70" s="17"/>
      <c r="D70" s="17"/>
      <c r="E70" s="17"/>
      <c r="F70" s="17"/>
    </row>
    <row r="71" spans="1:6" s="2" customFormat="1" ht="12.75" customHeight="1">
      <c r="A71" s="17"/>
      <c r="B71" s="17"/>
      <c r="C71" s="17"/>
      <c r="D71" s="17"/>
      <c r="E71" s="17"/>
      <c r="F71" s="17"/>
    </row>
    <row r="72" spans="1:6" s="2" customFormat="1" ht="15.75">
      <c r="A72" s="17" t="s">
        <v>47</v>
      </c>
      <c r="B72" s="18"/>
      <c r="C72" s="18"/>
      <c r="D72" s="18"/>
      <c r="E72" s="18"/>
      <c r="F72" s="18"/>
    </row>
    <row r="73" spans="1:6" s="2" customFormat="1" ht="13.5" customHeight="1">
      <c r="A73" s="17"/>
      <c r="B73" s="97"/>
      <c r="C73" s="19"/>
      <c r="D73" s="19"/>
      <c r="E73" s="17"/>
      <c r="F73" s="17"/>
    </row>
    <row r="74" spans="1:6" s="2" customFormat="1" ht="13.5" customHeight="1">
      <c r="A74" s="17"/>
      <c r="B74" s="19"/>
      <c r="C74" s="17"/>
      <c r="D74" s="17"/>
      <c r="E74" s="17"/>
      <c r="F74" s="17"/>
    </row>
    <row r="75" spans="1:6" s="1" customFormat="1" ht="15">
      <c r="A75" s="6"/>
      <c r="B75" s="6"/>
      <c r="C75" s="101"/>
      <c r="D75" s="6"/>
      <c r="E75" s="6"/>
      <c r="F75" s="6"/>
    </row>
  </sheetData>
  <sheetProtection/>
  <mergeCells count="11">
    <mergeCell ref="B1:F1"/>
    <mergeCell ref="B2:F2"/>
    <mergeCell ref="A9:B9"/>
    <mergeCell ref="A10:B10"/>
    <mergeCell ref="A7:F7"/>
    <mergeCell ref="A64:B64"/>
    <mergeCell ref="A65:B65"/>
    <mergeCell ref="A67:B67"/>
    <mergeCell ref="A68:B68"/>
    <mergeCell ref="B12:D12"/>
    <mergeCell ref="B3:F3"/>
  </mergeCells>
  <printOptions/>
  <pageMargins left="0.9448818897637796" right="0.5511811023622047" top="0.6299212598425197" bottom="0.5511811023622047" header="0.31496062992125984" footer="0.31496062992125984"/>
  <pageSetup firstPageNumber="4" useFirstPageNumber="1" fitToHeight="0" fitToWidth="1" horizontalDpi="600" verticalDpi="600" orientation="portrait" paperSize="9" scale="62" r:id="rId1"/>
  <headerFooter>
    <oddFooter xml:space="preserve">&amp;C&amp;"Times New Roman,Regular"LManotp1_130218_Mk1002; Grozījumi Sociālās integrācijas valsts aģentūras sniegto maksas pakalpojumu cenrādis"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view="pageLayout" zoomScale="90" zoomScaleNormal="90" zoomScalePageLayoutView="90" workbookViewId="0" topLeftCell="A50">
      <selection activeCell="B11" sqref="B11"/>
    </sheetView>
  </sheetViews>
  <sheetFormatPr defaultColWidth="9.140625" defaultRowHeight="12.75"/>
  <cols>
    <col min="1" max="1" width="12.28125" style="6" customWidth="1"/>
    <col min="2" max="2" width="97.7109375" style="6" customWidth="1"/>
    <col min="3" max="3" width="4.57421875" style="101" hidden="1" customWidth="1"/>
    <col min="4" max="4" width="25.8515625" style="6" hidden="1" customWidth="1"/>
    <col min="5" max="5" width="22.140625" style="6" hidden="1" customWidth="1"/>
    <col min="6" max="6" width="32.57421875" style="6" customWidth="1"/>
  </cols>
  <sheetData>
    <row r="1" spans="1:6" ht="15.75" customHeight="1">
      <c r="A1" s="12"/>
      <c r="B1" s="133" t="s">
        <v>35</v>
      </c>
      <c r="C1" s="133"/>
      <c r="D1" s="133"/>
      <c r="E1" s="133"/>
      <c r="F1" s="134"/>
    </row>
    <row r="2" spans="1:6" ht="15.75">
      <c r="A2" s="12"/>
      <c r="B2" s="135" t="s">
        <v>39</v>
      </c>
      <c r="C2" s="135"/>
      <c r="D2" s="135"/>
      <c r="E2" s="135"/>
      <c r="F2" s="136"/>
    </row>
    <row r="3" spans="1:6" ht="15.75">
      <c r="A3" s="12"/>
      <c r="B3" s="131" t="s">
        <v>57</v>
      </c>
      <c r="C3" s="132"/>
      <c r="D3" s="132"/>
      <c r="E3" s="132"/>
      <c r="F3" s="132"/>
    </row>
    <row r="4" spans="1:6" ht="15.75">
      <c r="A4" s="12"/>
      <c r="B4" s="11"/>
      <c r="C4" s="11"/>
      <c r="D4" s="11"/>
      <c r="E4" s="13"/>
      <c r="F4" s="97"/>
    </row>
    <row r="5" spans="1:6" ht="15.75">
      <c r="A5" s="12"/>
      <c r="B5" s="15"/>
      <c r="C5" s="15"/>
      <c r="D5" s="15"/>
      <c r="E5" s="12"/>
      <c r="F5" s="11" t="s">
        <v>131</v>
      </c>
    </row>
    <row r="6" spans="1:6" ht="15.75">
      <c r="A6" s="12"/>
      <c r="B6" s="11"/>
      <c r="C6" s="11"/>
      <c r="D6" s="11"/>
      <c r="E6" s="11"/>
      <c r="F6" s="11"/>
    </row>
    <row r="7" spans="1:6" ht="15.75">
      <c r="A7" s="138" t="s">
        <v>5</v>
      </c>
      <c r="B7" s="138"/>
      <c r="C7" s="138"/>
      <c r="D7" s="138"/>
      <c r="E7" s="138"/>
      <c r="F7" s="138"/>
    </row>
    <row r="8" spans="1:5" ht="15.75">
      <c r="A8" s="98"/>
      <c r="B8" s="98"/>
      <c r="C8" s="98"/>
      <c r="D8" s="98"/>
      <c r="E8" s="98"/>
    </row>
    <row r="9" spans="1:5" ht="15" customHeight="1">
      <c r="A9" s="137" t="s">
        <v>1</v>
      </c>
      <c r="B9" s="137"/>
      <c r="C9" s="9"/>
      <c r="D9" s="9"/>
      <c r="E9" s="9"/>
    </row>
    <row r="10" spans="1:5" ht="15" customHeight="1">
      <c r="A10" s="137" t="s">
        <v>0</v>
      </c>
      <c r="B10" s="137"/>
      <c r="C10" s="9"/>
      <c r="D10" s="9"/>
      <c r="E10" s="9"/>
    </row>
    <row r="11" spans="1:5" ht="15" customHeight="1">
      <c r="A11" s="9"/>
      <c r="B11" s="9" t="s">
        <v>148</v>
      </c>
      <c r="C11" s="9"/>
      <c r="D11" s="9"/>
      <c r="E11" s="9"/>
    </row>
    <row r="12" spans="1:6" ht="15" customHeight="1">
      <c r="A12" s="9"/>
      <c r="B12" s="137" t="s">
        <v>78</v>
      </c>
      <c r="C12" s="142"/>
      <c r="D12" s="142"/>
      <c r="E12" s="9"/>
      <c r="F12" s="14"/>
    </row>
    <row r="13" spans="1:5" ht="15" customHeight="1">
      <c r="A13" s="9" t="s">
        <v>2</v>
      </c>
      <c r="B13" s="9" t="s">
        <v>99</v>
      </c>
      <c r="C13" s="9"/>
      <c r="D13" s="9"/>
      <c r="E13" s="9"/>
    </row>
    <row r="14" spans="1:6" s="5" customFormat="1" ht="70.5" customHeight="1">
      <c r="A14" s="54" t="s">
        <v>3</v>
      </c>
      <c r="B14" s="54" t="s">
        <v>4</v>
      </c>
      <c r="C14" s="54" t="s">
        <v>42</v>
      </c>
      <c r="D14" s="54" t="s">
        <v>52</v>
      </c>
      <c r="E14" s="54" t="s">
        <v>44</v>
      </c>
      <c r="F14" s="54" t="s">
        <v>53</v>
      </c>
    </row>
    <row r="15" spans="1:6" ht="15.75">
      <c r="A15" s="22">
        <v>1</v>
      </c>
      <c r="B15" s="23">
        <v>2</v>
      </c>
      <c r="C15" s="23">
        <v>3</v>
      </c>
      <c r="D15" s="23">
        <v>3</v>
      </c>
      <c r="E15" s="23">
        <v>4</v>
      </c>
      <c r="F15" s="23">
        <v>3</v>
      </c>
    </row>
    <row r="16" spans="1:6" ht="15.75">
      <c r="A16" s="24"/>
      <c r="B16" s="25" t="s">
        <v>69</v>
      </c>
      <c r="C16" s="26"/>
      <c r="D16" s="26"/>
      <c r="E16" s="26"/>
      <c r="F16" s="26"/>
    </row>
    <row r="17" spans="1:6" ht="15.75">
      <c r="A17" s="27">
        <v>1100</v>
      </c>
      <c r="B17" s="27" t="s">
        <v>64</v>
      </c>
      <c r="C17" s="28">
        <v>5789.22</v>
      </c>
      <c r="D17" s="28">
        <v>0</v>
      </c>
      <c r="E17" s="28">
        <v>3074.97</v>
      </c>
      <c r="F17" s="28">
        <v>3312.83</v>
      </c>
    </row>
    <row r="18" spans="1:6" ht="15.75" customHeight="1">
      <c r="A18" s="27">
        <v>1200</v>
      </c>
      <c r="B18" s="29" t="s">
        <v>63</v>
      </c>
      <c r="C18" s="28">
        <v>1365.67</v>
      </c>
      <c r="D18" s="28">
        <v>0</v>
      </c>
      <c r="E18" s="28">
        <v>725.39</v>
      </c>
      <c r="F18" s="28">
        <v>798.06</v>
      </c>
    </row>
    <row r="19" spans="1:6" ht="14.25" customHeight="1">
      <c r="A19" s="27">
        <v>2210</v>
      </c>
      <c r="B19" s="29" t="s">
        <v>27</v>
      </c>
      <c r="C19" s="28"/>
      <c r="D19" s="28"/>
      <c r="E19" s="28"/>
      <c r="F19" s="28">
        <v>13.23</v>
      </c>
    </row>
    <row r="20" spans="1:6" ht="15.75">
      <c r="A20" s="27">
        <v>2222</v>
      </c>
      <c r="B20" s="29" t="s">
        <v>28</v>
      </c>
      <c r="C20" s="28">
        <v>516.82</v>
      </c>
      <c r="D20" s="28">
        <v>0</v>
      </c>
      <c r="E20" s="28">
        <f>ROUND(C20/2,2)</f>
        <v>258.41</v>
      </c>
      <c r="F20" s="28">
        <v>187.2</v>
      </c>
    </row>
    <row r="21" spans="1:6" ht="15.75">
      <c r="A21" s="27">
        <v>2223</v>
      </c>
      <c r="B21" s="29" t="s">
        <v>29</v>
      </c>
      <c r="C21" s="28">
        <v>175.44</v>
      </c>
      <c r="D21" s="28">
        <v>0</v>
      </c>
      <c r="E21" s="28">
        <f>ROUND(C21/2,2)</f>
        <v>87.72</v>
      </c>
      <c r="F21" s="28">
        <v>223.62</v>
      </c>
    </row>
    <row r="22" spans="1:6" ht="15" customHeight="1">
      <c r="A22" s="27">
        <v>2243</v>
      </c>
      <c r="B22" s="29" t="s">
        <v>9</v>
      </c>
      <c r="C22" s="28">
        <v>125.47</v>
      </c>
      <c r="D22" s="28">
        <v>0</v>
      </c>
      <c r="E22" s="28">
        <f>ROUND(C22/2,2)</f>
        <v>62.74</v>
      </c>
      <c r="F22" s="28">
        <v>147.55</v>
      </c>
    </row>
    <row r="23" spans="1:6" ht="15.75">
      <c r="A23" s="27">
        <v>2244</v>
      </c>
      <c r="B23" s="29" t="s">
        <v>10</v>
      </c>
      <c r="C23" s="28"/>
      <c r="D23" s="28"/>
      <c r="E23" s="28"/>
      <c r="F23" s="28">
        <v>131.22</v>
      </c>
    </row>
    <row r="24" spans="1:6" ht="15.75">
      <c r="A24" s="27">
        <v>2251</v>
      </c>
      <c r="B24" s="29" t="s">
        <v>61</v>
      </c>
      <c r="C24" s="28"/>
      <c r="D24" s="28"/>
      <c r="E24" s="28"/>
      <c r="F24" s="28">
        <v>43.86</v>
      </c>
    </row>
    <row r="25" spans="1:6" ht="16.5" customHeight="1" hidden="1">
      <c r="A25" s="27">
        <v>2261</v>
      </c>
      <c r="B25" s="29" t="s">
        <v>11</v>
      </c>
      <c r="C25" s="28"/>
      <c r="D25" s="28"/>
      <c r="E25" s="28"/>
      <c r="F25" s="28"/>
    </row>
    <row r="26" spans="1:6" ht="15.75">
      <c r="A26" s="27">
        <v>2279</v>
      </c>
      <c r="B26" s="29" t="s">
        <v>14</v>
      </c>
      <c r="C26" s="28"/>
      <c r="D26" s="28"/>
      <c r="E26" s="28"/>
      <c r="F26" s="28">
        <v>17.38</v>
      </c>
    </row>
    <row r="27" spans="1:6" ht="15.75">
      <c r="A27" s="27">
        <v>2311</v>
      </c>
      <c r="B27" s="29" t="s">
        <v>74</v>
      </c>
      <c r="C27" s="28"/>
      <c r="D27" s="28"/>
      <c r="E27" s="28"/>
      <c r="F27" s="28">
        <v>20.69</v>
      </c>
    </row>
    <row r="28" spans="1:6" ht="15.75">
      <c r="A28" s="27">
        <v>2312</v>
      </c>
      <c r="B28" s="29" t="s">
        <v>16</v>
      </c>
      <c r="C28" s="28"/>
      <c r="D28" s="28"/>
      <c r="E28" s="28"/>
      <c r="F28" s="28">
        <v>46.33</v>
      </c>
    </row>
    <row r="29" spans="1:6" ht="15" customHeight="1">
      <c r="A29" s="27">
        <v>2321</v>
      </c>
      <c r="B29" s="29" t="s">
        <v>17</v>
      </c>
      <c r="C29" s="28">
        <v>241.21</v>
      </c>
      <c r="D29" s="28">
        <v>0</v>
      </c>
      <c r="E29" s="28">
        <f>ROUND(C29/2,2)</f>
        <v>120.61</v>
      </c>
      <c r="F29" s="28">
        <v>142.95</v>
      </c>
    </row>
    <row r="30" spans="1:6" ht="15" customHeight="1">
      <c r="A30" s="27">
        <v>2350</v>
      </c>
      <c r="B30" s="29" t="s">
        <v>19</v>
      </c>
      <c r="C30" s="28">
        <v>35.27</v>
      </c>
      <c r="D30" s="28">
        <v>0</v>
      </c>
      <c r="E30" s="28">
        <f>ROUND(C30/2,2)</f>
        <v>17.64</v>
      </c>
      <c r="F30" s="28">
        <v>108.9</v>
      </c>
    </row>
    <row r="31" spans="1:6" ht="15.75" hidden="1">
      <c r="A31" s="27">
        <v>2361</v>
      </c>
      <c r="B31" s="29" t="s">
        <v>20</v>
      </c>
      <c r="C31" s="28"/>
      <c r="D31" s="28"/>
      <c r="E31" s="28"/>
      <c r="F31" s="28">
        <v>0</v>
      </c>
    </row>
    <row r="32" spans="1:6" ht="15.75">
      <c r="A32" s="27">
        <v>2370</v>
      </c>
      <c r="B32" s="29" t="s">
        <v>70</v>
      </c>
      <c r="C32" s="28"/>
      <c r="D32" s="28"/>
      <c r="E32" s="28"/>
      <c r="F32" s="28">
        <v>83.56</v>
      </c>
    </row>
    <row r="33" spans="1:6" ht="15.75" hidden="1">
      <c r="A33" s="55">
        <v>2513</v>
      </c>
      <c r="B33" s="29" t="s">
        <v>22</v>
      </c>
      <c r="C33" s="28"/>
      <c r="D33" s="28"/>
      <c r="E33" s="28"/>
      <c r="F33" s="28"/>
    </row>
    <row r="34" spans="1:6" ht="15" customHeight="1">
      <c r="A34" s="27">
        <v>5230</v>
      </c>
      <c r="B34" s="29" t="s">
        <v>58</v>
      </c>
      <c r="C34" s="28">
        <v>1.8</v>
      </c>
      <c r="D34" s="28">
        <v>0</v>
      </c>
      <c r="E34" s="28">
        <f>ROUND(C34/2,2)</f>
        <v>0.9</v>
      </c>
      <c r="F34" s="28">
        <v>147.55</v>
      </c>
    </row>
    <row r="35" spans="1:6" ht="15" customHeight="1">
      <c r="A35" s="27"/>
      <c r="B35" s="30" t="s">
        <v>66</v>
      </c>
      <c r="C35" s="31">
        <f>SUM(C17:C34)</f>
        <v>8250.9</v>
      </c>
      <c r="D35" s="31">
        <f>SUM(D17:D34)</f>
        <v>0</v>
      </c>
      <c r="E35" s="31">
        <f>SUM(E17:E34)</f>
        <v>4348.379999999999</v>
      </c>
      <c r="F35" s="31">
        <f>SUM(F17:F34)</f>
        <v>5424.9299999999985</v>
      </c>
    </row>
    <row r="36" spans="1:6" ht="15" customHeight="1">
      <c r="A36" s="32"/>
      <c r="B36" s="27" t="s">
        <v>65</v>
      </c>
      <c r="C36" s="26"/>
      <c r="D36" s="26"/>
      <c r="E36" s="26"/>
      <c r="F36" s="26"/>
    </row>
    <row r="37" spans="1:6" ht="15" customHeight="1">
      <c r="A37" s="27">
        <v>1100</v>
      </c>
      <c r="B37" s="27" t="s">
        <v>64</v>
      </c>
      <c r="C37" s="28">
        <v>4429</v>
      </c>
      <c r="D37" s="28">
        <v>0</v>
      </c>
      <c r="E37" s="28">
        <f aca="true" t="shared" si="0" ref="E37:E54">ROUND(C37/2,2)</f>
        <v>2214.5</v>
      </c>
      <c r="F37" s="28">
        <v>1214.75</v>
      </c>
    </row>
    <row r="38" spans="1:6" ht="15.75" customHeight="1">
      <c r="A38" s="27">
        <v>1200</v>
      </c>
      <c r="B38" s="29" t="s">
        <v>63</v>
      </c>
      <c r="C38" s="28">
        <v>1044.8</v>
      </c>
      <c r="D38" s="28">
        <v>0</v>
      </c>
      <c r="E38" s="28">
        <f t="shared" si="0"/>
        <v>522.4</v>
      </c>
      <c r="F38" s="28">
        <v>292.63</v>
      </c>
    </row>
    <row r="39" spans="1:6" ht="15" customHeight="1">
      <c r="A39" s="33">
        <v>2210</v>
      </c>
      <c r="B39" s="29" t="s">
        <v>27</v>
      </c>
      <c r="C39" s="28">
        <v>93.67</v>
      </c>
      <c r="D39" s="28">
        <v>0</v>
      </c>
      <c r="E39" s="28">
        <f t="shared" si="0"/>
        <v>46.84</v>
      </c>
      <c r="F39" s="28">
        <v>15.23</v>
      </c>
    </row>
    <row r="40" spans="1:6" ht="15" customHeight="1">
      <c r="A40" s="27">
        <v>2230</v>
      </c>
      <c r="B40" s="29" t="s">
        <v>30</v>
      </c>
      <c r="C40" s="28">
        <v>72.35</v>
      </c>
      <c r="D40" s="28">
        <v>0</v>
      </c>
      <c r="E40" s="28">
        <f t="shared" si="0"/>
        <v>36.18</v>
      </c>
      <c r="F40" s="28">
        <v>7.26</v>
      </c>
    </row>
    <row r="41" spans="1:6" ht="15" customHeight="1">
      <c r="A41" s="27">
        <v>2241</v>
      </c>
      <c r="B41" s="29" t="s">
        <v>7</v>
      </c>
      <c r="C41" s="28">
        <v>0.1</v>
      </c>
      <c r="D41" s="28">
        <v>0</v>
      </c>
      <c r="E41" s="28">
        <f t="shared" si="0"/>
        <v>0.05</v>
      </c>
      <c r="F41" s="28">
        <v>52.07</v>
      </c>
    </row>
    <row r="42" spans="1:6" ht="15" customHeight="1">
      <c r="A42" s="27">
        <v>2242</v>
      </c>
      <c r="B42" s="29" t="s">
        <v>8</v>
      </c>
      <c r="C42" s="28">
        <v>21.56</v>
      </c>
      <c r="D42" s="28">
        <v>0</v>
      </c>
      <c r="E42" s="28">
        <f t="shared" si="0"/>
        <v>10.78</v>
      </c>
      <c r="F42" s="28">
        <v>23.13</v>
      </c>
    </row>
    <row r="43" spans="1:6" ht="15" customHeight="1">
      <c r="A43" s="27">
        <v>2243</v>
      </c>
      <c r="B43" s="29" t="s">
        <v>9</v>
      </c>
      <c r="C43" s="28">
        <v>68.84</v>
      </c>
      <c r="D43" s="28">
        <v>0</v>
      </c>
      <c r="E43" s="28">
        <f t="shared" si="0"/>
        <v>34.42</v>
      </c>
      <c r="F43" s="28">
        <v>34.91</v>
      </c>
    </row>
    <row r="44" spans="1:6" ht="15" customHeight="1">
      <c r="A44" s="27">
        <v>2244</v>
      </c>
      <c r="B44" s="29" t="s">
        <v>10</v>
      </c>
      <c r="C44" s="28"/>
      <c r="D44" s="28"/>
      <c r="E44" s="28"/>
      <c r="F44" s="28">
        <v>31.11</v>
      </c>
    </row>
    <row r="45" spans="1:6" ht="15.75">
      <c r="A45" s="27">
        <v>2247</v>
      </c>
      <c r="B45" s="25" t="s">
        <v>60</v>
      </c>
      <c r="C45" s="28">
        <v>5.71</v>
      </c>
      <c r="D45" s="28">
        <v>0</v>
      </c>
      <c r="E45" s="28">
        <f t="shared" si="0"/>
        <v>2.86</v>
      </c>
      <c r="F45" s="28">
        <v>1.46</v>
      </c>
    </row>
    <row r="46" spans="1:6" ht="15" customHeight="1">
      <c r="A46" s="27">
        <v>2251</v>
      </c>
      <c r="B46" s="29" t="s">
        <v>61</v>
      </c>
      <c r="C46" s="28">
        <v>145.52</v>
      </c>
      <c r="D46" s="28">
        <v>0</v>
      </c>
      <c r="E46" s="28">
        <f t="shared" si="0"/>
        <v>72.76</v>
      </c>
      <c r="F46" s="28">
        <v>11.32</v>
      </c>
    </row>
    <row r="47" spans="1:6" ht="15" customHeight="1">
      <c r="A47" s="27">
        <v>2259</v>
      </c>
      <c r="B47" s="29" t="s">
        <v>62</v>
      </c>
      <c r="C47" s="28">
        <v>0.48</v>
      </c>
      <c r="D47" s="28">
        <v>0</v>
      </c>
      <c r="E47" s="28">
        <f t="shared" si="0"/>
        <v>0.24</v>
      </c>
      <c r="F47" s="28">
        <v>0.14</v>
      </c>
    </row>
    <row r="48" spans="1:6" ht="15" customHeight="1">
      <c r="A48" s="27">
        <v>2262</v>
      </c>
      <c r="B48" s="29" t="s">
        <v>12</v>
      </c>
      <c r="C48" s="28">
        <v>63.08</v>
      </c>
      <c r="D48" s="28">
        <v>0</v>
      </c>
      <c r="E48" s="28">
        <f t="shared" si="0"/>
        <v>31.54</v>
      </c>
      <c r="F48" s="28">
        <v>7.61</v>
      </c>
    </row>
    <row r="49" spans="1:6" ht="15" customHeight="1">
      <c r="A49" s="27">
        <v>2264</v>
      </c>
      <c r="B49" s="29" t="s">
        <v>13</v>
      </c>
      <c r="C49" s="28">
        <v>1.18</v>
      </c>
      <c r="D49" s="28">
        <v>0</v>
      </c>
      <c r="E49" s="28">
        <f t="shared" si="0"/>
        <v>0.59</v>
      </c>
      <c r="F49" s="28">
        <v>0.14</v>
      </c>
    </row>
    <row r="50" spans="1:6" ht="15" customHeight="1">
      <c r="A50" s="27">
        <v>2279</v>
      </c>
      <c r="B50" s="29" t="s">
        <v>14</v>
      </c>
      <c r="C50" s="28">
        <v>259.89</v>
      </c>
      <c r="D50" s="28">
        <v>0</v>
      </c>
      <c r="E50" s="28">
        <f t="shared" si="0"/>
        <v>129.95</v>
      </c>
      <c r="F50" s="28">
        <v>22.14</v>
      </c>
    </row>
    <row r="51" spans="1:6" ht="15" customHeight="1">
      <c r="A51" s="27">
        <v>2311</v>
      </c>
      <c r="B51" s="29" t="s">
        <v>15</v>
      </c>
      <c r="C51" s="28">
        <v>24.47</v>
      </c>
      <c r="D51" s="28">
        <v>0</v>
      </c>
      <c r="E51" s="28">
        <f t="shared" si="0"/>
        <v>12.24</v>
      </c>
      <c r="F51" s="28">
        <v>16.51</v>
      </c>
    </row>
    <row r="52" spans="1:6" ht="15" customHeight="1">
      <c r="A52" s="27">
        <v>2312</v>
      </c>
      <c r="B52" s="29" t="s">
        <v>16</v>
      </c>
      <c r="C52" s="28">
        <v>45.22</v>
      </c>
      <c r="D52" s="28">
        <v>0</v>
      </c>
      <c r="E52" s="28">
        <f t="shared" si="0"/>
        <v>22.61</v>
      </c>
      <c r="F52" s="28">
        <v>42.35</v>
      </c>
    </row>
    <row r="53" spans="1:6" ht="15" customHeight="1">
      <c r="A53" s="27">
        <v>2322</v>
      </c>
      <c r="B53" s="29" t="s">
        <v>18</v>
      </c>
      <c r="C53" s="28">
        <v>170.03</v>
      </c>
      <c r="D53" s="28">
        <v>0</v>
      </c>
      <c r="E53" s="28">
        <f t="shared" si="0"/>
        <v>85.02</v>
      </c>
      <c r="F53" s="28">
        <v>30.42</v>
      </c>
    </row>
    <row r="54" spans="1:6" ht="15" customHeight="1">
      <c r="A54" s="27">
        <v>2350</v>
      </c>
      <c r="B54" s="29" t="s">
        <v>19</v>
      </c>
      <c r="C54" s="28">
        <v>193.6</v>
      </c>
      <c r="D54" s="28">
        <v>0</v>
      </c>
      <c r="E54" s="28">
        <f t="shared" si="0"/>
        <v>96.8</v>
      </c>
      <c r="F54" s="28">
        <v>33.71</v>
      </c>
    </row>
    <row r="55" spans="1:6" ht="15" customHeight="1">
      <c r="A55" s="27">
        <v>2515</v>
      </c>
      <c r="B55" s="29" t="s">
        <v>59</v>
      </c>
      <c r="C55" s="28"/>
      <c r="D55" s="28"/>
      <c r="E55" s="28"/>
      <c r="F55" s="28">
        <v>7.34</v>
      </c>
    </row>
    <row r="56" spans="1:6" ht="15" customHeight="1">
      <c r="A56" s="27">
        <v>5232</v>
      </c>
      <c r="B56" s="29" t="s">
        <v>23</v>
      </c>
      <c r="C56" s="28"/>
      <c r="D56" s="28"/>
      <c r="E56" s="28"/>
      <c r="F56" s="28">
        <v>73.53</v>
      </c>
    </row>
    <row r="57" spans="1:6" ht="15" customHeight="1">
      <c r="A57" s="27">
        <v>5240</v>
      </c>
      <c r="B57" s="29" t="s">
        <v>25</v>
      </c>
      <c r="C57" s="28"/>
      <c r="D57" s="28"/>
      <c r="E57" s="28"/>
      <c r="F57" s="28">
        <v>14.67</v>
      </c>
    </row>
    <row r="58" spans="1:6" ht="15" customHeight="1">
      <c r="A58" s="27">
        <v>5250</v>
      </c>
      <c r="B58" s="29" t="s">
        <v>26</v>
      </c>
      <c r="C58" s="28"/>
      <c r="D58" s="28"/>
      <c r="E58" s="28"/>
      <c r="F58" s="28">
        <v>58.74</v>
      </c>
    </row>
    <row r="59" spans="1:6" ht="15.75">
      <c r="A59" s="32"/>
      <c r="B59" s="34" t="s">
        <v>67</v>
      </c>
      <c r="C59" s="31">
        <f>SUM(C37:C54)</f>
        <v>6639.500000000003</v>
      </c>
      <c r="D59" s="31">
        <f>SUM(D37:D54)</f>
        <v>0</v>
      </c>
      <c r="E59" s="31">
        <f>SUM(E37:E54)</f>
        <v>3319.7800000000007</v>
      </c>
      <c r="F59" s="31">
        <f>SUM(F37:F58)</f>
        <v>1991.1700000000003</v>
      </c>
    </row>
    <row r="60" spans="1:6" ht="15" customHeight="1">
      <c r="A60" s="32"/>
      <c r="B60" s="34" t="s">
        <v>32</v>
      </c>
      <c r="C60" s="31" t="e">
        <f>#REF!+C28</f>
        <v>#REF!</v>
      </c>
      <c r="D60" s="31" t="e">
        <f>#REF!+D28</f>
        <v>#REF!</v>
      </c>
      <c r="E60" s="31" t="e">
        <f>#REF!+E28</f>
        <v>#REF!</v>
      </c>
      <c r="F60" s="31">
        <f>F35+F59</f>
        <v>7416.0999999999985</v>
      </c>
    </row>
    <row r="61" spans="1:6" ht="15.75">
      <c r="A61" s="35"/>
      <c r="B61" s="20"/>
      <c r="C61" s="6"/>
      <c r="D61" s="20"/>
      <c r="E61" s="20"/>
      <c r="F61" s="92"/>
    </row>
    <row r="62" spans="1:6" ht="15.75">
      <c r="A62" s="137" t="s">
        <v>45</v>
      </c>
      <c r="B62" s="137"/>
      <c r="C62" s="10">
        <v>287</v>
      </c>
      <c r="D62" s="21">
        <v>0</v>
      </c>
      <c r="E62" s="21">
        <v>143</v>
      </c>
      <c r="F62" s="108">
        <v>5</v>
      </c>
    </row>
    <row r="63" spans="1:6" ht="15.75" customHeight="1">
      <c r="A63" s="137" t="s">
        <v>46</v>
      </c>
      <c r="B63" s="137"/>
      <c r="C63" s="36" t="e">
        <f>#REF!/C62</f>
        <v>#REF!</v>
      </c>
      <c r="D63" s="48">
        <v>0</v>
      </c>
      <c r="E63" s="37" t="e">
        <f>#REF!/E62</f>
        <v>#REF!</v>
      </c>
      <c r="F63" s="109">
        <f>F60/F62</f>
        <v>1483.2199999999998</v>
      </c>
    </row>
    <row r="64" spans="1:6" ht="15.75" customHeight="1">
      <c r="A64" s="9"/>
      <c r="B64" s="9"/>
      <c r="C64" s="36"/>
      <c r="D64" s="49"/>
      <c r="E64" s="36"/>
      <c r="F64" s="36"/>
    </row>
    <row r="65" spans="1:6" s="2" customFormat="1" ht="15.75">
      <c r="A65" s="139" t="s">
        <v>37</v>
      </c>
      <c r="B65" s="140"/>
      <c r="C65" s="39"/>
      <c r="D65" s="39"/>
      <c r="E65" s="39"/>
      <c r="F65" s="39"/>
    </row>
    <row r="66" spans="1:6" s="2" customFormat="1" ht="15.75">
      <c r="A66" s="139" t="s">
        <v>54</v>
      </c>
      <c r="B66" s="140"/>
      <c r="C66" s="16"/>
      <c r="D66" s="40"/>
      <c r="E66" s="39"/>
      <c r="F66" s="39"/>
    </row>
    <row r="67" spans="1:6" s="2" customFormat="1" ht="15" customHeight="1">
      <c r="A67" s="17"/>
      <c r="B67" s="17"/>
      <c r="C67" s="17"/>
      <c r="D67" s="17"/>
      <c r="E67" s="17"/>
      <c r="F67" s="65"/>
    </row>
    <row r="68" spans="1:6" s="2" customFormat="1" ht="15.75">
      <c r="A68" s="17" t="s">
        <v>38</v>
      </c>
      <c r="B68" s="17"/>
      <c r="C68" s="17"/>
      <c r="D68" s="17"/>
      <c r="E68" s="17"/>
      <c r="F68" s="17"/>
    </row>
    <row r="69" spans="1:6" s="2" customFormat="1" ht="15" customHeight="1">
      <c r="A69" s="17"/>
      <c r="B69" s="17"/>
      <c r="C69" s="17"/>
      <c r="D69" s="17"/>
      <c r="E69" s="17"/>
      <c r="F69" s="17"/>
    </row>
    <row r="70" spans="1:6" s="2" customFormat="1" ht="15.75">
      <c r="A70" s="17" t="s">
        <v>47</v>
      </c>
      <c r="B70" s="18"/>
      <c r="C70" s="18"/>
      <c r="D70" s="18"/>
      <c r="E70" s="18"/>
      <c r="F70" s="91"/>
    </row>
    <row r="71" spans="1:6" s="2" customFormat="1" ht="13.5" customHeight="1">
      <c r="A71" s="17"/>
      <c r="B71" s="97"/>
      <c r="C71" s="19"/>
      <c r="D71" s="19"/>
      <c r="E71" s="17"/>
      <c r="F71" s="65"/>
    </row>
    <row r="72" spans="1:6" s="2" customFormat="1" ht="13.5" customHeight="1">
      <c r="A72" s="17"/>
      <c r="B72" s="19"/>
      <c r="C72" s="17"/>
      <c r="D72" s="17"/>
      <c r="E72" s="17"/>
      <c r="F72" s="17"/>
    </row>
    <row r="73" spans="1:6" s="1" customFormat="1" ht="15">
      <c r="A73" s="6"/>
      <c r="B73" s="6"/>
      <c r="C73" s="101"/>
      <c r="D73" s="6"/>
      <c r="E73" s="6"/>
      <c r="F73" s="6"/>
    </row>
  </sheetData>
  <sheetProtection/>
  <mergeCells count="11">
    <mergeCell ref="B1:F1"/>
    <mergeCell ref="B2:F2"/>
    <mergeCell ref="A9:B9"/>
    <mergeCell ref="A10:B10"/>
    <mergeCell ref="A7:F7"/>
    <mergeCell ref="A62:B62"/>
    <mergeCell ref="A63:B63"/>
    <mergeCell ref="A65:B65"/>
    <mergeCell ref="A66:B66"/>
    <mergeCell ref="B12:D12"/>
    <mergeCell ref="B3:F3"/>
  </mergeCells>
  <printOptions/>
  <pageMargins left="0.9448818897637796" right="0.5511811023622047" top="0.5511811023622047" bottom="0.5511811023622047" header="0.31496062992125984" footer="0.31496062992125984"/>
  <pageSetup firstPageNumber="5" useFirstPageNumber="1" fitToHeight="0" fitToWidth="1" horizontalDpi="600" verticalDpi="600" orientation="portrait" paperSize="9" scale="61" r:id="rId1"/>
  <headerFooter>
    <oddFooter xml:space="preserve">&amp;C&amp;"Times New Roman,Regular"LManotp1_130218_MK1002; Grozījumi MK 24.09.2013. noteikumos Nr.1002 "Sociālās integrācijas valsts aģentūras sniegto maksas pakalpojumu cenrādis"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view="pageLayout" workbookViewId="0" topLeftCell="A65">
      <selection activeCell="B11" sqref="B11"/>
    </sheetView>
  </sheetViews>
  <sheetFormatPr defaultColWidth="9.140625" defaultRowHeight="12.75"/>
  <cols>
    <col min="1" max="1" width="11.8515625" style="6" customWidth="1"/>
    <col min="2" max="2" width="94.7109375" style="6" customWidth="1"/>
    <col min="3" max="3" width="31.7109375" style="6" customWidth="1"/>
  </cols>
  <sheetData>
    <row r="1" spans="1:3" ht="15.75" customHeight="1">
      <c r="A1" s="12"/>
      <c r="B1" s="133" t="s">
        <v>35</v>
      </c>
      <c r="C1" s="134"/>
    </row>
    <row r="2" spans="1:3" ht="15.75">
      <c r="A2" s="12"/>
      <c r="B2" s="135" t="s">
        <v>39</v>
      </c>
      <c r="C2" s="136"/>
    </row>
    <row r="3" spans="1:3" ht="15.75">
      <c r="A3" s="12"/>
      <c r="B3" s="131" t="s">
        <v>57</v>
      </c>
      <c r="C3" s="132"/>
    </row>
    <row r="4" spans="1:3" ht="15.75">
      <c r="A4" s="12"/>
      <c r="B4" s="11"/>
      <c r="C4" s="97"/>
    </row>
    <row r="5" spans="1:3" ht="15.75">
      <c r="A5" s="12"/>
      <c r="B5" s="15"/>
      <c r="C5" s="11" t="s">
        <v>131</v>
      </c>
    </row>
    <row r="6" spans="1:3" ht="15.75">
      <c r="A6" s="12"/>
      <c r="B6" s="11"/>
      <c r="C6" s="11"/>
    </row>
    <row r="7" spans="1:3" ht="15.75">
      <c r="A7" s="138" t="s">
        <v>5</v>
      </c>
      <c r="B7" s="138"/>
      <c r="C7" s="138"/>
    </row>
    <row r="8" spans="1:2" ht="15.75">
      <c r="A8" s="98"/>
      <c r="B8" s="98"/>
    </row>
    <row r="9" spans="1:2" ht="15" customHeight="1">
      <c r="A9" s="137" t="s">
        <v>1</v>
      </c>
      <c r="B9" s="137"/>
    </row>
    <row r="10" spans="1:2" ht="15" customHeight="1">
      <c r="A10" s="137" t="s">
        <v>0</v>
      </c>
      <c r="B10" s="137"/>
    </row>
    <row r="11" spans="1:2" ht="15" customHeight="1">
      <c r="A11" s="9"/>
      <c r="B11" s="9" t="s">
        <v>148</v>
      </c>
    </row>
    <row r="12" spans="1:3" ht="15" customHeight="1">
      <c r="A12" s="9"/>
      <c r="B12" s="9" t="s">
        <v>128</v>
      </c>
      <c r="C12" s="14"/>
    </row>
    <row r="13" spans="1:2" ht="15" customHeight="1">
      <c r="A13" s="9" t="s">
        <v>2</v>
      </c>
      <c r="B13" s="9" t="s">
        <v>99</v>
      </c>
    </row>
    <row r="14" spans="1:3" s="5" customFormat="1" ht="61.5" customHeight="1">
      <c r="A14" s="54" t="s">
        <v>3</v>
      </c>
      <c r="B14" s="54" t="s">
        <v>4</v>
      </c>
      <c r="C14" s="54" t="s">
        <v>53</v>
      </c>
    </row>
    <row r="15" spans="1:3" ht="15.75">
      <c r="A15" s="22">
        <v>1</v>
      </c>
      <c r="B15" s="23">
        <v>2</v>
      </c>
      <c r="C15" s="23">
        <v>3</v>
      </c>
    </row>
    <row r="16" spans="1:3" ht="15.75">
      <c r="A16" s="24"/>
      <c r="B16" s="25" t="s">
        <v>69</v>
      </c>
      <c r="C16" s="26"/>
    </row>
    <row r="17" spans="1:3" ht="15.75">
      <c r="A17" s="27">
        <v>1100</v>
      </c>
      <c r="B17" s="27" t="s">
        <v>64</v>
      </c>
      <c r="C17" s="28">
        <v>2327.15</v>
      </c>
    </row>
    <row r="18" spans="1:3" ht="15.75" customHeight="1">
      <c r="A18" s="27">
        <v>1200</v>
      </c>
      <c r="B18" s="29" t="s">
        <v>63</v>
      </c>
      <c r="C18" s="28">
        <v>560.61</v>
      </c>
    </row>
    <row r="19" spans="1:3" ht="14.25" customHeight="1">
      <c r="A19" s="27">
        <v>2210</v>
      </c>
      <c r="B19" s="29" t="s">
        <v>27</v>
      </c>
      <c r="C19" s="28">
        <v>13.23</v>
      </c>
    </row>
    <row r="20" spans="1:3" ht="15.75">
      <c r="A20" s="27">
        <v>2222</v>
      </c>
      <c r="B20" s="29" t="s">
        <v>28</v>
      </c>
      <c r="C20" s="28">
        <v>78.62</v>
      </c>
    </row>
    <row r="21" spans="1:3" ht="15.75">
      <c r="A21" s="27">
        <v>2223</v>
      </c>
      <c r="B21" s="29" t="s">
        <v>29</v>
      </c>
      <c r="C21" s="28">
        <v>84.44</v>
      </c>
    </row>
    <row r="22" spans="1:3" ht="15" customHeight="1">
      <c r="A22" s="27">
        <v>2243</v>
      </c>
      <c r="B22" s="29" t="s">
        <v>9</v>
      </c>
      <c r="C22" s="28">
        <v>28.58</v>
      </c>
    </row>
    <row r="23" spans="1:3" ht="15.75">
      <c r="A23" s="27">
        <v>2244</v>
      </c>
      <c r="B23" s="29" t="s">
        <v>10</v>
      </c>
      <c r="C23" s="28">
        <v>57.17</v>
      </c>
    </row>
    <row r="24" spans="1:3" ht="15.75">
      <c r="A24" s="27">
        <v>2251</v>
      </c>
      <c r="B24" s="29" t="s">
        <v>61</v>
      </c>
      <c r="C24" s="28">
        <v>9.53</v>
      </c>
    </row>
    <row r="25" spans="1:3" ht="16.5" customHeight="1" hidden="1">
      <c r="A25" s="27">
        <v>2261</v>
      </c>
      <c r="B25" s="29" t="s">
        <v>11</v>
      </c>
      <c r="C25" s="28"/>
    </row>
    <row r="26" spans="1:3" ht="15.75">
      <c r="A26" s="27">
        <v>2279</v>
      </c>
      <c r="B26" s="29" t="s">
        <v>14</v>
      </c>
      <c r="C26" s="28">
        <v>13.15</v>
      </c>
    </row>
    <row r="27" spans="1:3" ht="15.75">
      <c r="A27" s="27">
        <v>2311</v>
      </c>
      <c r="B27" s="29" t="s">
        <v>74</v>
      </c>
      <c r="C27" s="28">
        <v>23.66</v>
      </c>
    </row>
    <row r="28" spans="1:3" ht="15.75">
      <c r="A28" s="27">
        <v>2312</v>
      </c>
      <c r="B28" s="29" t="s">
        <v>16</v>
      </c>
      <c r="C28" s="28">
        <v>41.62</v>
      </c>
    </row>
    <row r="29" spans="1:3" ht="15" customHeight="1">
      <c r="A29" s="27">
        <v>2321</v>
      </c>
      <c r="B29" s="29" t="s">
        <v>17</v>
      </c>
      <c r="C29" s="28">
        <v>86.67</v>
      </c>
    </row>
    <row r="30" spans="1:3" ht="15" customHeight="1">
      <c r="A30" s="27">
        <v>2350</v>
      </c>
      <c r="B30" s="29" t="s">
        <v>19</v>
      </c>
      <c r="C30" s="28">
        <v>28.87</v>
      </c>
    </row>
    <row r="31" spans="1:3" ht="15.75" hidden="1">
      <c r="A31" s="27">
        <v>2361</v>
      </c>
      <c r="B31" s="29" t="s">
        <v>20</v>
      </c>
      <c r="C31" s="28">
        <v>0</v>
      </c>
    </row>
    <row r="32" spans="1:3" ht="15.75">
      <c r="A32" s="27">
        <v>2370</v>
      </c>
      <c r="B32" s="29" t="s">
        <v>70</v>
      </c>
      <c r="C32" s="28">
        <v>58.87</v>
      </c>
    </row>
    <row r="33" spans="1:3" ht="15.75" hidden="1">
      <c r="A33" s="55">
        <v>2513</v>
      </c>
      <c r="B33" s="29" t="s">
        <v>22</v>
      </c>
      <c r="C33" s="28"/>
    </row>
    <row r="34" spans="1:3" ht="15" customHeight="1">
      <c r="A34" s="27">
        <v>5230</v>
      </c>
      <c r="B34" s="29" t="s">
        <v>58</v>
      </c>
      <c r="C34" s="93">
        <v>42.06</v>
      </c>
    </row>
    <row r="35" spans="1:3" ht="15" customHeight="1">
      <c r="A35" s="27"/>
      <c r="B35" s="30" t="s">
        <v>66</v>
      </c>
      <c r="C35" s="31">
        <f>SUM(C17:C34)</f>
        <v>3454.23</v>
      </c>
    </row>
    <row r="36" spans="1:3" ht="15" customHeight="1">
      <c r="A36" s="32"/>
      <c r="B36" s="27" t="s">
        <v>65</v>
      </c>
      <c r="C36" s="26"/>
    </row>
    <row r="37" spans="1:3" ht="15" customHeight="1">
      <c r="A37" s="27">
        <v>1100</v>
      </c>
      <c r="B37" s="27" t="s">
        <v>64</v>
      </c>
      <c r="C37" s="28">
        <v>614.11</v>
      </c>
    </row>
    <row r="38" spans="1:3" ht="15.75" customHeight="1">
      <c r="A38" s="27">
        <v>1200</v>
      </c>
      <c r="B38" s="29" t="s">
        <v>63</v>
      </c>
      <c r="C38" s="28">
        <v>147.94</v>
      </c>
    </row>
    <row r="39" spans="1:3" ht="15" customHeight="1">
      <c r="A39" s="33">
        <v>2210</v>
      </c>
      <c r="B39" s="29" t="s">
        <v>27</v>
      </c>
      <c r="C39" s="28">
        <v>7.62</v>
      </c>
    </row>
    <row r="40" spans="1:3" ht="15" customHeight="1">
      <c r="A40" s="27">
        <v>2230</v>
      </c>
      <c r="B40" s="29" t="s">
        <v>30</v>
      </c>
      <c r="C40" s="28">
        <v>7.26</v>
      </c>
    </row>
    <row r="41" spans="1:3" ht="15" customHeight="1">
      <c r="A41" s="27">
        <v>2241</v>
      </c>
      <c r="B41" s="29" t="s">
        <v>7</v>
      </c>
      <c r="C41" s="28">
        <v>52.07</v>
      </c>
    </row>
    <row r="42" spans="1:3" ht="15" customHeight="1">
      <c r="A42" s="27">
        <v>2242</v>
      </c>
      <c r="B42" s="29" t="s">
        <v>8</v>
      </c>
      <c r="C42" s="28">
        <v>12.55</v>
      </c>
    </row>
    <row r="43" spans="1:3" ht="15" customHeight="1">
      <c r="A43" s="27">
        <v>2243</v>
      </c>
      <c r="B43" s="29" t="s">
        <v>9</v>
      </c>
      <c r="C43" s="28">
        <v>34.91</v>
      </c>
    </row>
    <row r="44" spans="1:3" ht="15" customHeight="1">
      <c r="A44" s="27">
        <v>2244</v>
      </c>
      <c r="B44" s="29" t="s">
        <v>10</v>
      </c>
      <c r="C44" s="28">
        <v>31.11</v>
      </c>
    </row>
    <row r="45" spans="1:3" ht="15.75">
      <c r="A45" s="27">
        <v>2247</v>
      </c>
      <c r="B45" s="25" t="s">
        <v>60</v>
      </c>
      <c r="C45" s="28">
        <v>1.46</v>
      </c>
    </row>
    <row r="46" spans="1:3" ht="15" customHeight="1">
      <c r="A46" s="27">
        <v>2251</v>
      </c>
      <c r="B46" s="29" t="s">
        <v>61</v>
      </c>
      <c r="C46" s="28">
        <v>11.32</v>
      </c>
    </row>
    <row r="47" spans="1:3" ht="15" customHeight="1">
      <c r="A47" s="27">
        <v>2259</v>
      </c>
      <c r="B47" s="29" t="s">
        <v>62</v>
      </c>
      <c r="C47" s="28">
        <v>0.14</v>
      </c>
    </row>
    <row r="48" spans="1:3" ht="15" customHeight="1">
      <c r="A48" s="27">
        <v>2262</v>
      </c>
      <c r="B48" s="29" t="s">
        <v>12</v>
      </c>
      <c r="C48" s="28">
        <v>7.61</v>
      </c>
    </row>
    <row r="49" spans="1:3" ht="15" customHeight="1">
      <c r="A49" s="27">
        <v>2264</v>
      </c>
      <c r="B49" s="29" t="s">
        <v>13</v>
      </c>
      <c r="C49" s="28">
        <v>0.14</v>
      </c>
    </row>
    <row r="50" spans="1:3" ht="15" customHeight="1">
      <c r="A50" s="27">
        <v>2279</v>
      </c>
      <c r="B50" s="29" t="s">
        <v>14</v>
      </c>
      <c r="C50" s="28">
        <v>2.48</v>
      </c>
    </row>
    <row r="51" spans="1:3" ht="15" customHeight="1">
      <c r="A51" s="27">
        <v>2311</v>
      </c>
      <c r="B51" s="29" t="s">
        <v>15</v>
      </c>
      <c r="C51" s="28">
        <v>16.51</v>
      </c>
    </row>
    <row r="52" spans="1:3" ht="15" customHeight="1">
      <c r="A52" s="27">
        <v>2312</v>
      </c>
      <c r="B52" s="29" t="s">
        <v>16</v>
      </c>
      <c r="C52" s="28">
        <v>42.35</v>
      </c>
    </row>
    <row r="53" spans="1:3" ht="15" customHeight="1">
      <c r="A53" s="27">
        <v>2322</v>
      </c>
      <c r="B53" s="29" t="s">
        <v>18</v>
      </c>
      <c r="C53" s="28">
        <v>4.8</v>
      </c>
    </row>
    <row r="54" spans="1:3" ht="15" customHeight="1">
      <c r="A54" s="27">
        <v>2350</v>
      </c>
      <c r="B54" s="29" t="s">
        <v>19</v>
      </c>
      <c r="C54" s="28">
        <v>33.71</v>
      </c>
    </row>
    <row r="55" spans="1:3" ht="15" customHeight="1">
      <c r="A55" s="27">
        <v>2515</v>
      </c>
      <c r="B55" s="29" t="s">
        <v>59</v>
      </c>
      <c r="C55" s="28">
        <v>7.34</v>
      </c>
    </row>
    <row r="56" spans="1:3" ht="15" customHeight="1">
      <c r="A56" s="27">
        <v>5232</v>
      </c>
      <c r="B56" s="29" t="s">
        <v>23</v>
      </c>
      <c r="C56" s="28">
        <v>43.53</v>
      </c>
    </row>
    <row r="57" spans="1:3" ht="15" customHeight="1" hidden="1">
      <c r="A57" s="27">
        <v>5240</v>
      </c>
      <c r="B57" s="29" t="s">
        <v>25</v>
      </c>
      <c r="C57" s="28"/>
    </row>
    <row r="58" spans="1:3" ht="15" customHeight="1">
      <c r="A58" s="27">
        <v>5250</v>
      </c>
      <c r="B58" s="29" t="s">
        <v>26</v>
      </c>
      <c r="C58" s="28">
        <v>38.41</v>
      </c>
    </row>
    <row r="59" spans="1:3" ht="15.75">
      <c r="A59" s="32"/>
      <c r="B59" s="34" t="s">
        <v>67</v>
      </c>
      <c r="C59" s="31">
        <f>SUM(C37:C58)</f>
        <v>1117.37</v>
      </c>
    </row>
    <row r="60" spans="1:3" ht="15" customHeight="1">
      <c r="A60" s="32"/>
      <c r="B60" s="34" t="s">
        <v>32</v>
      </c>
      <c r="C60" s="31">
        <f>C35+C59</f>
        <v>4571.6</v>
      </c>
    </row>
    <row r="61" spans="1:3" ht="15.75">
      <c r="A61" s="35"/>
      <c r="B61" s="20"/>
      <c r="C61" s="92"/>
    </row>
    <row r="62" spans="1:3" ht="15.75">
      <c r="A62" s="137" t="s">
        <v>45</v>
      </c>
      <c r="B62" s="137"/>
      <c r="C62" s="108">
        <v>5</v>
      </c>
    </row>
    <row r="63" spans="1:3" ht="15.75" customHeight="1">
      <c r="A63" s="137" t="s">
        <v>46</v>
      </c>
      <c r="B63" s="137"/>
      <c r="C63" s="109">
        <f>C60/C62</f>
        <v>914.32</v>
      </c>
    </row>
    <row r="64" spans="1:3" ht="15.75" customHeight="1">
      <c r="A64" s="9"/>
      <c r="B64" s="9"/>
      <c r="C64" s="36"/>
    </row>
    <row r="65" spans="1:3" s="2" customFormat="1" ht="15.75">
      <c r="A65" s="139" t="s">
        <v>37</v>
      </c>
      <c r="B65" s="140"/>
      <c r="C65" s="39"/>
    </row>
    <row r="66" spans="1:3" s="2" customFormat="1" ht="15.75">
      <c r="A66" s="139" t="s">
        <v>54</v>
      </c>
      <c r="B66" s="140"/>
      <c r="C66" s="39"/>
    </row>
    <row r="67" spans="1:3" s="2" customFormat="1" ht="15" customHeight="1">
      <c r="A67" s="17"/>
      <c r="B67" s="17"/>
      <c r="C67" s="65"/>
    </row>
    <row r="68" spans="1:3" s="2" customFormat="1" ht="15.75">
      <c r="A68" s="17" t="s">
        <v>38</v>
      </c>
      <c r="B68" s="17"/>
      <c r="C68" s="17"/>
    </row>
    <row r="69" spans="1:3" s="2" customFormat="1" ht="15" customHeight="1">
      <c r="A69" s="17"/>
      <c r="B69" s="17"/>
      <c r="C69" s="65"/>
    </row>
    <row r="70" spans="1:3" s="2" customFormat="1" ht="15.75">
      <c r="A70" s="17" t="s">
        <v>47</v>
      </c>
      <c r="B70" s="18"/>
      <c r="C70" s="91"/>
    </row>
    <row r="71" spans="1:3" s="2" customFormat="1" ht="13.5" customHeight="1">
      <c r="A71" s="17"/>
      <c r="B71" s="97"/>
      <c r="C71" s="65"/>
    </row>
    <row r="72" spans="1:3" s="2" customFormat="1" ht="13.5" customHeight="1">
      <c r="A72" s="17"/>
      <c r="B72" s="19"/>
      <c r="C72" s="17"/>
    </row>
    <row r="73" spans="1:3" s="1" customFormat="1" ht="15">
      <c r="A73" s="6"/>
      <c r="B73" s="6"/>
      <c r="C73" s="92"/>
    </row>
  </sheetData>
  <sheetProtection/>
  <mergeCells count="10">
    <mergeCell ref="A62:B62"/>
    <mergeCell ref="A63:B63"/>
    <mergeCell ref="A65:B65"/>
    <mergeCell ref="A66:B66"/>
    <mergeCell ref="B1:C1"/>
    <mergeCell ref="B2:C2"/>
    <mergeCell ref="B3:C3"/>
    <mergeCell ref="A7:C7"/>
    <mergeCell ref="A9:B9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Roman,Regular"LManotp1_130218_MK1002; Grozījumi MK 24.09.2013. noteikumos Nr.1002 "Sociālās integrācijas valsts aģentūras sniegto maksas pakalpojumu cenrādis"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view="pageLayout" workbookViewId="0" topLeftCell="A41">
      <selection activeCell="B11" sqref="B11"/>
    </sheetView>
  </sheetViews>
  <sheetFormatPr defaultColWidth="9.140625" defaultRowHeight="12.75"/>
  <cols>
    <col min="1" max="1" width="11.8515625" style="6" customWidth="1"/>
    <col min="2" max="2" width="94.7109375" style="6" customWidth="1"/>
    <col min="3" max="3" width="17.28125" style="101" hidden="1" customWidth="1"/>
    <col min="4" max="4" width="31.57421875" style="6" customWidth="1"/>
  </cols>
  <sheetData>
    <row r="1" spans="1:4" ht="15.75">
      <c r="A1" s="12"/>
      <c r="B1" s="133" t="s">
        <v>35</v>
      </c>
      <c r="C1" s="133"/>
      <c r="D1" s="134"/>
    </row>
    <row r="2" spans="1:4" ht="15.75">
      <c r="A2" s="12"/>
      <c r="B2" s="135" t="s">
        <v>39</v>
      </c>
      <c r="C2" s="135"/>
      <c r="D2" s="136"/>
    </row>
    <row r="3" spans="1:4" ht="15.75">
      <c r="A3" s="12"/>
      <c r="B3" s="131" t="s">
        <v>57</v>
      </c>
      <c r="C3" s="131"/>
      <c r="D3" s="132"/>
    </row>
    <row r="4" spans="1:4" ht="15.75">
      <c r="A4" s="12"/>
      <c r="B4" s="11"/>
      <c r="C4" s="102"/>
      <c r="D4" s="97"/>
    </row>
    <row r="5" spans="1:4" ht="15.75">
      <c r="A5" s="12"/>
      <c r="B5" s="15"/>
      <c r="C5" s="15"/>
      <c r="D5" s="11" t="s">
        <v>131</v>
      </c>
    </row>
    <row r="6" spans="1:4" ht="15.75">
      <c r="A6" s="12"/>
      <c r="B6" s="11"/>
      <c r="C6" s="102"/>
      <c r="D6" s="11"/>
    </row>
    <row r="7" spans="1:4" ht="15.75">
      <c r="A7" s="138" t="s">
        <v>5</v>
      </c>
      <c r="B7" s="138"/>
      <c r="C7" s="138"/>
      <c r="D7" s="138"/>
    </row>
    <row r="8" spans="1:3" ht="15.75">
      <c r="A8" s="98"/>
      <c r="B8" s="98"/>
      <c r="C8" s="98"/>
    </row>
    <row r="9" spans="1:3" ht="15.75">
      <c r="A9" s="137" t="s">
        <v>1</v>
      </c>
      <c r="B9" s="137"/>
      <c r="C9" s="10"/>
    </row>
    <row r="10" spans="1:3" ht="15.75">
      <c r="A10" s="137" t="s">
        <v>0</v>
      </c>
      <c r="B10" s="137"/>
      <c r="C10" s="10"/>
    </row>
    <row r="11" spans="1:3" ht="15.75">
      <c r="A11" s="9"/>
      <c r="B11" s="9" t="s">
        <v>148</v>
      </c>
      <c r="C11" s="10"/>
    </row>
    <row r="12" spans="1:4" ht="15.75">
      <c r="A12" s="9"/>
      <c r="B12" s="9" t="s">
        <v>130</v>
      </c>
      <c r="C12" s="10"/>
      <c r="D12" s="14"/>
    </row>
    <row r="13" spans="1:4" ht="15.75">
      <c r="A13" s="9"/>
      <c r="B13" s="9" t="s">
        <v>134</v>
      </c>
      <c r="C13" s="10"/>
      <c r="D13" s="14"/>
    </row>
    <row r="14" spans="1:3" ht="15.75">
      <c r="A14" s="9" t="s">
        <v>2</v>
      </c>
      <c r="B14" s="9" t="s">
        <v>99</v>
      </c>
      <c r="C14" s="10"/>
    </row>
    <row r="15" spans="1:4" ht="47.25">
      <c r="A15" s="54" t="s">
        <v>3</v>
      </c>
      <c r="B15" s="54" t="s">
        <v>4</v>
      </c>
      <c r="C15" s="54"/>
      <c r="D15" s="54" t="s">
        <v>53</v>
      </c>
    </row>
    <row r="16" spans="1:4" ht="15.75">
      <c r="A16" s="22">
        <v>1</v>
      </c>
      <c r="B16" s="23">
        <v>2</v>
      </c>
      <c r="C16" s="23"/>
      <c r="D16" s="23">
        <v>3</v>
      </c>
    </row>
    <row r="17" spans="1:4" ht="15.75">
      <c r="A17" s="24"/>
      <c r="B17" s="25" t="s">
        <v>69</v>
      </c>
      <c r="C17" s="26"/>
      <c r="D17" s="26"/>
    </row>
    <row r="18" spans="1:4" ht="15.75">
      <c r="A18" s="27">
        <v>1100</v>
      </c>
      <c r="B18" s="27" t="s">
        <v>64</v>
      </c>
      <c r="C18" s="26">
        <v>0.93</v>
      </c>
      <c r="D18" s="28">
        <f>C18*15</f>
        <v>13.950000000000001</v>
      </c>
    </row>
    <row r="19" spans="1:4" ht="15.75" customHeight="1">
      <c r="A19" s="27">
        <v>1200</v>
      </c>
      <c r="B19" s="29" t="s">
        <v>63</v>
      </c>
      <c r="C19" s="103">
        <v>0.22</v>
      </c>
      <c r="D19" s="28">
        <f aca="true" t="shared" si="0" ref="D19:D35">C19*15</f>
        <v>3.3</v>
      </c>
    </row>
    <row r="20" spans="1:4" ht="15.75" hidden="1">
      <c r="A20" s="27">
        <v>2210</v>
      </c>
      <c r="B20" s="29" t="s">
        <v>27</v>
      </c>
      <c r="C20" s="103"/>
      <c r="D20" s="28">
        <f t="shared" si="0"/>
        <v>0</v>
      </c>
    </row>
    <row r="21" spans="1:4" ht="15.75" hidden="1">
      <c r="A21" s="27">
        <v>2222</v>
      </c>
      <c r="B21" s="29" t="s">
        <v>28</v>
      </c>
      <c r="C21" s="103"/>
      <c r="D21" s="28">
        <f t="shared" si="0"/>
        <v>0</v>
      </c>
    </row>
    <row r="22" spans="1:4" ht="15.75" hidden="1">
      <c r="A22" s="27">
        <v>2223</v>
      </c>
      <c r="B22" s="29" t="s">
        <v>29</v>
      </c>
      <c r="C22" s="103"/>
      <c r="D22" s="28">
        <f t="shared" si="0"/>
        <v>0</v>
      </c>
    </row>
    <row r="23" spans="1:4" ht="15.75" hidden="1">
      <c r="A23" s="27">
        <v>2243</v>
      </c>
      <c r="B23" s="29" t="s">
        <v>9</v>
      </c>
      <c r="C23" s="103"/>
      <c r="D23" s="28">
        <f t="shared" si="0"/>
        <v>0</v>
      </c>
    </row>
    <row r="24" spans="1:4" ht="15.75" hidden="1">
      <c r="A24" s="27">
        <v>2244</v>
      </c>
      <c r="B24" s="29" t="s">
        <v>10</v>
      </c>
      <c r="C24" s="103"/>
      <c r="D24" s="28">
        <f t="shared" si="0"/>
        <v>0</v>
      </c>
    </row>
    <row r="25" spans="1:4" ht="15.75" hidden="1">
      <c r="A25" s="27">
        <v>2251</v>
      </c>
      <c r="B25" s="29" t="s">
        <v>61</v>
      </c>
      <c r="C25" s="103"/>
      <c r="D25" s="28">
        <f t="shared" si="0"/>
        <v>0</v>
      </c>
    </row>
    <row r="26" spans="1:4" ht="15.75" hidden="1">
      <c r="A26" s="27">
        <v>2261</v>
      </c>
      <c r="B26" s="29" t="s">
        <v>11</v>
      </c>
      <c r="C26" s="103"/>
      <c r="D26" s="28">
        <f t="shared" si="0"/>
        <v>0</v>
      </c>
    </row>
    <row r="27" spans="1:4" ht="15.75" hidden="1">
      <c r="A27" s="27">
        <v>2279</v>
      </c>
      <c r="B27" s="29" t="s">
        <v>14</v>
      </c>
      <c r="C27" s="103"/>
      <c r="D27" s="28">
        <f t="shared" si="0"/>
        <v>0</v>
      </c>
    </row>
    <row r="28" spans="1:4" ht="15.75">
      <c r="A28" s="27">
        <v>2311</v>
      </c>
      <c r="B28" s="29" t="s">
        <v>74</v>
      </c>
      <c r="C28" s="45">
        <v>0.8</v>
      </c>
      <c r="D28" s="28">
        <f t="shared" si="0"/>
        <v>12</v>
      </c>
    </row>
    <row r="29" spans="1:4" ht="45" customHeight="1" hidden="1">
      <c r="A29" s="27">
        <v>2312</v>
      </c>
      <c r="B29" s="29" t="s">
        <v>16</v>
      </c>
      <c r="C29" s="103"/>
      <c r="D29" s="28">
        <f t="shared" si="0"/>
        <v>0</v>
      </c>
    </row>
    <row r="30" spans="1:4" ht="45" customHeight="1" hidden="1">
      <c r="A30" s="27">
        <v>2321</v>
      </c>
      <c r="B30" s="29" t="s">
        <v>17</v>
      </c>
      <c r="C30" s="103"/>
      <c r="D30" s="28">
        <f t="shared" si="0"/>
        <v>0</v>
      </c>
    </row>
    <row r="31" spans="1:4" ht="15.75" hidden="1">
      <c r="A31" s="27">
        <v>2350</v>
      </c>
      <c r="B31" s="29" t="s">
        <v>19</v>
      </c>
      <c r="C31" s="103"/>
      <c r="D31" s="28">
        <f t="shared" si="0"/>
        <v>0</v>
      </c>
    </row>
    <row r="32" spans="1:4" ht="15.75" hidden="1">
      <c r="A32" s="27">
        <v>2361</v>
      </c>
      <c r="B32" s="29" t="s">
        <v>20</v>
      </c>
      <c r="C32" s="103"/>
      <c r="D32" s="28">
        <f t="shared" si="0"/>
        <v>0</v>
      </c>
    </row>
    <row r="33" spans="1:4" ht="15.75" hidden="1">
      <c r="A33" s="27">
        <v>2370</v>
      </c>
      <c r="B33" s="29" t="s">
        <v>70</v>
      </c>
      <c r="C33" s="103"/>
      <c r="D33" s="28">
        <f t="shared" si="0"/>
        <v>0</v>
      </c>
    </row>
    <row r="34" spans="1:4" ht="15.75" hidden="1">
      <c r="A34" s="55">
        <v>2513</v>
      </c>
      <c r="B34" s="29" t="s">
        <v>22</v>
      </c>
      <c r="C34" s="103"/>
      <c r="D34" s="28">
        <f t="shared" si="0"/>
        <v>0</v>
      </c>
    </row>
    <row r="35" spans="1:4" ht="15.75">
      <c r="A35" s="27">
        <v>5238</v>
      </c>
      <c r="B35" s="29" t="s">
        <v>129</v>
      </c>
      <c r="C35" s="103">
        <v>0.05</v>
      </c>
      <c r="D35" s="28">
        <f t="shared" si="0"/>
        <v>0.75</v>
      </c>
    </row>
    <row r="36" spans="1:4" ht="15.75">
      <c r="A36" s="27"/>
      <c r="B36" s="30" t="s">
        <v>66</v>
      </c>
      <c r="C36" s="31">
        <f>SUM(C18:C35)</f>
        <v>2</v>
      </c>
      <c r="D36" s="31">
        <f>SUM(D18:D35)</f>
        <v>30</v>
      </c>
    </row>
    <row r="37" spans="1:4" ht="15.75">
      <c r="A37" s="32"/>
      <c r="B37" s="27" t="s">
        <v>65</v>
      </c>
      <c r="C37" s="26"/>
      <c r="D37" s="26"/>
    </row>
    <row r="38" spans="1:4" ht="15.75">
      <c r="A38" s="27">
        <v>1100</v>
      </c>
      <c r="B38" s="27" t="s">
        <v>64</v>
      </c>
      <c r="C38" s="28">
        <v>0.2</v>
      </c>
      <c r="D38" s="28">
        <f aca="true" t="shared" si="1" ref="D38:D65">C38*15</f>
        <v>3</v>
      </c>
    </row>
    <row r="39" spans="1:4" ht="15.75" customHeight="1">
      <c r="A39" s="27">
        <v>1200</v>
      </c>
      <c r="B39" s="29" t="s">
        <v>63</v>
      </c>
      <c r="C39" s="103">
        <v>0.05</v>
      </c>
      <c r="D39" s="28">
        <f t="shared" si="1"/>
        <v>0.75</v>
      </c>
    </row>
    <row r="40" spans="1:4" ht="15.75">
      <c r="A40" s="33">
        <v>2210</v>
      </c>
      <c r="B40" s="29" t="s">
        <v>27</v>
      </c>
      <c r="C40" s="103">
        <v>0.04</v>
      </c>
      <c r="D40" s="28">
        <f t="shared" si="1"/>
        <v>0.6</v>
      </c>
    </row>
    <row r="41" spans="1:4" ht="15.75">
      <c r="A41" s="27">
        <v>2222</v>
      </c>
      <c r="B41" s="29" t="s">
        <v>28</v>
      </c>
      <c r="C41" s="103">
        <v>0.1</v>
      </c>
      <c r="D41" s="28">
        <f t="shared" si="1"/>
        <v>1.5</v>
      </c>
    </row>
    <row r="42" spans="1:4" ht="15.75">
      <c r="A42" s="27">
        <v>2223</v>
      </c>
      <c r="B42" s="29" t="s">
        <v>29</v>
      </c>
      <c r="C42" s="103">
        <v>0.12</v>
      </c>
      <c r="D42" s="28">
        <f t="shared" si="1"/>
        <v>1.7999999999999998</v>
      </c>
    </row>
    <row r="43" spans="1:4" ht="15.75" hidden="1">
      <c r="A43" s="33"/>
      <c r="B43" s="29"/>
      <c r="C43" s="103"/>
      <c r="D43" s="28">
        <f t="shared" si="1"/>
        <v>0</v>
      </c>
    </row>
    <row r="44" spans="1:4" ht="15.75" hidden="1">
      <c r="A44" s="27">
        <v>2230</v>
      </c>
      <c r="B44" s="29" t="s">
        <v>30</v>
      </c>
      <c r="C44" s="103"/>
      <c r="D44" s="28">
        <f t="shared" si="1"/>
        <v>0</v>
      </c>
    </row>
    <row r="45" spans="1:4" ht="15.75" hidden="1">
      <c r="A45" s="27"/>
      <c r="B45" s="29"/>
      <c r="C45" s="103"/>
      <c r="D45" s="28">
        <f t="shared" si="1"/>
        <v>0</v>
      </c>
    </row>
    <row r="46" spans="1:4" ht="15.75" hidden="1">
      <c r="A46" s="27"/>
      <c r="B46" s="29"/>
      <c r="C46" s="103"/>
      <c r="D46" s="28">
        <f t="shared" si="1"/>
        <v>0</v>
      </c>
    </row>
    <row r="47" spans="1:4" ht="15.75" hidden="1">
      <c r="A47" s="27">
        <v>2241</v>
      </c>
      <c r="B47" s="29" t="s">
        <v>7</v>
      </c>
      <c r="C47" s="103"/>
      <c r="D47" s="28">
        <f t="shared" si="1"/>
        <v>0</v>
      </c>
    </row>
    <row r="48" spans="1:4" ht="15.75" hidden="1">
      <c r="A48" s="27">
        <v>2242</v>
      </c>
      <c r="B48" s="29" t="s">
        <v>8</v>
      </c>
      <c r="C48" s="103"/>
      <c r="D48" s="28">
        <f t="shared" si="1"/>
        <v>0</v>
      </c>
    </row>
    <row r="49" spans="1:4" ht="15.75">
      <c r="A49" s="27">
        <v>2243</v>
      </c>
      <c r="B49" s="29" t="s">
        <v>9</v>
      </c>
      <c r="C49" s="103">
        <v>0.03</v>
      </c>
      <c r="D49" s="28">
        <f t="shared" si="1"/>
        <v>0.44999999999999996</v>
      </c>
    </row>
    <row r="50" spans="1:4" ht="15.75">
      <c r="A50" s="27">
        <v>2244</v>
      </c>
      <c r="B50" s="29" t="s">
        <v>10</v>
      </c>
      <c r="C50" s="103">
        <v>0.06</v>
      </c>
      <c r="D50" s="28">
        <f t="shared" si="1"/>
        <v>0.8999999999999999</v>
      </c>
    </row>
    <row r="51" spans="1:4" ht="15.75" hidden="1">
      <c r="A51" s="27">
        <v>2247</v>
      </c>
      <c r="B51" s="25" t="s">
        <v>60</v>
      </c>
      <c r="C51" s="26"/>
      <c r="D51" s="28">
        <f t="shared" si="1"/>
        <v>0</v>
      </c>
    </row>
    <row r="52" spans="1:4" ht="15.75" hidden="1">
      <c r="A52" s="27">
        <v>2251</v>
      </c>
      <c r="B52" s="29" t="s">
        <v>61</v>
      </c>
      <c r="C52" s="103"/>
      <c r="D52" s="28">
        <f t="shared" si="1"/>
        <v>0</v>
      </c>
    </row>
    <row r="53" spans="1:4" ht="15.75" hidden="1">
      <c r="A53" s="27">
        <v>2259</v>
      </c>
      <c r="B53" s="29" t="s">
        <v>62</v>
      </c>
      <c r="C53" s="103"/>
      <c r="D53" s="28">
        <f t="shared" si="1"/>
        <v>0</v>
      </c>
    </row>
    <row r="54" spans="1:4" ht="15.75" hidden="1">
      <c r="A54" s="27">
        <v>2262</v>
      </c>
      <c r="B54" s="29" t="s">
        <v>12</v>
      </c>
      <c r="C54" s="103"/>
      <c r="D54" s="28">
        <f t="shared" si="1"/>
        <v>0</v>
      </c>
    </row>
    <row r="55" spans="1:4" ht="15.75" hidden="1">
      <c r="A55" s="27">
        <v>2264</v>
      </c>
      <c r="B55" s="29" t="s">
        <v>13</v>
      </c>
      <c r="C55" s="103"/>
      <c r="D55" s="28">
        <f t="shared" si="1"/>
        <v>0</v>
      </c>
    </row>
    <row r="56" spans="1:4" ht="15.75" hidden="1">
      <c r="A56" s="27">
        <v>2279</v>
      </c>
      <c r="B56" s="29" t="s">
        <v>14</v>
      </c>
      <c r="C56" s="103"/>
      <c r="D56" s="28">
        <f t="shared" si="1"/>
        <v>0</v>
      </c>
    </row>
    <row r="57" spans="1:4" ht="15.75">
      <c r="A57" s="27">
        <v>2311</v>
      </c>
      <c r="B57" s="29" t="s">
        <v>15</v>
      </c>
      <c r="C57" s="103">
        <v>0.03</v>
      </c>
      <c r="D57" s="28">
        <f t="shared" si="1"/>
        <v>0.44999999999999996</v>
      </c>
    </row>
    <row r="58" spans="1:4" ht="15.75">
      <c r="A58" s="27">
        <v>2312</v>
      </c>
      <c r="B58" s="29" t="s">
        <v>16</v>
      </c>
      <c r="C58" s="103">
        <v>0.05</v>
      </c>
      <c r="D58" s="28">
        <f t="shared" si="1"/>
        <v>0.75</v>
      </c>
    </row>
    <row r="59" spans="1:4" ht="15.75">
      <c r="A59" s="27">
        <v>2321</v>
      </c>
      <c r="B59" s="29" t="s">
        <v>17</v>
      </c>
      <c r="C59" s="103">
        <v>0.15</v>
      </c>
      <c r="D59" s="28">
        <f t="shared" si="1"/>
        <v>2.25</v>
      </c>
    </row>
    <row r="60" spans="1:4" ht="15.75" hidden="1">
      <c r="A60" s="27">
        <v>2322</v>
      </c>
      <c r="B60" s="29" t="s">
        <v>18</v>
      </c>
      <c r="C60" s="103"/>
      <c r="D60" s="28">
        <f t="shared" si="1"/>
        <v>0</v>
      </c>
    </row>
    <row r="61" spans="1:4" ht="15.75" hidden="1">
      <c r="A61" s="27">
        <v>2350</v>
      </c>
      <c r="B61" s="29" t="s">
        <v>19</v>
      </c>
      <c r="C61" s="103"/>
      <c r="D61" s="28">
        <f t="shared" si="1"/>
        <v>0</v>
      </c>
    </row>
    <row r="62" spans="1:4" ht="15.75" hidden="1">
      <c r="A62" s="27">
        <v>2515</v>
      </c>
      <c r="B62" s="29" t="s">
        <v>59</v>
      </c>
      <c r="C62" s="103"/>
      <c r="D62" s="28">
        <f t="shared" si="1"/>
        <v>0</v>
      </c>
    </row>
    <row r="63" spans="1:4" ht="15.75">
      <c r="A63" s="27">
        <v>5232</v>
      </c>
      <c r="B63" s="29" t="s">
        <v>23</v>
      </c>
      <c r="C63" s="45">
        <v>0.17</v>
      </c>
      <c r="D63" s="28">
        <f t="shared" si="1"/>
        <v>2.5500000000000003</v>
      </c>
    </row>
    <row r="64" spans="1:4" ht="15.75" hidden="1">
      <c r="A64" s="27">
        <v>5240</v>
      </c>
      <c r="B64" s="29" t="s">
        <v>25</v>
      </c>
      <c r="C64" s="103"/>
      <c r="D64" s="28">
        <f t="shared" si="1"/>
        <v>0</v>
      </c>
    </row>
    <row r="65" spans="1:4" ht="15.75" hidden="1">
      <c r="A65" s="27">
        <v>5250</v>
      </c>
      <c r="B65" s="29" t="s">
        <v>26</v>
      </c>
      <c r="C65" s="103"/>
      <c r="D65" s="28">
        <f t="shared" si="1"/>
        <v>0</v>
      </c>
    </row>
    <row r="66" spans="1:4" ht="15.75">
      <c r="A66" s="32"/>
      <c r="B66" s="34" t="s">
        <v>67</v>
      </c>
      <c r="C66" s="31">
        <f>SUM(C38:C65)</f>
        <v>1.0000000000000002</v>
      </c>
      <c r="D66" s="31">
        <f>SUM(D38:D65)</f>
        <v>15</v>
      </c>
    </row>
    <row r="67" spans="1:4" ht="15.75">
      <c r="A67" s="32"/>
      <c r="B67" s="34" t="s">
        <v>32</v>
      </c>
      <c r="C67" s="31">
        <f>C36+C66</f>
        <v>3</v>
      </c>
      <c r="D67" s="31">
        <f>D36+D66</f>
        <v>45</v>
      </c>
    </row>
    <row r="68" spans="1:4" ht="15.75">
      <c r="A68" s="35"/>
      <c r="B68" s="20"/>
      <c r="C68" s="104"/>
      <c r="D68" s="92"/>
    </row>
    <row r="69" spans="1:4" ht="15.75">
      <c r="A69" s="137" t="s">
        <v>45</v>
      </c>
      <c r="B69" s="137"/>
      <c r="C69" s="95">
        <v>1</v>
      </c>
      <c r="D69" s="106">
        <v>15</v>
      </c>
    </row>
    <row r="70" spans="1:4" ht="15.75">
      <c r="A70" s="137" t="s">
        <v>46</v>
      </c>
      <c r="B70" s="137"/>
      <c r="C70" s="96">
        <f>C67/C69</f>
        <v>3</v>
      </c>
      <c r="D70" s="109">
        <f>D67/D69</f>
        <v>3</v>
      </c>
    </row>
    <row r="71" spans="1:4" ht="15.75">
      <c r="A71" s="9"/>
      <c r="B71" s="9"/>
      <c r="C71" s="10"/>
      <c r="D71" s="36"/>
    </row>
    <row r="72" spans="1:4" ht="15.75">
      <c r="A72" s="139" t="s">
        <v>37</v>
      </c>
      <c r="B72" s="140"/>
      <c r="C72" s="105"/>
      <c r="D72" s="39"/>
    </row>
    <row r="73" spans="1:4" ht="15.75">
      <c r="A73" s="139" t="s">
        <v>54</v>
      </c>
      <c r="B73" s="140"/>
      <c r="C73" s="105"/>
      <c r="D73" s="39"/>
    </row>
    <row r="74" spans="1:4" ht="15.75">
      <c r="A74" s="17"/>
      <c r="B74" s="17"/>
      <c r="C74" s="19"/>
      <c r="D74" s="65"/>
    </row>
    <row r="75" spans="1:4" ht="15.75">
      <c r="A75" s="17" t="s">
        <v>38</v>
      </c>
      <c r="B75" s="17"/>
      <c r="C75" s="19"/>
      <c r="D75" s="17"/>
    </row>
    <row r="76" spans="1:4" ht="15.75">
      <c r="A76" s="17"/>
      <c r="B76" s="17"/>
      <c r="C76" s="19"/>
      <c r="D76" s="65"/>
    </row>
    <row r="77" spans="1:4" ht="15.75">
      <c r="A77" s="17" t="s">
        <v>47</v>
      </c>
      <c r="B77" s="18"/>
      <c r="C77" s="97"/>
      <c r="D77" s="91"/>
    </row>
    <row r="78" spans="1:4" ht="15.75">
      <c r="A78" s="17"/>
      <c r="B78" s="97"/>
      <c r="C78" s="97"/>
      <c r="D78" s="65"/>
    </row>
    <row r="79" spans="1:4" ht="15.75">
      <c r="A79" s="17"/>
      <c r="B79" s="19"/>
      <c r="C79" s="19"/>
      <c r="D79" s="17"/>
    </row>
    <row r="80" ht="15">
      <c r="D80" s="92"/>
    </row>
  </sheetData>
  <sheetProtection/>
  <mergeCells count="10">
    <mergeCell ref="A69:B69"/>
    <mergeCell ref="A70:B70"/>
    <mergeCell ref="A72:B72"/>
    <mergeCell ref="A73:B73"/>
    <mergeCell ref="B1:D1"/>
    <mergeCell ref="B2:D2"/>
    <mergeCell ref="B3:D3"/>
    <mergeCell ref="A7:D7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Roman,Regular"LManotp1_120118_MK1002; Grozījumi MK 24.09.2013. noteikumos Nr.1002 "Sociālās integrācijas valsts aģnetūras sniegto maksas pakalpojumu cenrādis"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view="pageLayout" workbookViewId="0" topLeftCell="A75">
      <selection activeCell="B76" sqref="B76"/>
    </sheetView>
  </sheetViews>
  <sheetFormatPr defaultColWidth="9.140625" defaultRowHeight="12.75"/>
  <cols>
    <col min="1" max="1" width="11.8515625" style="6" customWidth="1"/>
    <col min="2" max="2" width="94.7109375" style="6" customWidth="1"/>
    <col min="3" max="3" width="17.28125" style="101" hidden="1" customWidth="1"/>
    <col min="4" max="4" width="31.57421875" style="6" customWidth="1"/>
  </cols>
  <sheetData>
    <row r="1" spans="1:4" ht="15.75">
      <c r="A1" s="12"/>
      <c r="B1" s="133" t="s">
        <v>35</v>
      </c>
      <c r="C1" s="133"/>
      <c r="D1" s="134"/>
    </row>
    <row r="2" spans="1:4" ht="15.75">
      <c r="A2" s="12"/>
      <c r="B2" s="135" t="s">
        <v>39</v>
      </c>
      <c r="C2" s="135"/>
      <c r="D2" s="136"/>
    </row>
    <row r="3" spans="1:4" ht="15.75">
      <c r="A3" s="12"/>
      <c r="B3" s="131" t="s">
        <v>57</v>
      </c>
      <c r="C3" s="131"/>
      <c r="D3" s="132"/>
    </row>
    <row r="4" spans="1:4" ht="15.75">
      <c r="A4" s="12"/>
      <c r="B4" s="11"/>
      <c r="C4" s="102"/>
      <c r="D4" s="97"/>
    </row>
    <row r="5" spans="1:4" ht="15.75">
      <c r="A5" s="12"/>
      <c r="B5" s="15"/>
      <c r="C5" s="15"/>
      <c r="D5" s="11" t="s">
        <v>131</v>
      </c>
    </row>
    <row r="6" spans="1:4" ht="15.75">
      <c r="A6" s="12"/>
      <c r="B6" s="11"/>
      <c r="C6" s="102"/>
      <c r="D6" s="11"/>
    </row>
    <row r="7" spans="1:4" ht="15.75">
      <c r="A7" s="138" t="s">
        <v>5</v>
      </c>
      <c r="B7" s="138"/>
      <c r="C7" s="138"/>
      <c r="D7" s="138"/>
    </row>
    <row r="8" spans="1:3" ht="15.75">
      <c r="A8" s="98"/>
      <c r="B8" s="98"/>
      <c r="C8" s="98"/>
    </row>
    <row r="9" spans="1:3" ht="15.75" customHeight="1">
      <c r="A9" s="137" t="s">
        <v>1</v>
      </c>
      <c r="B9" s="137"/>
      <c r="C9" s="10"/>
    </row>
    <row r="10" spans="1:3" ht="15.75" customHeight="1">
      <c r="A10" s="137" t="s">
        <v>0</v>
      </c>
      <c r="B10" s="137"/>
      <c r="C10" s="10"/>
    </row>
    <row r="11" spans="1:3" ht="15.75">
      <c r="A11" s="9"/>
      <c r="B11" s="9" t="s">
        <v>148</v>
      </c>
      <c r="C11" s="10"/>
    </row>
    <row r="12" spans="1:4" ht="15.75">
      <c r="A12" s="9"/>
      <c r="B12" s="9" t="s">
        <v>130</v>
      </c>
      <c r="C12" s="10"/>
      <c r="D12" s="14"/>
    </row>
    <row r="13" spans="1:4" ht="15.75">
      <c r="A13" s="9"/>
      <c r="B13" s="9" t="s">
        <v>135</v>
      </c>
      <c r="C13" s="10"/>
      <c r="D13" s="14"/>
    </row>
    <row r="14" spans="1:3" ht="15.75">
      <c r="A14" s="9" t="s">
        <v>2</v>
      </c>
      <c r="B14" s="9" t="s">
        <v>99</v>
      </c>
      <c r="C14" s="10"/>
    </row>
    <row r="15" spans="1:4" ht="49.5" customHeight="1">
      <c r="A15" s="54" t="s">
        <v>3</v>
      </c>
      <c r="B15" s="54" t="s">
        <v>4</v>
      </c>
      <c r="C15" s="54"/>
      <c r="D15" s="54" t="s">
        <v>53</v>
      </c>
    </row>
    <row r="16" spans="1:4" ht="15.75">
      <c r="A16" s="22">
        <v>1</v>
      </c>
      <c r="B16" s="23">
        <v>2</v>
      </c>
      <c r="C16" s="23"/>
      <c r="D16" s="23">
        <v>3</v>
      </c>
    </row>
    <row r="17" spans="1:4" ht="15.75">
      <c r="A17" s="24"/>
      <c r="B17" s="25" t="s">
        <v>69</v>
      </c>
      <c r="C17" s="26"/>
      <c r="D17" s="26"/>
    </row>
    <row r="18" spans="1:4" ht="15.75">
      <c r="A18" s="27">
        <v>1100</v>
      </c>
      <c r="B18" s="27" t="s">
        <v>64</v>
      </c>
      <c r="C18" s="26">
        <v>0.59</v>
      </c>
      <c r="D18" s="28">
        <f>C18*25</f>
        <v>14.75</v>
      </c>
    </row>
    <row r="19" spans="1:4" ht="15.75" customHeight="1">
      <c r="A19" s="27">
        <v>1200</v>
      </c>
      <c r="B19" s="29" t="s">
        <v>63</v>
      </c>
      <c r="C19" s="103">
        <v>0.14</v>
      </c>
      <c r="D19" s="28">
        <f aca="true" t="shared" si="0" ref="D19:D35">C19*25</f>
        <v>3.5000000000000004</v>
      </c>
    </row>
    <row r="20" spans="1:4" ht="15.75" hidden="1">
      <c r="A20" s="27">
        <v>2210</v>
      </c>
      <c r="B20" s="29" t="s">
        <v>27</v>
      </c>
      <c r="C20" s="103"/>
      <c r="D20" s="28">
        <f t="shared" si="0"/>
        <v>0</v>
      </c>
    </row>
    <row r="21" spans="1:4" ht="15.75" hidden="1">
      <c r="A21" s="27">
        <v>2222</v>
      </c>
      <c r="B21" s="29" t="s">
        <v>28</v>
      </c>
      <c r="C21" s="103"/>
      <c r="D21" s="28">
        <f t="shared" si="0"/>
        <v>0</v>
      </c>
    </row>
    <row r="22" spans="1:4" ht="15.75" hidden="1">
      <c r="A22" s="27">
        <v>2223</v>
      </c>
      <c r="B22" s="29" t="s">
        <v>29</v>
      </c>
      <c r="C22" s="103"/>
      <c r="D22" s="28">
        <f t="shared" si="0"/>
        <v>0</v>
      </c>
    </row>
    <row r="23" spans="1:4" ht="15.75" hidden="1">
      <c r="A23" s="27">
        <v>2243</v>
      </c>
      <c r="B23" s="29" t="s">
        <v>9</v>
      </c>
      <c r="C23" s="103"/>
      <c r="D23" s="28">
        <f t="shared" si="0"/>
        <v>0</v>
      </c>
    </row>
    <row r="24" spans="1:4" ht="15.75" hidden="1">
      <c r="A24" s="27">
        <v>2244</v>
      </c>
      <c r="B24" s="29" t="s">
        <v>10</v>
      </c>
      <c r="C24" s="103"/>
      <c r="D24" s="28">
        <f t="shared" si="0"/>
        <v>0</v>
      </c>
    </row>
    <row r="25" spans="1:4" ht="15.75" hidden="1">
      <c r="A25" s="27">
        <v>2251</v>
      </c>
      <c r="B25" s="29" t="s">
        <v>61</v>
      </c>
      <c r="C25" s="103"/>
      <c r="D25" s="28">
        <f t="shared" si="0"/>
        <v>0</v>
      </c>
    </row>
    <row r="26" spans="1:4" ht="15.75" hidden="1">
      <c r="A26" s="27">
        <v>2261</v>
      </c>
      <c r="B26" s="29" t="s">
        <v>11</v>
      </c>
      <c r="C26" s="103"/>
      <c r="D26" s="28">
        <f t="shared" si="0"/>
        <v>0</v>
      </c>
    </row>
    <row r="27" spans="1:4" ht="15.75" hidden="1">
      <c r="A27" s="27">
        <v>2279</v>
      </c>
      <c r="B27" s="29" t="s">
        <v>14</v>
      </c>
      <c r="C27" s="103"/>
      <c r="D27" s="28">
        <f t="shared" si="0"/>
        <v>0</v>
      </c>
    </row>
    <row r="28" spans="1:4" ht="15.75">
      <c r="A28" s="27">
        <v>2311</v>
      </c>
      <c r="B28" s="29" t="s">
        <v>74</v>
      </c>
      <c r="C28" s="45">
        <v>0.8</v>
      </c>
      <c r="D28" s="28">
        <f t="shared" si="0"/>
        <v>20</v>
      </c>
    </row>
    <row r="29" spans="1:4" ht="15.75" hidden="1">
      <c r="A29" s="27">
        <v>2312</v>
      </c>
      <c r="B29" s="29" t="s">
        <v>16</v>
      </c>
      <c r="C29" s="103"/>
      <c r="D29" s="28">
        <f t="shared" si="0"/>
        <v>0</v>
      </c>
    </row>
    <row r="30" spans="1:4" ht="15.75" hidden="1">
      <c r="A30" s="27">
        <v>2321</v>
      </c>
      <c r="B30" s="29" t="s">
        <v>17</v>
      </c>
      <c r="C30" s="103"/>
      <c r="D30" s="28">
        <f t="shared" si="0"/>
        <v>0</v>
      </c>
    </row>
    <row r="31" spans="1:4" ht="15.75" hidden="1">
      <c r="A31" s="27">
        <v>2350</v>
      </c>
      <c r="B31" s="29" t="s">
        <v>19</v>
      </c>
      <c r="C31" s="103"/>
      <c r="D31" s="28">
        <f t="shared" si="0"/>
        <v>0</v>
      </c>
    </row>
    <row r="32" spans="1:4" ht="15.75" hidden="1">
      <c r="A32" s="27">
        <v>2361</v>
      </c>
      <c r="B32" s="29" t="s">
        <v>20</v>
      </c>
      <c r="C32" s="103"/>
      <c r="D32" s="28">
        <f t="shared" si="0"/>
        <v>0</v>
      </c>
    </row>
    <row r="33" spans="1:4" ht="15.75" hidden="1">
      <c r="A33" s="27">
        <v>2370</v>
      </c>
      <c r="B33" s="29" t="s">
        <v>70</v>
      </c>
      <c r="C33" s="103"/>
      <c r="D33" s="28">
        <f t="shared" si="0"/>
        <v>0</v>
      </c>
    </row>
    <row r="34" spans="1:4" ht="15.75" hidden="1">
      <c r="A34" s="55">
        <v>2513</v>
      </c>
      <c r="B34" s="29" t="s">
        <v>22</v>
      </c>
      <c r="C34" s="103"/>
      <c r="D34" s="28">
        <f t="shared" si="0"/>
        <v>0</v>
      </c>
    </row>
    <row r="35" spans="1:4" ht="15.75">
      <c r="A35" s="27">
        <v>5238</v>
      </c>
      <c r="B35" s="29" t="s">
        <v>129</v>
      </c>
      <c r="C35" s="103">
        <v>0.03</v>
      </c>
      <c r="D35" s="28">
        <f t="shared" si="0"/>
        <v>0.75</v>
      </c>
    </row>
    <row r="36" spans="1:4" ht="15.75">
      <c r="A36" s="27"/>
      <c r="B36" s="30" t="s">
        <v>66</v>
      </c>
      <c r="C36" s="31">
        <f>SUM(C18:C35)</f>
        <v>1.56</v>
      </c>
      <c r="D36" s="31">
        <f>SUM(D18:D35)</f>
        <v>39</v>
      </c>
    </row>
    <row r="37" spans="1:4" ht="15.75">
      <c r="A37" s="32"/>
      <c r="B37" s="27" t="s">
        <v>65</v>
      </c>
      <c r="C37" s="26"/>
      <c r="D37" s="26"/>
    </row>
    <row r="38" spans="1:4" ht="15.75">
      <c r="A38" s="27">
        <v>1100</v>
      </c>
      <c r="B38" s="27" t="s">
        <v>64</v>
      </c>
      <c r="C38" s="26">
        <v>0.14</v>
      </c>
      <c r="D38" s="28">
        <f aca="true" t="shared" si="1" ref="D38:D63">C38*25</f>
        <v>3.5000000000000004</v>
      </c>
    </row>
    <row r="39" spans="1:4" ht="15.75" customHeight="1">
      <c r="A39" s="27">
        <v>1200</v>
      </c>
      <c r="B39" s="29" t="s">
        <v>63</v>
      </c>
      <c r="C39" s="103">
        <v>0.03</v>
      </c>
      <c r="D39" s="28">
        <f t="shared" si="1"/>
        <v>0.75</v>
      </c>
    </row>
    <row r="40" spans="1:4" ht="15.75">
      <c r="A40" s="33">
        <v>2210</v>
      </c>
      <c r="B40" s="29" t="s">
        <v>27</v>
      </c>
      <c r="C40" s="103">
        <v>0.02</v>
      </c>
      <c r="D40" s="28">
        <f t="shared" si="1"/>
        <v>0.5</v>
      </c>
    </row>
    <row r="41" spans="1:4" ht="15.75">
      <c r="A41" s="27">
        <v>2222</v>
      </c>
      <c r="B41" s="29" t="s">
        <v>28</v>
      </c>
      <c r="C41" s="103">
        <v>0.07</v>
      </c>
      <c r="D41" s="28">
        <f t="shared" si="1"/>
        <v>1.7500000000000002</v>
      </c>
    </row>
    <row r="42" spans="1:4" ht="15.75">
      <c r="A42" s="27">
        <v>2223</v>
      </c>
      <c r="B42" s="29" t="s">
        <v>29</v>
      </c>
      <c r="C42" s="103">
        <v>0.08</v>
      </c>
      <c r="D42" s="28">
        <f t="shared" si="1"/>
        <v>2</v>
      </c>
    </row>
    <row r="43" spans="1:4" ht="15.75" hidden="1">
      <c r="A43" s="33"/>
      <c r="B43" s="29"/>
      <c r="C43" s="103"/>
      <c r="D43" s="28">
        <f t="shared" si="1"/>
        <v>0</v>
      </c>
    </row>
    <row r="44" spans="1:4" ht="15.75" hidden="1">
      <c r="A44" s="27">
        <v>2230</v>
      </c>
      <c r="B44" s="29" t="s">
        <v>30</v>
      </c>
      <c r="C44" s="103"/>
      <c r="D44" s="28">
        <f t="shared" si="1"/>
        <v>0</v>
      </c>
    </row>
    <row r="45" spans="1:4" ht="15.75" hidden="1">
      <c r="A45" s="27"/>
      <c r="B45" s="29"/>
      <c r="C45" s="103"/>
      <c r="D45" s="28">
        <f t="shared" si="1"/>
        <v>0</v>
      </c>
    </row>
    <row r="46" spans="1:4" ht="15.75" hidden="1">
      <c r="A46" s="27"/>
      <c r="B46" s="29"/>
      <c r="C46" s="103"/>
      <c r="D46" s="28">
        <f t="shared" si="1"/>
        <v>0</v>
      </c>
    </row>
    <row r="47" spans="1:4" ht="15.75" hidden="1">
      <c r="A47" s="27">
        <v>2241</v>
      </c>
      <c r="B47" s="29" t="s">
        <v>7</v>
      </c>
      <c r="C47" s="103"/>
      <c r="D47" s="28">
        <f t="shared" si="1"/>
        <v>0</v>
      </c>
    </row>
    <row r="48" spans="1:4" ht="15.75" hidden="1">
      <c r="A48" s="27">
        <v>2242</v>
      </c>
      <c r="B48" s="29" t="s">
        <v>8</v>
      </c>
      <c r="C48" s="103"/>
      <c r="D48" s="28">
        <f t="shared" si="1"/>
        <v>0</v>
      </c>
    </row>
    <row r="49" spans="1:4" ht="15.75">
      <c r="A49" s="27">
        <v>2243</v>
      </c>
      <c r="B49" s="29" t="s">
        <v>9</v>
      </c>
      <c r="C49" s="103">
        <v>0.02</v>
      </c>
      <c r="D49" s="28">
        <f t="shared" si="1"/>
        <v>0.5</v>
      </c>
    </row>
    <row r="50" spans="1:4" ht="15.75">
      <c r="A50" s="27">
        <v>2244</v>
      </c>
      <c r="B50" s="29" t="s">
        <v>10</v>
      </c>
      <c r="C50" s="103">
        <v>0.03</v>
      </c>
      <c r="D50" s="28">
        <f t="shared" si="1"/>
        <v>0.75</v>
      </c>
    </row>
    <row r="51" spans="1:4" ht="15.75" hidden="1">
      <c r="A51" s="27">
        <v>2247</v>
      </c>
      <c r="B51" s="25" t="s">
        <v>60</v>
      </c>
      <c r="C51" s="26"/>
      <c r="D51" s="28">
        <f t="shared" si="1"/>
        <v>0</v>
      </c>
    </row>
    <row r="52" spans="1:4" ht="15.75" hidden="1">
      <c r="A52" s="27">
        <v>2251</v>
      </c>
      <c r="B52" s="29" t="s">
        <v>61</v>
      </c>
      <c r="C52" s="103"/>
      <c r="D52" s="28">
        <f t="shared" si="1"/>
        <v>0</v>
      </c>
    </row>
    <row r="53" spans="1:4" ht="15.75" hidden="1">
      <c r="A53" s="27">
        <v>2259</v>
      </c>
      <c r="B53" s="29" t="s">
        <v>62</v>
      </c>
      <c r="C53" s="103"/>
      <c r="D53" s="28">
        <f t="shared" si="1"/>
        <v>0</v>
      </c>
    </row>
    <row r="54" spans="1:4" ht="15.75" hidden="1">
      <c r="A54" s="27">
        <v>2262</v>
      </c>
      <c r="B54" s="29" t="s">
        <v>12</v>
      </c>
      <c r="C54" s="103"/>
      <c r="D54" s="28">
        <f t="shared" si="1"/>
        <v>0</v>
      </c>
    </row>
    <row r="55" spans="1:4" ht="15.75" hidden="1">
      <c r="A55" s="27">
        <v>2264</v>
      </c>
      <c r="B55" s="29" t="s">
        <v>13</v>
      </c>
      <c r="C55" s="103"/>
      <c r="D55" s="28">
        <f t="shared" si="1"/>
        <v>0</v>
      </c>
    </row>
    <row r="56" spans="1:4" ht="15.75" hidden="1">
      <c r="A56" s="27">
        <v>2279</v>
      </c>
      <c r="B56" s="29" t="s">
        <v>14</v>
      </c>
      <c r="C56" s="103"/>
      <c r="D56" s="28">
        <f t="shared" si="1"/>
        <v>0</v>
      </c>
    </row>
    <row r="57" spans="1:4" ht="15.75">
      <c r="A57" s="27">
        <v>2311</v>
      </c>
      <c r="B57" s="29" t="s">
        <v>15</v>
      </c>
      <c r="C57" s="103">
        <v>0.02</v>
      </c>
      <c r="D57" s="28">
        <f t="shared" si="1"/>
        <v>0.5</v>
      </c>
    </row>
    <row r="58" spans="1:4" ht="15.75">
      <c r="A58" s="27">
        <v>2312</v>
      </c>
      <c r="B58" s="29" t="s">
        <v>16</v>
      </c>
      <c r="C58" s="103">
        <v>0.03</v>
      </c>
      <c r="D58" s="28">
        <f t="shared" si="1"/>
        <v>0.75</v>
      </c>
    </row>
    <row r="59" spans="1:4" ht="15.75">
      <c r="A59" s="27">
        <v>2321</v>
      </c>
      <c r="B59" s="29" t="s">
        <v>17</v>
      </c>
      <c r="C59" s="103">
        <v>0.09</v>
      </c>
      <c r="D59" s="28">
        <f t="shared" si="1"/>
        <v>2.25</v>
      </c>
    </row>
    <row r="60" spans="1:4" ht="15.75" hidden="1">
      <c r="A60" s="27">
        <v>2322</v>
      </c>
      <c r="B60" s="29" t="s">
        <v>18</v>
      </c>
      <c r="C60" s="103"/>
      <c r="D60" s="28">
        <f t="shared" si="1"/>
        <v>0</v>
      </c>
    </row>
    <row r="61" spans="1:4" ht="15.75" hidden="1">
      <c r="A61" s="27">
        <v>2350</v>
      </c>
      <c r="B61" s="29" t="s">
        <v>19</v>
      </c>
      <c r="C61" s="103"/>
      <c r="D61" s="28">
        <f t="shared" si="1"/>
        <v>0</v>
      </c>
    </row>
    <row r="62" spans="1:4" ht="15.75" customHeight="1" hidden="1">
      <c r="A62" s="27">
        <v>2515</v>
      </c>
      <c r="B62" s="29" t="s">
        <v>59</v>
      </c>
      <c r="C62" s="103"/>
      <c r="D62" s="28">
        <f t="shared" si="1"/>
        <v>0</v>
      </c>
    </row>
    <row r="63" spans="1:4" ht="15.75" customHeight="1">
      <c r="A63" s="27">
        <v>5232</v>
      </c>
      <c r="B63" s="29" t="s">
        <v>23</v>
      </c>
      <c r="C63" s="103">
        <v>0.11</v>
      </c>
      <c r="D63" s="28">
        <f t="shared" si="1"/>
        <v>2.75</v>
      </c>
    </row>
    <row r="64" spans="1:4" ht="15.75" hidden="1">
      <c r="A64" s="27">
        <v>5240</v>
      </c>
      <c r="B64" s="29" t="s">
        <v>25</v>
      </c>
      <c r="C64" s="103"/>
      <c r="D64" s="28">
        <f>C64*24</f>
        <v>0</v>
      </c>
    </row>
    <row r="65" spans="1:4" ht="15.75" customHeight="1" hidden="1">
      <c r="A65" s="27">
        <v>5250</v>
      </c>
      <c r="B65" s="29" t="s">
        <v>26</v>
      </c>
      <c r="C65" s="103"/>
      <c r="D65" s="28">
        <f>C65*24</f>
        <v>0</v>
      </c>
    </row>
    <row r="66" spans="1:4" ht="15.75" customHeight="1">
      <c r="A66" s="32"/>
      <c r="B66" s="34" t="s">
        <v>67</v>
      </c>
      <c r="C66" s="31">
        <f>SUM(C38:C65)</f>
        <v>0.64</v>
      </c>
      <c r="D66" s="31">
        <f>SUM(D38:D65)</f>
        <v>16</v>
      </c>
    </row>
    <row r="67" spans="1:4" ht="15.75">
      <c r="A67" s="32"/>
      <c r="B67" s="34" t="s">
        <v>32</v>
      </c>
      <c r="C67" s="31">
        <f>C36+C66</f>
        <v>2.2</v>
      </c>
      <c r="D67" s="31">
        <f>D36+D66</f>
        <v>55</v>
      </c>
    </row>
    <row r="68" spans="1:4" ht="15.75">
      <c r="A68" s="35"/>
      <c r="B68" s="20"/>
      <c r="C68" s="104"/>
      <c r="D68" s="92"/>
    </row>
    <row r="69" spans="1:4" ht="15.75">
      <c r="A69" s="137" t="s">
        <v>45</v>
      </c>
      <c r="B69" s="137"/>
      <c r="C69" s="106">
        <v>1</v>
      </c>
      <c r="D69" s="106">
        <v>25</v>
      </c>
    </row>
    <row r="70" spans="1:4" ht="15.75">
      <c r="A70" s="137" t="s">
        <v>46</v>
      </c>
      <c r="B70" s="137"/>
      <c r="C70" s="96">
        <f>C67/C69</f>
        <v>2.2</v>
      </c>
      <c r="D70" s="109">
        <f>D67/D69</f>
        <v>2.2</v>
      </c>
    </row>
    <row r="71" spans="1:4" ht="15.75">
      <c r="A71" s="9"/>
      <c r="B71" s="9"/>
      <c r="C71" s="10"/>
      <c r="D71" s="36"/>
    </row>
    <row r="72" spans="1:4" ht="15.75">
      <c r="A72" s="139" t="s">
        <v>37</v>
      </c>
      <c r="B72" s="140"/>
      <c r="C72" s="105"/>
      <c r="D72" s="39"/>
    </row>
    <row r="73" spans="1:4" ht="15.75">
      <c r="A73" s="139" t="s">
        <v>54</v>
      </c>
      <c r="B73" s="140"/>
      <c r="C73" s="105"/>
      <c r="D73" s="39"/>
    </row>
    <row r="74" spans="1:4" ht="15.75">
      <c r="A74" s="17"/>
      <c r="B74" s="17"/>
      <c r="C74" s="19"/>
      <c r="D74" s="65"/>
    </row>
    <row r="75" spans="1:4" ht="15.75">
      <c r="A75" s="17" t="s">
        <v>38</v>
      </c>
      <c r="B75" s="17"/>
      <c r="C75" s="19"/>
      <c r="D75" s="17"/>
    </row>
    <row r="76" spans="1:4" ht="15.75">
      <c r="A76" s="17"/>
      <c r="B76" s="17"/>
      <c r="C76" s="19"/>
      <c r="D76" s="65"/>
    </row>
    <row r="77" spans="1:4" ht="15.75">
      <c r="A77" s="17" t="s">
        <v>47</v>
      </c>
      <c r="B77" s="18"/>
      <c r="C77" s="97"/>
      <c r="D77" s="91"/>
    </row>
    <row r="78" spans="1:4" ht="15.75">
      <c r="A78" s="17"/>
      <c r="B78" s="97"/>
      <c r="C78" s="97"/>
      <c r="D78" s="65"/>
    </row>
    <row r="79" spans="1:4" ht="15.75">
      <c r="A79" s="17"/>
      <c r="B79" s="19"/>
      <c r="C79" s="19"/>
      <c r="D79" s="17"/>
    </row>
    <row r="80" ht="15">
      <c r="D80" s="92"/>
    </row>
  </sheetData>
  <sheetProtection/>
  <mergeCells count="10">
    <mergeCell ref="A72:B72"/>
    <mergeCell ref="A73:B73"/>
    <mergeCell ref="B1:D1"/>
    <mergeCell ref="B2:D2"/>
    <mergeCell ref="B3:D3"/>
    <mergeCell ref="A7:D7"/>
    <mergeCell ref="A69:B69"/>
    <mergeCell ref="A70:B70"/>
    <mergeCell ref="A9:B9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Roman,Regular"LManotp1_130218_MK1002; Grozījumi Ministru kabineta 24.09.2013. noteikumos Nr.1002 "Sociālās integrāicjas valsts aģentūras sniegto maksas pakalpojumu cenrādis"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Installer;Līga Juste</dc:creator>
  <cp:keywords/>
  <dc:description>Ineta Pikše, 67021634, Ineta.Pikse@lm.gov.lv, fakss 67021678</dc:description>
  <cp:lastModifiedBy>Ineta Pikse</cp:lastModifiedBy>
  <cp:lastPrinted>2018-01-12T10:08:03Z</cp:lastPrinted>
  <dcterms:created xsi:type="dcterms:W3CDTF">2008-09-26T08:09:16Z</dcterms:created>
  <dcterms:modified xsi:type="dcterms:W3CDTF">2018-02-13T09:18:17Z</dcterms:modified>
  <cp:category/>
  <cp:version/>
  <cp:contentType/>
  <cp:contentStatus/>
</cp:coreProperties>
</file>