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vnozare.pri\vm\Redirect_profiles\lzandberga\Desktop\NMPD\uz VK120918\"/>
    </mc:Choice>
  </mc:AlternateContent>
  <xr:revisionPtr revIDLastSave="0" documentId="8_{3B8667D2-8184-4059-9219-9331E18D4DE0}" xr6:coauthVersionLast="31" xr6:coauthVersionMax="31" xr10:uidLastSave="{00000000-0000-0000-0000-000000000000}"/>
  <bookViews>
    <workbookView xWindow="0" yWindow="0" windowWidth="28800" windowHeight="14025" tabRatio="908" xr2:uid="{00000000-000D-0000-FFFF-FFFF00000000}"/>
  </bookViews>
  <sheets>
    <sheet name="Saraksts" sheetId="1" r:id="rId1"/>
    <sheet name="1.1." sheetId="2" r:id="rId2"/>
    <sheet name="1.2." sheetId="3" r:id="rId3"/>
    <sheet name="1.3." sheetId="4" r:id="rId4"/>
    <sheet name="2.1." sheetId="5" r:id="rId5"/>
    <sheet name="2.2." sheetId="6" r:id="rId6"/>
    <sheet name="2.3." sheetId="7" r:id="rId7"/>
    <sheet name="2.4." sheetId="17" r:id="rId8"/>
    <sheet name="2.5." sheetId="18" r:id="rId9"/>
    <sheet name="2.6." sheetId="19" r:id="rId10"/>
    <sheet name="2.7." sheetId="20" r:id="rId11"/>
    <sheet name="2.8." sheetId="21" r:id="rId12"/>
    <sheet name="3.1." sheetId="22" r:id="rId13"/>
    <sheet name="3.2." sheetId="23" r:id="rId14"/>
    <sheet name="3.3." sheetId="24" r:id="rId15"/>
    <sheet name="3.4." sheetId="25" r:id="rId16"/>
    <sheet name="4.1." sheetId="26" r:id="rId17"/>
    <sheet name="4.2." sheetId="27" r:id="rId18"/>
    <sheet name="4.3." sheetId="8" r:id="rId19"/>
    <sheet name="4.4." sheetId="9" r:id="rId20"/>
    <sheet name="4.5." sheetId="10" r:id="rId21"/>
    <sheet name="4.6." sheetId="11" r:id="rId22"/>
    <sheet name="4.7." sheetId="12" r:id="rId23"/>
    <sheet name="4.8." sheetId="13" r:id="rId24"/>
    <sheet name="4.9." sheetId="14" r:id="rId25"/>
    <sheet name="4.10." sheetId="15" r:id="rId26"/>
    <sheet name="4.11." sheetId="16" r:id="rId27"/>
    <sheet name="5.1." sheetId="28" r:id="rId28"/>
    <sheet name="5.2." sheetId="29" r:id="rId29"/>
    <sheet name="5.3." sheetId="30" r:id="rId30"/>
    <sheet name="5.4." sheetId="31" r:id="rId31"/>
    <sheet name="5.5." sheetId="32" r:id="rId32"/>
    <sheet name="6.1." sheetId="33" r:id="rId33"/>
    <sheet name="6.2." sheetId="34" r:id="rId34"/>
    <sheet name="6.3." sheetId="35" r:id="rId35"/>
    <sheet name="6.4." sheetId="39" r:id="rId36"/>
    <sheet name="6.5." sheetId="59" r:id="rId37"/>
    <sheet name="6.6." sheetId="60" r:id="rId38"/>
    <sheet name="6.7." sheetId="61" r:id="rId39"/>
    <sheet name="6.8." sheetId="62" r:id="rId40"/>
    <sheet name="6.9." sheetId="63" r:id="rId41"/>
    <sheet name="6.10." sheetId="64" r:id="rId42"/>
    <sheet name="6.11." sheetId="65" r:id="rId43"/>
    <sheet name="6.12." sheetId="57" r:id="rId44"/>
  </sheets>
  <definedNames>
    <definedName name="_xlnm.Print_Area" localSheetId="2">'1.2.'!$A$1:$C$42</definedName>
    <definedName name="_xlnm.Print_Area" localSheetId="4">'2.1.'!$A$1:$C$41</definedName>
    <definedName name="_xlnm.Print_Area" localSheetId="5">'2.2.'!$A$1:$C$41</definedName>
    <definedName name="_xlnm.Print_Area" localSheetId="6">'2.3.'!$A$1:$C$41</definedName>
    <definedName name="_xlnm.Print_Area" localSheetId="7">'2.4.'!$A$1:$C$41</definedName>
    <definedName name="_xlnm.Print_Area" localSheetId="8">'2.5.'!$A$1:$C$41</definedName>
    <definedName name="_xlnm.Print_Area" localSheetId="9">'2.6.'!$A$1:$C$41</definedName>
    <definedName name="_xlnm.Print_Area" localSheetId="10">'2.7.'!$A$1:$C$41</definedName>
    <definedName name="_xlnm.Print_Area" localSheetId="11">'2.8.'!$A$1:$C$41</definedName>
    <definedName name="_xlnm.Print_Area" localSheetId="12">'3.1.'!$A$1:$C$41</definedName>
    <definedName name="_xlnm.Print_Area" localSheetId="13">'3.2.'!$A$1:$C$41</definedName>
    <definedName name="_xlnm.Print_Area" localSheetId="14">'3.3.'!$A$1:$C$41</definedName>
    <definedName name="_xlnm.Print_Area" localSheetId="15">'3.4.'!$A$1:$C$42</definedName>
    <definedName name="_xlnm.Print_Area" localSheetId="16">'4.1.'!$A$1:$C$37</definedName>
    <definedName name="_xlnm.Print_Area" localSheetId="25">'4.10.'!$A$1:$C$43</definedName>
    <definedName name="_xlnm.Print_Area" localSheetId="17">'4.2.'!$A$1:$C$37</definedName>
    <definedName name="_xlnm.Print_Area" localSheetId="18">'4.3.'!$A$1:$C$37</definedName>
    <definedName name="_xlnm.Print_Area" localSheetId="19">'4.4.'!$A$1:$C$37</definedName>
    <definedName name="_xlnm.Print_Area" localSheetId="20">'4.5.'!$A$1:$C$38</definedName>
    <definedName name="_xlnm.Print_Area" localSheetId="21">'4.6.'!$A$1:$C$27</definedName>
    <definedName name="_xlnm.Print_Area" localSheetId="22">'4.7.'!$A$1:$C$27</definedName>
    <definedName name="_xlnm.Print_Area" localSheetId="23">'4.8.'!$A$1:$C$27</definedName>
    <definedName name="_xlnm.Print_Area" localSheetId="24">'4.9.'!$A$1:$C$26</definedName>
    <definedName name="_xlnm.Print_Area" localSheetId="27">'5.1.'!$A$1:$C$42</definedName>
    <definedName name="_xlnm.Print_Area" localSheetId="28">'5.2.'!$A$1:$C$41</definedName>
    <definedName name="_xlnm.Print_Area" localSheetId="29">'5.3.'!$A$1:$C$37</definedName>
    <definedName name="_xlnm.Print_Area" localSheetId="30">'5.4.'!$A$1:$C$42</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4" l="1"/>
  <c r="C9" i="33"/>
  <c r="C9" i="32"/>
  <c r="C11" i="31"/>
  <c r="C10" i="31"/>
  <c r="C9" i="31"/>
  <c r="C9" i="30"/>
  <c r="C10" i="29"/>
  <c r="C9" i="29"/>
  <c r="C11" i="28"/>
  <c r="C10" i="28"/>
  <c r="C9" i="28"/>
  <c r="C12" i="15"/>
  <c r="C10" i="15"/>
  <c r="C9" i="15"/>
  <c r="C9" i="14"/>
  <c r="C9" i="13"/>
  <c r="C9" i="12"/>
  <c r="C9" i="11"/>
  <c r="C9" i="10"/>
  <c r="C9" i="9"/>
  <c r="C9" i="8"/>
  <c r="C9" i="27"/>
  <c r="C9" i="26"/>
  <c r="C11" i="25"/>
  <c r="C12" i="25"/>
  <c r="C10" i="25"/>
  <c r="C9" i="25"/>
  <c r="C11" i="24"/>
  <c r="C10" i="24"/>
  <c r="C9" i="24"/>
  <c r="C11" i="23"/>
  <c r="C10" i="23"/>
  <c r="C9" i="23"/>
  <c r="C11" i="22"/>
  <c r="C10" i="22"/>
  <c r="C9" i="22"/>
  <c r="C11" i="21"/>
  <c r="C10" i="21"/>
  <c r="C9" i="21"/>
  <c r="C9" i="20"/>
  <c r="C10" i="20"/>
  <c r="C11" i="20"/>
  <c r="C9" i="19"/>
  <c r="C10" i="19"/>
  <c r="C9" i="18"/>
  <c r="C11" i="18"/>
  <c r="C10" i="18"/>
  <c r="C10" i="17"/>
  <c r="C9" i="17"/>
  <c r="C11" i="17"/>
  <c r="C9" i="7"/>
  <c r="C10" i="7"/>
  <c r="C11" i="7"/>
  <c r="C11" i="6"/>
  <c r="C10" i="6"/>
  <c r="C9" i="6"/>
  <c r="C11" i="5"/>
  <c r="C10" i="5"/>
  <c r="C9" i="5"/>
  <c r="C11" i="4"/>
  <c r="C10" i="4"/>
  <c r="C9" i="4"/>
  <c r="C11" i="3"/>
  <c r="C10" i="3"/>
  <c r="C9" i="3"/>
  <c r="C11" i="2" l="1"/>
  <c r="C10" i="2"/>
  <c r="C38" i="5" l="1"/>
  <c r="C25" i="22" l="1"/>
  <c r="C24" i="22"/>
  <c r="C15" i="60"/>
  <c r="C16" i="60"/>
  <c r="C9" i="60"/>
  <c r="C10" i="60"/>
  <c r="C12" i="60" s="1"/>
  <c r="C11" i="60"/>
  <c r="C18" i="60"/>
  <c r="C19" i="60"/>
  <c r="C20" i="60"/>
  <c r="C13" i="35"/>
  <c r="C9" i="35"/>
  <c r="C13" i="33"/>
  <c r="C10" i="33"/>
  <c r="C13" i="34"/>
  <c r="C10" i="34"/>
  <c r="C22" i="30"/>
  <c r="C25" i="30"/>
  <c r="C16" i="14"/>
  <c r="C14" i="14"/>
  <c r="C13" i="14"/>
  <c r="C15" i="14"/>
  <c r="C26" i="15"/>
  <c r="C25" i="15"/>
  <c r="C27" i="15"/>
  <c r="C28" i="15"/>
  <c r="C29" i="15"/>
  <c r="C33" i="15"/>
  <c r="C32" i="15"/>
  <c r="C31" i="15"/>
  <c r="C24" i="15"/>
  <c r="C30" i="15"/>
  <c r="C15" i="13"/>
  <c r="C14" i="13"/>
  <c r="C16" i="13"/>
  <c r="C13" i="13"/>
  <c r="C14" i="12"/>
  <c r="C15" i="12"/>
  <c r="C13" i="12"/>
  <c r="C16" i="12"/>
  <c r="C25" i="10"/>
  <c r="C24" i="10"/>
  <c r="C19" i="10"/>
  <c r="C20" i="10"/>
  <c r="C21" i="10"/>
  <c r="C27" i="10"/>
  <c r="C26" i="10"/>
  <c r="C22" i="10"/>
  <c r="C23" i="10"/>
  <c r="C28" i="10"/>
  <c r="C11" i="10"/>
  <c r="C18" i="9"/>
  <c r="C19" i="9"/>
  <c r="C20" i="9"/>
  <c r="C21" i="9"/>
  <c r="C22" i="9"/>
  <c r="C25" i="9"/>
  <c r="C24" i="9"/>
  <c r="C11" i="9"/>
  <c r="C13" i="9"/>
  <c r="C12" i="9"/>
  <c r="C26" i="9"/>
  <c r="C23" i="9"/>
  <c r="C28" i="25"/>
  <c r="C26" i="25"/>
  <c r="C24" i="25"/>
  <c r="C25" i="25"/>
  <c r="C27" i="25"/>
  <c r="C29" i="25"/>
  <c r="C32" i="25"/>
  <c r="C30" i="25"/>
  <c r="C31" i="25"/>
  <c r="C30" i="22"/>
  <c r="C32" i="22"/>
  <c r="C31" i="22"/>
  <c r="C29" i="22"/>
  <c r="C28" i="22"/>
  <c r="C27" i="22"/>
  <c r="C26" i="22"/>
  <c r="C23" i="22"/>
  <c r="C18" i="22"/>
  <c r="C17" i="22"/>
  <c r="C16" i="22"/>
  <c r="C15" i="22"/>
  <c r="C14" i="22"/>
  <c r="C13" i="22"/>
  <c r="C12" i="22"/>
  <c r="C21" i="22" l="1"/>
  <c r="C22" i="22" s="1"/>
  <c r="C10" i="35"/>
  <c r="C11" i="35" s="1"/>
  <c r="C11" i="34"/>
  <c r="C19" i="22"/>
  <c r="C33" i="22" l="1"/>
  <c r="C34" i="22" s="1"/>
  <c r="C18" i="65"/>
  <c r="C19" i="65"/>
  <c r="C9" i="65"/>
  <c r="C11" i="65"/>
  <c r="C12" i="65" s="1"/>
  <c r="C20" i="65"/>
  <c r="C10" i="65"/>
  <c r="C15" i="65"/>
  <c r="C17" i="65"/>
  <c r="C16" i="65"/>
  <c r="C19" i="64"/>
  <c r="C18" i="64"/>
  <c r="C17" i="64"/>
  <c r="C16" i="64"/>
  <c r="C19" i="61"/>
  <c r="C18" i="61"/>
  <c r="C15" i="61"/>
  <c r="C16" i="61"/>
  <c r="C17" i="61"/>
  <c r="C20" i="61"/>
  <c r="C11" i="61"/>
  <c r="C17" i="60"/>
  <c r="C19" i="59"/>
  <c r="C17" i="59"/>
  <c r="C18" i="59"/>
  <c r="C20" i="59"/>
  <c r="C10" i="39"/>
  <c r="C11" i="33"/>
  <c r="C10" i="32"/>
  <c r="C12" i="32" s="1"/>
  <c r="C15" i="32" s="1"/>
  <c r="C11" i="32"/>
  <c r="C25" i="31"/>
  <c r="C26" i="31"/>
  <c r="C27" i="31"/>
  <c r="C30" i="31"/>
  <c r="C29" i="31"/>
  <c r="C24" i="30"/>
  <c r="C26" i="30"/>
  <c r="C18" i="30"/>
  <c r="C11" i="30"/>
  <c r="C21" i="30"/>
  <c r="C20" i="30"/>
  <c r="C19" i="30"/>
  <c r="C23" i="30"/>
  <c r="C12" i="30"/>
  <c r="C13" i="30"/>
  <c r="C25" i="29"/>
  <c r="C24" i="29"/>
  <c r="C22" i="29"/>
  <c r="C23" i="29"/>
  <c r="C26" i="29"/>
  <c r="C28" i="29"/>
  <c r="C29" i="29"/>
  <c r="C30" i="29"/>
  <c r="C12" i="29"/>
  <c r="C13" i="29"/>
  <c r="C15" i="29"/>
  <c r="C17" i="29"/>
  <c r="C16" i="29"/>
  <c r="C27" i="29"/>
  <c r="C14" i="29"/>
  <c r="C31" i="29"/>
  <c r="C23" i="28" l="1"/>
  <c r="C9" i="16"/>
  <c r="C14" i="15"/>
  <c r="C15" i="15"/>
  <c r="C16" i="15"/>
  <c r="C17" i="15"/>
  <c r="C17" i="13"/>
  <c r="C10" i="13"/>
  <c r="C17" i="12"/>
  <c r="C14" i="11"/>
  <c r="C15" i="11"/>
  <c r="C16" i="11"/>
  <c r="C17" i="11"/>
  <c r="C13" i="11"/>
  <c r="C13" i="10"/>
  <c r="C14" i="10"/>
  <c r="C12" i="10"/>
  <c r="C18" i="27"/>
  <c r="C26" i="27"/>
  <c r="C24" i="27"/>
  <c r="C25" i="27"/>
  <c r="C23" i="27"/>
  <c r="C22" i="27"/>
  <c r="C21" i="27"/>
  <c r="C20" i="27"/>
  <c r="C19" i="27"/>
  <c r="C12" i="27"/>
  <c r="C11" i="27"/>
  <c r="C13" i="27"/>
  <c r="C24" i="26"/>
  <c r="C20" i="26"/>
  <c r="C19" i="26"/>
  <c r="C18" i="26"/>
  <c r="C33" i="25"/>
  <c r="C14" i="25"/>
  <c r="C15" i="25"/>
  <c r="C16" i="25"/>
  <c r="C17" i="25"/>
  <c r="C18" i="25"/>
  <c r="C19" i="25"/>
  <c r="C16" i="24"/>
  <c r="C17" i="24"/>
  <c r="C15" i="24"/>
  <c r="C14" i="24"/>
  <c r="C13" i="24"/>
  <c r="C23" i="24"/>
  <c r="C25" i="24"/>
  <c r="C26" i="24"/>
  <c r="C27" i="24"/>
  <c r="C28" i="24"/>
  <c r="C29" i="24"/>
  <c r="C30" i="24"/>
  <c r="C31" i="24"/>
  <c r="C17" i="23"/>
  <c r="C15" i="23"/>
  <c r="C23" i="23"/>
  <c r="C13" i="23"/>
  <c r="C27" i="23"/>
  <c r="C28" i="23"/>
  <c r="C29" i="23"/>
  <c r="C30" i="23"/>
  <c r="C31" i="23"/>
  <c r="C26" i="23"/>
  <c r="C25" i="23"/>
  <c r="C24" i="23"/>
  <c r="C32" i="23"/>
  <c r="C31" i="21"/>
  <c r="C30" i="21"/>
  <c r="C25" i="21"/>
  <c r="C15" i="20"/>
  <c r="C30" i="20"/>
  <c r="C31" i="20"/>
  <c r="C25" i="20"/>
  <c r="C23" i="20"/>
  <c r="C29" i="20"/>
  <c r="C29" i="19"/>
  <c r="C30" i="19"/>
  <c r="C31" i="19"/>
  <c r="C28" i="19"/>
  <c r="C25" i="19"/>
  <c r="C23" i="19"/>
  <c r="C30" i="18"/>
  <c r="C23" i="18"/>
  <c r="C31" i="18"/>
  <c r="C23" i="17"/>
  <c r="C23" i="7"/>
  <c r="C24" i="7"/>
  <c r="C25" i="7"/>
  <c r="C26" i="7"/>
  <c r="C27" i="7"/>
  <c r="C28" i="7"/>
  <c r="C30" i="7"/>
  <c r="C29" i="5"/>
  <c r="C24" i="5"/>
  <c r="C26" i="5"/>
  <c r="C32" i="5"/>
  <c r="C28" i="5"/>
  <c r="C30" i="5"/>
  <c r="C31" i="5"/>
  <c r="C27" i="5"/>
  <c r="C13" i="5"/>
  <c r="C25" i="5"/>
  <c r="C23" i="5"/>
  <c r="C18" i="5"/>
  <c r="C17" i="5"/>
  <c r="C16" i="5"/>
  <c r="C15" i="5"/>
  <c r="C14" i="5"/>
  <c r="C29" i="4"/>
  <c r="C13" i="4"/>
  <c r="C14" i="4"/>
  <c r="C28" i="4"/>
  <c r="C17" i="4"/>
  <c r="C15" i="4"/>
  <c r="C27" i="4"/>
  <c r="C30" i="4"/>
  <c r="C22" i="4"/>
  <c r="C23" i="4"/>
  <c r="C24" i="4"/>
  <c r="C25" i="4"/>
  <c r="C26" i="4"/>
  <c r="C31" i="4"/>
  <c r="C16" i="4"/>
  <c r="C32" i="3"/>
  <c r="C23" i="3"/>
  <c r="C29" i="3"/>
  <c r="C30" i="3"/>
  <c r="C31" i="3"/>
  <c r="C33" i="3"/>
  <c r="C25" i="3"/>
  <c r="C24" i="3"/>
  <c r="C27" i="3"/>
  <c r="C28" i="3"/>
  <c r="C13" i="3"/>
  <c r="C14" i="3"/>
  <c r="C15" i="3"/>
  <c r="C16" i="3"/>
  <c r="C17" i="3"/>
  <c r="C18" i="3"/>
  <c r="C26" i="3"/>
  <c r="C31" i="2"/>
  <c r="C18" i="11" l="1"/>
  <c r="C17" i="2"/>
  <c r="C27" i="2"/>
  <c r="C23" i="2"/>
  <c r="C24" i="2"/>
  <c r="C25" i="2"/>
  <c r="C26" i="2"/>
  <c r="C32" i="2"/>
  <c r="C29" i="2"/>
  <c r="C30" i="2"/>
  <c r="C15" i="2"/>
  <c r="C18" i="2"/>
  <c r="C14" i="2"/>
  <c r="C13" i="2"/>
  <c r="C12" i="2"/>
  <c r="C9" i="2"/>
  <c r="C21" i="2"/>
  <c r="C22" i="2" s="1"/>
  <c r="C28" i="2"/>
  <c r="C16" i="2"/>
  <c r="C10" i="12" l="1"/>
  <c r="C10" i="11"/>
  <c r="C27" i="27"/>
  <c r="C32" i="21"/>
  <c r="C29" i="21"/>
  <c r="C28" i="21"/>
  <c r="C27" i="21"/>
  <c r="C26" i="21"/>
  <c r="C24" i="21"/>
  <c r="C23" i="21"/>
  <c r="C18" i="21"/>
  <c r="C17" i="21"/>
  <c r="C16" i="21"/>
  <c r="C15" i="21"/>
  <c r="C14" i="21"/>
  <c r="C13" i="21"/>
  <c r="C32" i="19"/>
  <c r="C27" i="19"/>
  <c r="C26" i="19"/>
  <c r="C24" i="19"/>
  <c r="C18" i="19"/>
  <c r="C17" i="19"/>
  <c r="C16" i="19"/>
  <c r="C15" i="19"/>
  <c r="C14" i="19"/>
  <c r="C13" i="19"/>
  <c r="C11" i="19"/>
  <c r="C13" i="17"/>
  <c r="C32" i="17"/>
  <c r="C31" i="17"/>
  <c r="C30" i="17"/>
  <c r="C29" i="17"/>
  <c r="C28" i="17"/>
  <c r="C27" i="17"/>
  <c r="C26" i="17"/>
  <c r="C25" i="17"/>
  <c r="C24" i="17"/>
  <c r="C18" i="17"/>
  <c r="C17" i="17"/>
  <c r="C16" i="17"/>
  <c r="C15" i="17"/>
  <c r="C14" i="17"/>
  <c r="C32" i="6"/>
  <c r="C31" i="6"/>
  <c r="C30" i="6"/>
  <c r="C29" i="6"/>
  <c r="C28" i="6"/>
  <c r="C27" i="6"/>
  <c r="C26" i="6"/>
  <c r="C25" i="6"/>
  <c r="C24" i="6"/>
  <c r="C23" i="6"/>
  <c r="C18" i="6"/>
  <c r="C17" i="6"/>
  <c r="C16" i="6"/>
  <c r="C15" i="6"/>
  <c r="C14" i="6"/>
  <c r="C13" i="6"/>
  <c r="C12" i="4"/>
  <c r="C21" i="3" l="1"/>
  <c r="C22" i="3" s="1"/>
  <c r="C12" i="3"/>
  <c r="C19" i="3" s="1"/>
  <c r="C11" i="16"/>
  <c r="C21" i="5" l="1"/>
  <c r="C22" i="5" s="1"/>
  <c r="C13" i="20"/>
  <c r="C32" i="20"/>
  <c r="C28" i="20"/>
  <c r="C27" i="20"/>
  <c r="C26" i="20"/>
  <c r="C24" i="20"/>
  <c r="C18" i="20"/>
  <c r="C17" i="20"/>
  <c r="C16" i="20"/>
  <c r="C14" i="20"/>
  <c r="C12" i="19"/>
  <c r="C32" i="7"/>
  <c r="C31" i="7"/>
  <c r="C29" i="7"/>
  <c r="C18" i="7"/>
  <c r="C17" i="7"/>
  <c r="C16" i="7"/>
  <c r="C15" i="7"/>
  <c r="C14" i="7"/>
  <c r="C13" i="7"/>
  <c r="C12" i="5"/>
  <c r="C12" i="7" l="1"/>
  <c r="C16" i="26"/>
  <c r="C17" i="26" s="1"/>
  <c r="C10" i="30" l="1"/>
  <c r="C11" i="29"/>
  <c r="C11" i="15"/>
  <c r="C10" i="14"/>
  <c r="C13" i="25"/>
  <c r="C10" i="9" l="1"/>
  <c r="C16" i="9"/>
  <c r="C17" i="9" s="1"/>
  <c r="C10" i="10"/>
  <c r="C17" i="10"/>
  <c r="C18" i="10" s="1"/>
  <c r="C21" i="23"/>
  <c r="C22" i="23" s="1"/>
  <c r="C20" i="64"/>
  <c r="C15" i="64"/>
  <c r="C11" i="64"/>
  <c r="C10" i="64"/>
  <c r="C9" i="64"/>
  <c r="C15" i="63"/>
  <c r="C14" i="63"/>
  <c r="C11" i="63"/>
  <c r="C9" i="63"/>
  <c r="C10" i="63" s="1"/>
  <c r="C15" i="62"/>
  <c r="C14" i="62"/>
  <c r="C11" i="62"/>
  <c r="C9" i="62"/>
  <c r="C12" i="64" l="1"/>
  <c r="C16" i="63"/>
  <c r="C13" i="64"/>
  <c r="C10" i="62"/>
  <c r="C12" i="62" s="1"/>
  <c r="C16" i="62"/>
  <c r="C12" i="63"/>
  <c r="C17" i="63" s="1"/>
  <c r="C21" i="63" s="1"/>
  <c r="C21" i="64"/>
  <c r="C21" i="65"/>
  <c r="C13" i="65"/>
  <c r="C10" i="61"/>
  <c r="C9" i="61"/>
  <c r="C12" i="61" s="1"/>
  <c r="C21" i="59"/>
  <c r="C16" i="59"/>
  <c r="C12" i="59"/>
  <c r="C11" i="59"/>
  <c r="C10" i="59"/>
  <c r="C9" i="59"/>
  <c r="C9" i="57"/>
  <c r="C10" i="57" s="1"/>
  <c r="C14" i="57" s="1"/>
  <c r="C18" i="57" l="1"/>
  <c r="D60" i="1" s="1"/>
  <c r="C22" i="64"/>
  <c r="C26" i="64" s="1"/>
  <c r="D57" i="1"/>
  <c r="C17" i="62"/>
  <c r="C21" i="62" s="1"/>
  <c r="C22" i="65"/>
  <c r="C26" i="65" s="1"/>
  <c r="C21" i="61"/>
  <c r="C13" i="61"/>
  <c r="C21" i="60"/>
  <c r="C13" i="60"/>
  <c r="C22" i="59"/>
  <c r="C13" i="59"/>
  <c r="C14" i="59" s="1"/>
  <c r="D58" i="1" l="1"/>
  <c r="D59" i="1"/>
  <c r="D56" i="1"/>
  <c r="C22" i="61"/>
  <c r="C26" i="61" s="1"/>
  <c r="C22" i="60"/>
  <c r="C26" i="60" s="1"/>
  <c r="C23" i="59"/>
  <c r="C27" i="59" s="1"/>
  <c r="C19" i="15"/>
  <c r="C18" i="31"/>
  <c r="C18" i="28"/>
  <c r="C14" i="28"/>
  <c r="C12" i="26"/>
  <c r="C18" i="24"/>
  <c r="C18" i="23"/>
  <c r="C14" i="18"/>
  <c r="C18" i="18"/>
  <c r="D54" i="1" l="1"/>
  <c r="D55" i="1"/>
  <c r="D53" i="1"/>
  <c r="C14" i="31" l="1"/>
  <c r="C12" i="8"/>
  <c r="C14" i="23"/>
  <c r="C32" i="31"/>
  <c r="C27" i="30"/>
  <c r="C32" i="28"/>
  <c r="C32" i="24"/>
  <c r="C32" i="18"/>
  <c r="C29" i="28" l="1"/>
  <c r="C24" i="8"/>
  <c r="C29" i="18"/>
  <c r="C17" i="31"/>
  <c r="C17" i="28"/>
  <c r="C18" i="15"/>
  <c r="C16" i="23"/>
  <c r="C17" i="18"/>
  <c r="C16" i="31"/>
  <c r="C16" i="28"/>
  <c r="C16" i="18"/>
  <c r="C15" i="31" l="1"/>
  <c r="C15" i="28"/>
  <c r="C13" i="8"/>
  <c r="C13" i="26"/>
  <c r="C15" i="18"/>
  <c r="C13" i="31"/>
  <c r="C13" i="28"/>
  <c r="C11" i="8"/>
  <c r="C11" i="26"/>
  <c r="C13" i="18"/>
  <c r="C27" i="28"/>
  <c r="C22" i="8"/>
  <c r="C22" i="26"/>
  <c r="C27" i="18"/>
  <c r="C31" i="31" l="1"/>
  <c r="C31" i="28"/>
  <c r="C26" i="8"/>
  <c r="C26" i="26"/>
  <c r="C28" i="31"/>
  <c r="C28" i="28"/>
  <c r="C23" i="8"/>
  <c r="C23" i="26"/>
  <c r="C28" i="18"/>
  <c r="C24" i="31"/>
  <c r="C24" i="28"/>
  <c r="C19" i="8"/>
  <c r="C24" i="24"/>
  <c r="C24" i="18"/>
  <c r="C26" i="28"/>
  <c r="C21" i="8"/>
  <c r="C21" i="26"/>
  <c r="C26" i="18"/>
  <c r="C23" i="31"/>
  <c r="C18" i="8"/>
  <c r="C25" i="28"/>
  <c r="C20" i="8"/>
  <c r="C25" i="18"/>
  <c r="C30" i="28" l="1"/>
  <c r="C17" i="14"/>
  <c r="C25" i="8"/>
  <c r="C25" i="26"/>
  <c r="C14" i="35" l="1"/>
  <c r="C15" i="35" s="1"/>
  <c r="C14" i="34"/>
  <c r="C15" i="34" s="1"/>
  <c r="C19" i="34" s="1"/>
  <c r="C14" i="33"/>
  <c r="C19" i="35" l="1"/>
  <c r="C14" i="30"/>
  <c r="C21" i="31"/>
  <c r="C20" i="29"/>
  <c r="C12" i="39"/>
  <c r="C15" i="39" s="1"/>
  <c r="C19" i="39" s="1"/>
  <c r="C12" i="31"/>
  <c r="C19" i="31" s="1"/>
  <c r="C16" i="30"/>
  <c r="C18" i="29"/>
  <c r="D51" i="1" l="1"/>
  <c r="C22" i="31"/>
  <c r="C33" i="31" s="1"/>
  <c r="C34" i="31" s="1"/>
  <c r="C38" i="31" s="1"/>
  <c r="C15" i="33"/>
  <c r="C19" i="33" s="1"/>
  <c r="C19" i="32"/>
  <c r="C17" i="30"/>
  <c r="C21" i="29"/>
  <c r="D50" i="1" l="1"/>
  <c r="D49" i="1"/>
  <c r="D47" i="1"/>
  <c r="D46" i="1"/>
  <c r="D52" i="1"/>
  <c r="C28" i="30"/>
  <c r="C29" i="30" s="1"/>
  <c r="C33" i="30" s="1"/>
  <c r="C32" i="29"/>
  <c r="C33" i="29" s="1"/>
  <c r="C37" i="29" s="1"/>
  <c r="C14" i="16"/>
  <c r="C18" i="16" s="1"/>
  <c r="C18" i="13"/>
  <c r="C18" i="12"/>
  <c r="C27" i="9"/>
  <c r="C27" i="8"/>
  <c r="C27" i="26"/>
  <c r="D45" i="1" l="1"/>
  <c r="D44" i="1"/>
  <c r="C10" i="8"/>
  <c r="C14" i="8" s="1"/>
  <c r="C10" i="27"/>
  <c r="C14" i="27" s="1"/>
  <c r="C14" i="9"/>
  <c r="C21" i="28"/>
  <c r="C12" i="28"/>
  <c r="C19" i="28" s="1"/>
  <c r="C22" i="15"/>
  <c r="C13" i="15"/>
  <c r="C20" i="15" s="1"/>
  <c r="C11" i="13"/>
  <c r="C11" i="11"/>
  <c r="C15" i="10"/>
  <c r="C16" i="8"/>
  <c r="C16" i="27"/>
  <c r="C17" i="27" s="1"/>
  <c r="C10" i="26"/>
  <c r="C14" i="26" s="1"/>
  <c r="C11" i="12" l="1"/>
  <c r="C19" i="12" s="1"/>
  <c r="C23" i="12" s="1"/>
  <c r="C11" i="14"/>
  <c r="C18" i="14" s="1"/>
  <c r="C22" i="14" s="1"/>
  <c r="C22" i="28"/>
  <c r="C33" i="28" s="1"/>
  <c r="C34" i="28" s="1"/>
  <c r="C38" i="28" s="1"/>
  <c r="C23" i="15"/>
  <c r="C34" i="15" s="1"/>
  <c r="C28" i="9"/>
  <c r="C29" i="9" s="1"/>
  <c r="C33" i="9" s="1"/>
  <c r="C19" i="13"/>
  <c r="C23" i="13" s="1"/>
  <c r="C19" i="11"/>
  <c r="C23" i="11" s="1"/>
  <c r="C17" i="8"/>
  <c r="C28" i="26"/>
  <c r="C35" i="15" l="1"/>
  <c r="C39" i="15" s="1"/>
  <c r="D41" i="1"/>
  <c r="D43" i="1"/>
  <c r="D39" i="1"/>
  <c r="D38" i="1"/>
  <c r="D37" i="1"/>
  <c r="D36" i="1"/>
  <c r="D34" i="1"/>
  <c r="C29" i="10"/>
  <c r="C30" i="10" s="1"/>
  <c r="C34" i="10" s="1"/>
  <c r="C28" i="8"/>
  <c r="C29" i="8" s="1"/>
  <c r="C33" i="8" s="1"/>
  <c r="C28" i="27"/>
  <c r="C29" i="27" s="1"/>
  <c r="C33" i="27" s="1"/>
  <c r="C29" i="26"/>
  <c r="C33" i="26" s="1"/>
  <c r="D40" i="1" l="1"/>
  <c r="D35" i="1"/>
  <c r="D33" i="1"/>
  <c r="D32" i="1"/>
  <c r="D31" i="1"/>
  <c r="C22" i="25"/>
  <c r="C20" i="25"/>
  <c r="C12" i="24"/>
  <c r="C19" i="24" s="1"/>
  <c r="C21" i="24"/>
  <c r="C12" i="23"/>
  <c r="C19" i="23" s="1"/>
  <c r="C12" i="21"/>
  <c r="C19" i="21" s="1"/>
  <c r="C21" i="21"/>
  <c r="C12" i="20"/>
  <c r="C19" i="20" s="1"/>
  <c r="C21" i="20"/>
  <c r="C19" i="19"/>
  <c r="C21" i="19"/>
  <c r="C12" i="18"/>
  <c r="C19" i="18" s="1"/>
  <c r="C21" i="18"/>
  <c r="C23" i="25" l="1"/>
  <c r="C22" i="24"/>
  <c r="C22" i="21"/>
  <c r="C22" i="20"/>
  <c r="C22" i="19"/>
  <c r="C22" i="18"/>
  <c r="C34" i="25" l="1"/>
  <c r="C35" i="25" s="1"/>
  <c r="C39" i="25" s="1"/>
  <c r="C33" i="24"/>
  <c r="C34" i="24" s="1"/>
  <c r="C38" i="24" s="1"/>
  <c r="C33" i="23"/>
  <c r="C34" i="23" s="1"/>
  <c r="C38" i="23" s="1"/>
  <c r="C38" i="22"/>
  <c r="C33" i="21"/>
  <c r="C34" i="21" s="1"/>
  <c r="C38" i="21" s="1"/>
  <c r="C33" i="20"/>
  <c r="C34" i="20" s="1"/>
  <c r="C38" i="20" s="1"/>
  <c r="C33" i="19"/>
  <c r="C34" i="19" s="1"/>
  <c r="C38" i="19" s="1"/>
  <c r="C33" i="18"/>
  <c r="C34" i="18" s="1"/>
  <c r="C38" i="18" s="1"/>
  <c r="D29" i="1" l="1"/>
  <c r="D28" i="1"/>
  <c r="D27" i="1"/>
  <c r="F27" i="1" s="1"/>
  <c r="D26" i="1"/>
  <c r="D24" i="1"/>
  <c r="D23" i="1"/>
  <c r="D22" i="1"/>
  <c r="D21" i="1"/>
  <c r="C21" i="17" l="1"/>
  <c r="C12" i="17"/>
  <c r="C19" i="17" s="1"/>
  <c r="C19" i="7"/>
  <c r="C22" i="17" l="1"/>
  <c r="C33" i="17" s="1"/>
  <c r="C34" i="17" s="1"/>
  <c r="C38" i="17" s="1"/>
  <c r="C21" i="7"/>
  <c r="D20" i="1" l="1"/>
  <c r="C33" i="2"/>
  <c r="C22" i="7"/>
  <c r="C12" i="6"/>
  <c r="C19" i="6" s="1"/>
  <c r="C21" i="6"/>
  <c r="C19" i="5"/>
  <c r="C18" i="4"/>
  <c r="C20" i="4"/>
  <c r="C21" i="4" s="1"/>
  <c r="C19" i="2"/>
  <c r="C33" i="7" l="1"/>
  <c r="C34" i="7" s="1"/>
  <c r="C38" i="7" s="1"/>
  <c r="C33" i="5"/>
  <c r="C34" i="5" s="1"/>
  <c r="C22" i="6"/>
  <c r="C34" i="3"/>
  <c r="D19" i="1" l="1"/>
  <c r="F19" i="1" s="1"/>
  <c r="D17" i="1"/>
  <c r="F17" i="1" s="1"/>
  <c r="C33" i="6"/>
  <c r="C34" i="6" s="1"/>
  <c r="C38" i="6" s="1"/>
  <c r="C32" i="4"/>
  <c r="C33" i="4" s="1"/>
  <c r="C37" i="4" s="1"/>
  <c r="C35" i="3"/>
  <c r="C39" i="3" s="1"/>
  <c r="F59" i="1"/>
  <c r="F58" i="1"/>
  <c r="F57" i="1"/>
  <c r="F56" i="1"/>
  <c r="F55" i="1"/>
  <c r="F54" i="1"/>
  <c r="F44" i="1"/>
  <c r="F45" i="1"/>
  <c r="F46" i="1"/>
  <c r="F47" i="1"/>
  <c r="F32" i="1"/>
  <c r="F33" i="1"/>
  <c r="F34" i="1"/>
  <c r="F35" i="1"/>
  <c r="F36" i="1"/>
  <c r="F37" i="1"/>
  <c r="F38" i="1"/>
  <c r="F39" i="1"/>
  <c r="F40" i="1"/>
  <c r="F41" i="1"/>
  <c r="F60" i="1"/>
  <c r="F53" i="1"/>
  <c r="F52" i="1"/>
  <c r="F51" i="1"/>
  <c r="F50" i="1"/>
  <c r="F49" i="1"/>
  <c r="F43" i="1"/>
  <c r="F31" i="1"/>
  <c r="F29" i="1"/>
  <c r="F28" i="1"/>
  <c r="F26" i="1"/>
  <c r="F24" i="1"/>
  <c r="F23" i="1"/>
  <c r="F22" i="1"/>
  <c r="F21" i="1"/>
  <c r="F20" i="1"/>
  <c r="C34" i="2"/>
  <c r="C38" i="2" s="1"/>
  <c r="D13" i="1" s="1"/>
  <c r="D18" i="1" l="1"/>
  <c r="F18" i="1" s="1"/>
  <c r="D15" i="1"/>
  <c r="F15" i="1" s="1"/>
  <c r="D14" i="1"/>
  <c r="F14" i="1" s="1"/>
  <c r="F13" i="1"/>
</calcChain>
</file>

<file path=xl/sharedStrings.xml><?xml version="1.0" encoding="utf-8"?>
<sst xmlns="http://schemas.openxmlformats.org/spreadsheetml/2006/main" count="2033" uniqueCount="393">
  <si>
    <t>Pielikums</t>
  </si>
  <si>
    <t>Nr.p.k.</t>
  </si>
  <si>
    <t>Pakalpojuma veids</t>
  </si>
  <si>
    <t>Mērvienība</t>
  </si>
  <si>
    <r>
      <t>Cena bez PVN (</t>
    </r>
    <r>
      <rPr>
        <b/>
        <i/>
        <sz val="12"/>
        <rFont val="Times New Roman"/>
        <family val="1"/>
        <charset val="186"/>
      </rPr>
      <t>euro</t>
    </r>
    <r>
      <rPr>
        <b/>
        <sz val="12"/>
        <rFont val="Times New Roman"/>
        <family val="1"/>
        <charset val="186"/>
      </rPr>
      <t>)</t>
    </r>
  </si>
  <si>
    <r>
      <t>PVN (</t>
    </r>
    <r>
      <rPr>
        <b/>
        <i/>
        <sz val="12"/>
        <rFont val="Times New Roman"/>
        <family val="1"/>
        <charset val="186"/>
      </rPr>
      <t>euro</t>
    </r>
    <r>
      <rPr>
        <b/>
        <sz val="12"/>
        <rFont val="Times New Roman"/>
        <family val="1"/>
        <charset val="186"/>
      </rPr>
      <t>)</t>
    </r>
  </si>
  <si>
    <r>
      <t>Cena ar PVN (</t>
    </r>
    <r>
      <rPr>
        <b/>
        <i/>
        <sz val="12"/>
        <rFont val="Times New Roman"/>
        <family val="1"/>
        <charset val="186"/>
      </rPr>
      <t>euro</t>
    </r>
    <r>
      <rPr>
        <b/>
        <sz val="12"/>
        <rFont val="Times New Roman"/>
        <family val="1"/>
        <charset val="186"/>
      </rPr>
      <t>)</t>
    </r>
  </si>
  <si>
    <t>1.</t>
  </si>
  <si>
    <t>1.1.</t>
  </si>
  <si>
    <t>1.2.</t>
  </si>
  <si>
    <t>1.3.</t>
  </si>
  <si>
    <t>2.</t>
  </si>
  <si>
    <t>2.1.</t>
  </si>
  <si>
    <t>2.2.</t>
  </si>
  <si>
    <t>2.3.</t>
  </si>
  <si>
    <t>2.4.</t>
  </si>
  <si>
    <t>2.5.</t>
  </si>
  <si>
    <t>2.6.</t>
  </si>
  <si>
    <t>2.7.</t>
  </si>
  <si>
    <t>2.8.</t>
  </si>
  <si>
    <t>3.1.</t>
  </si>
  <si>
    <t>3.2.</t>
  </si>
  <si>
    <t>3.3.</t>
  </si>
  <si>
    <t>4.1.</t>
  </si>
  <si>
    <t>4.2.</t>
  </si>
  <si>
    <t>5.</t>
  </si>
  <si>
    <t>6.</t>
  </si>
  <si>
    <t>6.1.</t>
  </si>
  <si>
    <t>6.2.</t>
  </si>
  <si>
    <t>6.3.</t>
  </si>
  <si>
    <t>Piezīmes:</t>
  </si>
  <si>
    <t>Ministru kabineta noteikumu projekta "Neatliekamās medicīniskās palīdzības dienesta maksas pakalpojumu cenrādis" sākotnējās (ex-ante) ietekmes novērtējuma ziņojumam (anotācijai)</t>
  </si>
  <si>
    <t>Neatliekamās medicīniskās palīdzības dienesta maksas pakalpojumu cenrādis</t>
  </si>
  <si>
    <r>
      <t xml:space="preserve">Neatliekamās medicīniskās palīdzības brigādes izsaukums pie personas medicīniskās palīdzības sniegšanai, kas nav uzskatāma par neatliekamu </t>
    </r>
    <r>
      <rPr>
        <vertAlign val="superscript"/>
        <sz val="12"/>
        <rFont val="Times New Roman"/>
        <family val="1"/>
        <charset val="186"/>
      </rPr>
      <t>1,2</t>
    </r>
  </si>
  <si>
    <r>
      <t xml:space="preserve">Neatliekamās medicīniskās palīdzības brigādes izsaukums pie personas, kura nesaņem no valsts budžeta apmaksātus veselības aprūpes pakalpojumus, neatliekamās medicīniskās palīdzības sniegšanai </t>
    </r>
    <r>
      <rPr>
        <vertAlign val="superscript"/>
        <sz val="12"/>
        <rFont val="Times New Roman"/>
        <family val="1"/>
        <charset val="186"/>
      </rPr>
      <t>2,3,11</t>
    </r>
  </si>
  <si>
    <r>
      <t xml:space="preserve">Pacienta transportēšana uz nākamo tuvāko stacionāru, kurā var sniegt atbilstošu neatliekamo medicīnisko palīdzību, pēc pacienta pieprasījuma, ja pacientam nav medicīnisku kontrindikāciju </t>
    </r>
    <r>
      <rPr>
        <vertAlign val="superscript"/>
        <sz val="12"/>
        <rFont val="Times New Roman"/>
        <family val="1"/>
        <charset val="186"/>
      </rPr>
      <t>2</t>
    </r>
  </si>
  <si>
    <t>Medicīniskā transportēšana (plānveida)</t>
  </si>
  <si>
    <r>
      <t xml:space="preserve">Neatliekamās palīdzības ārsta palīga brigādes (divi neatliekamās palīdzības ārsta palīgi, operatīvais medicīniskais transportlīdzeklis un tā vadītājs) izsaukums Latvijas robežās </t>
    </r>
    <r>
      <rPr>
        <vertAlign val="superscript"/>
        <sz val="12"/>
        <rFont val="Times New Roman"/>
        <family val="1"/>
        <charset val="186"/>
      </rPr>
      <t>1,2,6</t>
    </r>
  </si>
  <si>
    <t>1 stunda</t>
  </si>
  <si>
    <t>1 izsaukums</t>
  </si>
  <si>
    <r>
      <t xml:space="preserve">Neatliekamās palīdzības ārsta palīga brigādes (divi neatliekamās palīdzības ārsta palīgi, operatīvais medicīniskais transportlīdzeklis un tā vadītājs) izsaukums ārpus Latvijas robežām </t>
    </r>
    <r>
      <rPr>
        <vertAlign val="superscript"/>
        <sz val="12"/>
        <rFont val="Times New Roman"/>
        <family val="1"/>
        <charset val="186"/>
      </rPr>
      <t>1,2,5,6</t>
    </r>
  </si>
  <si>
    <r>
      <t xml:space="preserve">Intensīvās terapijas/neatliekamās medicīnas palīdzības ārsta brigādes (neatliekamās medicīnas (palīdzības) ārsts, neatliekamās palīdzības ārsta palīgs, operatīvais medicīniskais transportlīdzeklis un tā vadītājs) izsaukums Latvijas robežās </t>
    </r>
    <r>
      <rPr>
        <vertAlign val="superscript"/>
        <sz val="12"/>
        <rFont val="Times New Roman"/>
        <family val="1"/>
        <charset val="186"/>
      </rPr>
      <t>1,2,6</t>
    </r>
  </si>
  <si>
    <r>
      <t xml:space="preserve">Intensīvās terapijas/neatliekamās medicīnas palīdzības ārsta brigādes (neatliekamās medicīnas (palīdzības) ārsts, neatliekamās palīdzības ārsta palīgs, operatīvais medicīniskais transportlīdzeklis un tā vadītājs) izsaukums ārpus Latvijas robežām </t>
    </r>
    <r>
      <rPr>
        <vertAlign val="superscript"/>
        <sz val="12"/>
        <rFont val="Times New Roman"/>
        <family val="1"/>
        <charset val="186"/>
      </rPr>
      <t>1,2,5,6</t>
    </r>
  </si>
  <si>
    <r>
      <t xml:space="preserve">Specializētās brigādes (ārsts speciālists, neatliekamās palīdzības ārsta palīgs, operatīvais medicīniskais transportlīdzeklis un tā vadītājs) izsaukums Latvijas robežās </t>
    </r>
    <r>
      <rPr>
        <vertAlign val="superscript"/>
        <sz val="12"/>
        <rFont val="Times New Roman"/>
        <family val="1"/>
        <charset val="186"/>
      </rPr>
      <t>1,2,6</t>
    </r>
  </si>
  <si>
    <r>
      <t xml:space="preserve">Specializētās brigādes (ārsts speciālists, neatliekamās palīdzības ārsta palīgs, operatīvais medicīniskais transportlīdzeklis un tā vadītājs) izsaukums ārpus Latvijas robežām </t>
    </r>
    <r>
      <rPr>
        <vertAlign val="superscript"/>
        <sz val="12"/>
        <rFont val="Times New Roman"/>
        <family val="1"/>
        <charset val="186"/>
      </rPr>
      <t>1,2,5,6</t>
    </r>
  </si>
  <si>
    <r>
      <t xml:space="preserve">Reanimācijas brigādes (anesteziologs–reanimatologs, neatliekamās palīdzības ārsta palīgs, operatīvais medicīniskais transportlīdzeklis un tā vadītājs) izsaukums Latvijas robežās </t>
    </r>
    <r>
      <rPr>
        <vertAlign val="superscript"/>
        <sz val="12"/>
        <rFont val="Times New Roman"/>
        <family val="1"/>
        <charset val="186"/>
      </rPr>
      <t>1,2,6</t>
    </r>
  </si>
  <si>
    <r>
      <t xml:space="preserve">Reanimācijas brigādes (anesteziologs–reanimatologs, neatliekamās palīdzības ārsta palīgs, operatīvais medicīniskais transportlīdzeklis un tā vadītājs) izsaukums ārpus Latvijas robežām </t>
    </r>
    <r>
      <rPr>
        <vertAlign val="superscript"/>
        <sz val="12"/>
        <rFont val="Times New Roman"/>
        <family val="1"/>
        <charset val="186"/>
      </rPr>
      <t>1,2,5,6</t>
    </r>
  </si>
  <si>
    <t>Medicīniskās palīdzības nodrošināšana pasākumos</t>
  </si>
  <si>
    <t>Neatliekamās medicīniskās palīdzības dienesta brigādes izsaukumi pie privātpersonas (pacienta)</t>
  </si>
  <si>
    <r>
      <t xml:space="preserve">Neatliekamās medicīniskās palīdzības ārsta palīga brigādes (divi neatliekamās palīdzības ārsta palīgi, operatīvais medicīniskais transportlīdzeklis un tā vadītājs) izsaukums </t>
    </r>
    <r>
      <rPr>
        <vertAlign val="superscript"/>
        <sz val="12"/>
        <rFont val="Times New Roman"/>
        <family val="1"/>
        <charset val="186"/>
      </rPr>
      <t>1,2,6,9</t>
    </r>
  </si>
  <si>
    <t>3.4.</t>
  </si>
  <si>
    <r>
      <t xml:space="preserve">Intensīvās terapijas/neatliekamās medicīnas palīdzības ārsta brigādes (neatliekamās medicīnas (palīdzības) ārsts, neatliekamās palīdzības ārsta palīgs, operatīvais medicīniskais transportlīdzeklis un tā vadītājs) izsaukums </t>
    </r>
    <r>
      <rPr>
        <vertAlign val="superscript"/>
        <sz val="12"/>
        <rFont val="Times New Roman"/>
        <family val="1"/>
        <charset val="186"/>
      </rPr>
      <t>1,2,6,9</t>
    </r>
  </si>
  <si>
    <r>
      <t xml:space="preserve">Specializētā brigādes (ārsts speciālists, neatliekamās palīdzības ārsta palīgs, operatīvais medicīniskais transportlīdzeklis un tā vadītājs) izsaukums </t>
    </r>
    <r>
      <rPr>
        <vertAlign val="superscript"/>
        <sz val="12"/>
        <rFont val="Times New Roman"/>
        <family val="1"/>
        <charset val="186"/>
      </rPr>
      <t>1,2,6,9</t>
    </r>
  </si>
  <si>
    <r>
      <t xml:space="preserve">Reanimācijas brigādes (anesteziologs–reanimatologs, neatliekamās palīdzības ārsta palīgs, operatīvais medicīniskais transportlīdzeklis un tā vadītājs) izsaukums </t>
    </r>
    <r>
      <rPr>
        <vertAlign val="superscript"/>
        <sz val="12"/>
        <rFont val="Times New Roman"/>
        <family val="1"/>
        <charset val="186"/>
      </rPr>
      <t>1,2,6,9</t>
    </r>
  </si>
  <si>
    <t>Papildu piesaistāmie resursi</t>
  </si>
  <si>
    <t>4.3.</t>
  </si>
  <si>
    <t>4.4.</t>
  </si>
  <si>
    <t>4.5.</t>
  </si>
  <si>
    <t>4.6.</t>
  </si>
  <si>
    <t>4.7.</t>
  </si>
  <si>
    <t>4.8.</t>
  </si>
  <si>
    <t>4.9.</t>
  </si>
  <si>
    <t>4.10.</t>
  </si>
  <si>
    <t>4.11.</t>
  </si>
  <si>
    <t>1 kilometrs</t>
  </si>
  <si>
    <r>
      <t xml:space="preserve">Ārsta speciālista nodrošināšana, neizmantojot operatīvo medicīnisko transportlīdzekli (izsaukums) </t>
    </r>
    <r>
      <rPr>
        <vertAlign val="superscript"/>
        <sz val="12"/>
        <rFont val="Times New Roman"/>
        <family val="1"/>
        <charset val="186"/>
      </rPr>
      <t>2,5,6,9</t>
    </r>
  </si>
  <si>
    <r>
      <t xml:space="preserve">Neatliekamās medicīnas (palīdzības) ārsta nodrošināšana, neizmantojot operatīvo medicīnisko transportlīdzekli (izsaukums) </t>
    </r>
    <r>
      <rPr>
        <vertAlign val="superscript"/>
        <sz val="12"/>
        <rFont val="Times New Roman"/>
        <family val="1"/>
        <charset val="186"/>
      </rPr>
      <t>2,5,6,9</t>
    </r>
  </si>
  <si>
    <r>
      <t xml:space="preserve">Neatliekamās palīdzības ārsta palīga nodrošināšana, neizmantojot operatīvo medicīnisko transportlīdzekli (izsaukums) </t>
    </r>
    <r>
      <rPr>
        <vertAlign val="superscript"/>
        <sz val="12"/>
        <rFont val="Times New Roman"/>
        <family val="1"/>
        <charset val="186"/>
      </rPr>
      <t>2,5,6,9</t>
    </r>
  </si>
  <si>
    <r>
      <t xml:space="preserve">Operatīvā medicīniskā transportlīdzekļa izmantošana (ar tā vadītāju) (izsaukums) </t>
    </r>
    <r>
      <rPr>
        <vertAlign val="superscript"/>
        <sz val="12"/>
        <rFont val="Times New Roman"/>
        <family val="1"/>
        <charset val="186"/>
      </rPr>
      <t>2,5,9,10</t>
    </r>
  </si>
  <si>
    <r>
      <t xml:space="preserve">Papildu anesteziologa–reanimatologa piesaistīšana (izsaukums) </t>
    </r>
    <r>
      <rPr>
        <vertAlign val="superscript"/>
        <sz val="12"/>
        <rFont val="Times New Roman"/>
        <family val="1"/>
        <charset val="186"/>
      </rPr>
      <t>2,5,6</t>
    </r>
  </si>
  <si>
    <r>
      <t xml:space="preserve">Papildu ārsta speciālista/neatliekamās medicīnas palīdzības ārsta piesaistīšana (izsaukums) </t>
    </r>
    <r>
      <rPr>
        <vertAlign val="superscript"/>
        <sz val="12"/>
        <rFont val="Times New Roman"/>
        <family val="1"/>
        <charset val="186"/>
      </rPr>
      <t>2,5,6</t>
    </r>
  </si>
  <si>
    <r>
      <t xml:space="preserve">Papildu neatliekamās palīdzības ārsta palīga piesaistīšana (izsaukums) </t>
    </r>
    <r>
      <rPr>
        <vertAlign val="superscript"/>
        <sz val="12"/>
        <rFont val="Times New Roman"/>
        <family val="1"/>
        <charset val="186"/>
      </rPr>
      <t>2,5,6</t>
    </r>
  </si>
  <si>
    <r>
      <t xml:space="preserve">Papildu operatīvā medicīniskā transportlīdzekļa vadītāja piesaistīšana (izsaukums) </t>
    </r>
    <r>
      <rPr>
        <vertAlign val="superscript"/>
        <sz val="12"/>
        <rFont val="Times New Roman"/>
        <family val="1"/>
        <charset val="186"/>
      </rPr>
      <t>2,5,6</t>
    </r>
  </si>
  <si>
    <r>
      <t xml:space="preserve">Medicīniskās palīdzības sniegšanas vietas (medpunkta) izveidošana un medicīniskās palīdzības nodrošināšana </t>
    </r>
    <r>
      <rPr>
        <vertAlign val="superscript"/>
        <sz val="12"/>
        <rFont val="Times New Roman"/>
        <family val="1"/>
        <charset val="186"/>
      </rPr>
      <t>2,6</t>
    </r>
  </si>
  <si>
    <r>
      <t xml:space="preserve">Operatīvā medicīniskā transportlīdzekļa degvielas izmaksas </t>
    </r>
    <r>
      <rPr>
        <vertAlign val="superscript"/>
        <sz val="12"/>
        <rFont val="Times New Roman"/>
        <family val="1"/>
        <charset val="186"/>
      </rPr>
      <t>2,7</t>
    </r>
  </si>
  <si>
    <t>3.</t>
  </si>
  <si>
    <t>4.</t>
  </si>
  <si>
    <t>5.1.</t>
  </si>
  <si>
    <t>5.2.</t>
  </si>
  <si>
    <t>5.3.</t>
  </si>
  <si>
    <t>5.4.</t>
  </si>
  <si>
    <t>5.5.</t>
  </si>
  <si>
    <t>1 epizode</t>
  </si>
  <si>
    <r>
      <t xml:space="preserve">Reanimācijas brigādes (anesteziologs–reanimatologs, neatliekamās palīdzības ārsta palīgs, operatīvais medicīniskais transportlīdzeklis un tā vadītājs) izsaukums </t>
    </r>
    <r>
      <rPr>
        <vertAlign val="superscript"/>
        <sz val="12"/>
        <rFont val="Times New Roman"/>
        <family val="1"/>
        <charset val="186"/>
      </rPr>
      <t>2,6,8</t>
    </r>
  </si>
  <si>
    <r>
      <t xml:space="preserve">Ārsta speciālista (ārsts speciālists, operatīvais medicīniskais transportlīdzeklis un tā vadītājs) izsaukums </t>
    </r>
    <r>
      <rPr>
        <vertAlign val="superscript"/>
        <sz val="12"/>
        <rFont val="Times New Roman"/>
        <family val="1"/>
        <charset val="186"/>
      </rPr>
      <t>2,6,8</t>
    </r>
  </si>
  <si>
    <r>
      <t xml:space="preserve">Ārsta speciālista izsaukums, neizmantojot operatīvo medicīnisko transportlīdzekli </t>
    </r>
    <r>
      <rPr>
        <vertAlign val="superscript"/>
        <sz val="12"/>
        <rFont val="Times New Roman"/>
        <family val="1"/>
        <charset val="186"/>
      </rPr>
      <t>2,6,8</t>
    </r>
  </si>
  <si>
    <r>
      <t xml:space="preserve">Intensīvās terapijas/neatliekamās medicīnas palīdzības ārsta brigādes (neatliekamās medicīnas (palīdzības) ārsts, neatliekamās palīdzības ārsta palīgs, operatīvais medicīniskais transportlīdzeklis un tā vadītājs) izsaukums </t>
    </r>
    <r>
      <rPr>
        <vertAlign val="superscript"/>
        <sz val="12"/>
        <rFont val="Times New Roman"/>
        <family val="1"/>
        <charset val="186"/>
      </rPr>
      <t>2,6,8</t>
    </r>
  </si>
  <si>
    <t>Apmācības un izziņu sagatavošana</t>
  </si>
  <si>
    <t>6.4.</t>
  </si>
  <si>
    <t>6.5.</t>
  </si>
  <si>
    <t>6.6.</t>
  </si>
  <si>
    <t>6.7.</t>
  </si>
  <si>
    <t>6.8.</t>
  </si>
  <si>
    <t>6.9.</t>
  </si>
  <si>
    <t>6.10.</t>
  </si>
  <si>
    <t>6.11.</t>
  </si>
  <si>
    <t>6.12.</t>
  </si>
  <si>
    <r>
      <t xml:space="preserve">Prakses nodrošināšana personai, kura apgūst izglītības programmu neatliekamās medicīniskās palīdzības sniegšanā un organizēšanā, sertificēta neatliekamās medicīnas (palīdzības) ārsta vadībā (kontaktstundas) </t>
    </r>
    <r>
      <rPr>
        <vertAlign val="superscript"/>
        <sz val="12"/>
        <rFont val="Times New Roman"/>
        <family val="1"/>
        <charset val="186"/>
      </rPr>
      <t>4</t>
    </r>
  </si>
  <si>
    <r>
      <t xml:space="preserve">Prakses nodrošināšana personai, kura apgūst izglītības programmu neatliekamās medicīniskās palīdzības sniegšanā un organizēšanā, sertificēta neatliekamās palīdzības ārsta palīga vadībā (kontaktstundas) </t>
    </r>
    <r>
      <rPr>
        <vertAlign val="superscript"/>
        <sz val="12"/>
        <rFont val="Times New Roman"/>
        <family val="1"/>
        <charset val="186"/>
      </rPr>
      <t>4</t>
    </r>
  </si>
  <si>
    <r>
      <t xml:space="preserve">Izziņas sagatavošana privātpersonām </t>
    </r>
    <r>
      <rPr>
        <vertAlign val="superscript"/>
        <sz val="12"/>
        <rFont val="Times New Roman"/>
        <family val="1"/>
        <charset val="186"/>
      </rPr>
      <t>4</t>
    </r>
  </si>
  <si>
    <t>1 izziņa</t>
  </si>
  <si>
    <r>
      <t xml:space="preserve">Pirmās palīdzības pasniedzēju apmācības kurss </t>
    </r>
    <r>
      <rPr>
        <vertAlign val="superscript"/>
        <sz val="12"/>
        <rFont val="Times New Roman"/>
        <family val="1"/>
        <charset val="186"/>
      </rPr>
      <t>4</t>
    </r>
  </si>
  <si>
    <t>1 persona</t>
  </si>
  <si>
    <r>
      <t xml:space="preserve">Pirmās palīdzības pasniedzēju kvalifikācijas paaugstināšanas seminārs (1 diena) </t>
    </r>
    <r>
      <rPr>
        <vertAlign val="superscript"/>
        <sz val="12"/>
        <rFont val="Times New Roman"/>
        <family val="1"/>
        <charset val="186"/>
      </rPr>
      <t>4</t>
    </r>
  </si>
  <si>
    <r>
      <t>Pirmās palīdzības pasniedzēju kvalifikācijas paaugstināšanas seminārs (2 dienas)</t>
    </r>
    <r>
      <rPr>
        <vertAlign val="superscript"/>
        <sz val="12"/>
        <rFont val="Times New Roman"/>
        <family val="1"/>
        <charset val="186"/>
      </rPr>
      <t xml:space="preserve"> 4</t>
    </r>
  </si>
  <si>
    <r>
      <t xml:space="preserve">Tiesību piešķiršana nodarboties ar apmācību pirmās palīdzības sniegšanā fiziskām personām </t>
    </r>
    <r>
      <rPr>
        <vertAlign val="superscript"/>
        <sz val="12"/>
        <rFont val="Times New Roman"/>
        <family val="1"/>
        <charset val="186"/>
      </rPr>
      <t>4</t>
    </r>
  </si>
  <si>
    <r>
      <t xml:space="preserve">Atkārtota tiesību piešķiršana nodarboties ar apmācību pirmās palīdzības sniegšanā fiziskām personām </t>
    </r>
    <r>
      <rPr>
        <vertAlign val="superscript"/>
        <sz val="12"/>
        <rFont val="Times New Roman"/>
        <family val="1"/>
        <charset val="186"/>
      </rPr>
      <t>4</t>
    </r>
    <r>
      <rPr>
        <sz val="12"/>
        <rFont val="Times New Roman"/>
        <family val="1"/>
        <charset val="186"/>
      </rPr>
      <t xml:space="preserve"> </t>
    </r>
  </si>
  <si>
    <r>
      <t xml:space="preserve">Apliecība par pirmās palīdzības apmācības kursu </t>
    </r>
    <r>
      <rPr>
        <vertAlign val="superscript"/>
        <sz val="12"/>
        <rFont val="Times New Roman"/>
        <family val="1"/>
        <charset val="186"/>
      </rPr>
      <t>4</t>
    </r>
  </si>
  <si>
    <t>1 gabals</t>
  </si>
  <si>
    <r>
      <rPr>
        <vertAlign val="superscript"/>
        <sz val="12"/>
        <rFont val="Times New Roman"/>
        <family val="1"/>
        <charset val="186"/>
      </rPr>
      <t>2</t>
    </r>
    <r>
      <rPr>
        <sz val="12"/>
        <rFont val="Times New Roman"/>
        <family val="1"/>
        <charset val="186"/>
      </rPr>
      <t xml:space="preserve"> Pievienotās vērtības nodokli nepiemēro saskaņā ar Pievienotās vērtības nodokļa likuma 52.panta pirmās daļas 3.punkta „a” apakšpunktu.</t>
    </r>
  </si>
  <si>
    <r>
      <rPr>
        <vertAlign val="superscript"/>
        <sz val="12"/>
        <rFont val="Times New Roman"/>
        <family val="1"/>
        <charset val="186"/>
      </rPr>
      <t>4</t>
    </r>
    <r>
      <rPr>
        <sz val="12"/>
        <rFont val="Times New Roman"/>
        <family val="1"/>
        <charset val="186"/>
      </rPr>
      <t xml:space="preserve"> Pievienotās vērtības nodokli nepiemēro saskaņā ar Pievienotās vērtības nodokļa likuma 3.panta astoto daļu.</t>
    </r>
  </si>
  <si>
    <r>
      <rPr>
        <vertAlign val="superscript"/>
        <sz val="12"/>
        <rFont val="Times New Roman"/>
        <family val="1"/>
        <charset val="186"/>
      </rPr>
      <t>5</t>
    </r>
    <r>
      <rPr>
        <sz val="12"/>
        <rFont val="Times New Roman"/>
        <family val="1"/>
        <charset val="186"/>
      </rPr>
      <t xml:space="preserve"> Papildus cenrādim piemēro personāla apdrošināšanas faktiskos izdevumus, personāla dienas naudu, maksas ceļu un sabiedriskā transporta izdevumus un izdevumus par viesnīcu atbilstoši Ministru kabineta 2010.gada 12.oktobra noteikumiem Nr.969 "Kārtība, kādā atlīdzināmi ar komandējumiem saistītie izdevumi".</t>
    </r>
  </si>
  <si>
    <r>
      <rPr>
        <vertAlign val="superscript"/>
        <sz val="12"/>
        <rFont val="Times New Roman"/>
        <family val="1"/>
        <charset val="186"/>
      </rPr>
      <t>6</t>
    </r>
    <r>
      <rPr>
        <sz val="12"/>
        <rFont val="Times New Roman"/>
        <family val="1"/>
        <charset val="186"/>
      </rPr>
      <t xml:space="preserve"> Ja pakalpojums ilgst mazāk par vienu stundu, piemēro vienas stundas cenu.</t>
    </r>
  </si>
  <si>
    <r>
      <rPr>
        <vertAlign val="superscript"/>
        <sz val="12"/>
        <rFont val="Times New Roman"/>
        <family val="1"/>
        <charset val="186"/>
      </rPr>
      <t>8</t>
    </r>
    <r>
      <rPr>
        <sz val="12"/>
        <rFont val="Times New Roman"/>
        <family val="1"/>
        <charset val="186"/>
      </rPr>
      <t xml:space="preserve"> Cenrādi piemēro, ja pakalpojumu sniedz stacionārā ārstniecības iestādē pēc pacienta vai pacienta pārstāvja pieprasījuma vai stacionārās ārstniecības iestādes ārsta pieprasījuma gadījumos, kad izsaucēja iestāde pakalpojumu ikdienā nodrošina ar saviem resursiem.</t>
    </r>
  </si>
  <si>
    <r>
      <rPr>
        <vertAlign val="superscript"/>
        <sz val="12"/>
        <rFont val="Times New Roman"/>
        <family val="1"/>
        <charset val="186"/>
      </rPr>
      <t>9</t>
    </r>
    <r>
      <rPr>
        <sz val="12"/>
        <rFont val="Times New Roman"/>
        <family val="1"/>
        <charset val="186"/>
      </rPr>
      <t xml:space="preserve"> Ja pakalpojums tiek sniegts ilgāk par trīs stundām, piemēro koeficentu 0,85.</t>
    </r>
  </si>
  <si>
    <r>
      <rPr>
        <vertAlign val="superscript"/>
        <sz val="12"/>
        <rFont val="Times New Roman"/>
        <family val="1"/>
        <charset val="186"/>
      </rPr>
      <t>10</t>
    </r>
    <r>
      <rPr>
        <sz val="12"/>
        <rFont val="Times New Roman"/>
        <family val="1"/>
        <charset val="186"/>
      </rPr>
      <t xml:space="preserve"> Ja pakalpojums ilgst mazāk par vienu stundu, Cenrādi piemēro proporcionāli faktiski sniegtajam pakalpojuma apjomam.</t>
    </r>
  </si>
  <si>
    <t>Maksas pakalpojuma izcenojuma aprēķins</t>
  </si>
  <si>
    <r>
      <rPr>
        <b/>
        <sz val="12"/>
        <color theme="1"/>
        <rFont val="Times New Roman"/>
        <family val="1"/>
        <charset val="186"/>
      </rPr>
      <t>Laikposms:</t>
    </r>
    <r>
      <rPr>
        <sz val="12"/>
        <color theme="1"/>
        <rFont val="Times New Roman"/>
        <family val="1"/>
        <charset val="186"/>
      </rPr>
      <t xml:space="preserve"> 1 gads </t>
    </r>
  </si>
  <si>
    <t>Izdevumu klasifikācijas kods</t>
  </si>
  <si>
    <t>Rādītājs (materiāla/izejvielas nosaukums, atlīdzība un citi izmaksu veidi)</t>
  </si>
  <si>
    <t>Izmaksu apjoms noteiktā laikposmā viena maksas pakalpojuma veida nodrošināšanai</t>
  </si>
  <si>
    <t>Tiešās izmaksas</t>
  </si>
  <si>
    <t>Tiešās izmaksas kopā:</t>
  </si>
  <si>
    <t>Netiešās izmaksas</t>
  </si>
  <si>
    <t>Netiešās izmaksas kopā:</t>
  </si>
  <si>
    <t>Pakalpojuma izmaksas kopā:</t>
  </si>
  <si>
    <t>Maksas pakalpojuma vienību skaits noteiktā laikposmā (gab.)</t>
  </si>
  <si>
    <r>
      <t xml:space="preserve">Maksas pakalpojuma izcenojums (euro) </t>
    </r>
    <r>
      <rPr>
        <i/>
        <sz val="12"/>
        <color rgb="FF000000"/>
        <rFont val="Times New Roman"/>
        <family val="1"/>
        <charset val="186"/>
      </rPr>
      <t>(pakalpojuma izmaksas kopā, dalītas ar maksas pakalpojuma vienību skaitu noteiktā laikposmā)</t>
    </r>
  </si>
  <si>
    <r>
      <rPr>
        <b/>
        <sz val="12"/>
        <color theme="1"/>
        <rFont val="Times New Roman"/>
        <family val="1"/>
        <charset val="186"/>
      </rPr>
      <t>Iestāde:</t>
    </r>
    <r>
      <rPr>
        <sz val="12"/>
        <color theme="1"/>
        <rFont val="Times New Roman"/>
        <family val="1"/>
        <charset val="186"/>
      </rPr>
      <t xml:space="preserve"> Neatliekamās medicīniskās palīdzības dienests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</si>
  <si>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medicīniskās palīdzības sniegšanai, kas nav uzskatāma par neatliekamu</t>
    </r>
  </si>
  <si>
    <t>Plānotais pakalpojuma sniegšanas vienību skaits: 204</t>
  </si>
  <si>
    <t>Darba devēja valsts sociālās apdrošināšanas obligātā iemaksas, sociāla rakstura pabalsti un kompensācijas (24,09%)</t>
  </si>
  <si>
    <t>EKK 1110</t>
  </si>
  <si>
    <t>EKK 1210</t>
  </si>
  <si>
    <t>EKK 2210</t>
  </si>
  <si>
    <t>EKK 2250</t>
  </si>
  <si>
    <t>EKK 2340</t>
  </si>
  <si>
    <t>EKK 2313</t>
  </si>
  <si>
    <t>EKK 2322</t>
  </si>
  <si>
    <t>EKK 2240</t>
  </si>
  <si>
    <t>EKK 5100</t>
  </si>
  <si>
    <t>EEK 1110</t>
  </si>
  <si>
    <t>EKK 2220</t>
  </si>
  <si>
    <t>EKK 2230</t>
  </si>
  <si>
    <t>EKK 2510</t>
  </si>
  <si>
    <t>EKK 2100</t>
  </si>
  <si>
    <t xml:space="preserve">Administratīvie izdevumi </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</si>
  <si>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brigādes izsaukums pie personas, kura nesaņem no valsts budžeta apmaksātus veselības aprūpes pakalpojumus, neatliekamās medicīniskās palīdzības sniegšanai</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</si>
  <si>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Pacienta transportēšana uz nākamo tuvāko stacionāru, kurā var sniegt atbilstošu neatliekamo medicīnisko palīdzību, pēc pacienta pieprasījuma, ja pacientam nav medicīnisku kontrindikāciju</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</si>
  <si>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</si>
  <si>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palīdzības ārsta palīga brigādes (divi neatliekamās palīdzības ārsta palīgi,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</si>
  <si>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</si>
  <si>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 ārpus Latvijas robežām</t>
    </r>
  </si>
  <si>
    <t>Biroja preces</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</si>
  <si>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Latvijas robežās</t>
    </r>
  </si>
  <si>
    <t>Plānotais pakalpojuma sniegšanas vienību skaits: 4</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</si>
  <si>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Specializētās brigādes (ārsts speciālists,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</si>
  <si>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Latvijas robežās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</si>
  <si>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 ārpus Latvijas robežām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</si>
  <si>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medicīniskās palīdzības ārsta palīga brigādes (divi neatliekamās palīdzības ārsta palīgi, operatīvais medicīniskais transportlīdzeklis un tā vadītājs)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</si>
  <si>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Intensīvās terapijas/neatliekamās medicīnas palīdzības ārsta brigādes (neatliekamās medicīnas (palīdzības) ārsts, neatliekamās palīdzības ārsta palīgs, operatīvais medicīniskais transportlīdzeklis un tā vadītājs) izsaukums</t>
    </r>
  </si>
  <si>
    <t>Plānotais pakalpojuma sniegšanas vienību skaits: 71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</si>
  <si>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Specializētā brigādes (ārsts speciālists, neatliekamās palīdzības ārsta palīgs, operatīvais medicīniskais transportlīdzeklis un tā vadītājs) izsaukums</t>
    </r>
  </si>
  <si>
    <t>Plānotais pakalpojuma sniegšanas vienību skaits: 5</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</si>
  <si>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Reanimācijas brigādes (anesteziologs–reanimatologs, neatliekamās palīdzības ārsta palīgs, operatīvais medicīniskais transportlīdzeklis un tā vadītājs) izsaukums</t>
    </r>
  </si>
  <si>
    <t>Plānotais pakalpojuma sniegšanas vienību skaits: 126</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</si>
  <si>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Anesteziologa– reanimatologa nodrošināšana, neizmantojot operatīvo medicīnisko transportlīdzekli (izsaukums)</t>
    </r>
  </si>
  <si>
    <t>Plānotais pakalpojuma sniegšanas vienību skaits: 198</t>
  </si>
  <si>
    <t>Plānotais pakalpojuma sniegšanas vienību skaits: 294</t>
  </si>
  <si>
    <t>Plānotais pakalpojuma sniegšanas vienību skaits: 13</t>
  </si>
  <si>
    <t>Plānotais pakalpojuma sniegšanas vienību skaits: 80</t>
  </si>
  <si>
    <t>Plānotais pakalpojuma sniegšanas vienību skaits: 140</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</si>
  <si>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Medicīniskās palīdzības sniegšanas vietas (medpunkta) izveidošana un medicīniskās palīdzības nodrošināšana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</si>
  <si>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Operatīvā medicīniskā transportlīdzekļa degvielas izmaksas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</si>
  <si>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(ārsts speciālists, operatīvais medicīniskais transportlīdzeklis un tā vadītājs) izsaukums</t>
    </r>
  </si>
  <si>
    <t>Plānotais pakalpojuma sniegšanas vienību skaits: 206</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</si>
  <si>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izsaukums, neizmantojot operatīvo medicīnisko transportlīdzekli</t>
    </r>
  </si>
  <si>
    <t>Plānotais pakalpojuma sniegšanas vienību skaits: 270</t>
  </si>
  <si>
    <t>Plānotais pakalpojuma sniegšanas vienību skaits: 8</t>
  </si>
  <si>
    <t>Plānotais pakalpojuma sniegšanas vienību skaits: 12</t>
  </si>
  <si>
    <t>Plānotais pakalpojuma sniegšanas vienību skaits: 64</t>
  </si>
  <si>
    <t>Plānotais pakalpojuma sniegšanas vienību skaits: 10</t>
  </si>
  <si>
    <t>EKK 2310</t>
  </si>
  <si>
    <t>Biroja preces un inventārs</t>
  </si>
  <si>
    <t>EKK 2261</t>
  </si>
  <si>
    <t>EKK 2311</t>
  </si>
  <si>
    <t>EKK 2312</t>
  </si>
  <si>
    <t>EKK 5230</t>
  </si>
  <si>
    <t>Plānotais pakalpojuma sniegšanas vienību skaits: 120</t>
  </si>
  <si>
    <t>Plānotais pakalpojuma sniegšanas vienību skaits: 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</si>
  <si>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Tiesību piešķiršana nodarboties ar apmācību pirmās palīdzības sniegšanā fiziskām personām</t>
    </r>
  </si>
  <si>
    <t>Plānotais pakalpojuma sniegšanas vienību skaits: 11</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</si>
  <si>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Atkārtota tiesību piešķiršana nodarboties ar apmācību pirmās palīdzības sniegšanā fiziskām personām</t>
    </r>
  </si>
  <si>
    <t>Plānotais pakalpojuma sniegšanas vienību skaits: 40000</t>
  </si>
  <si>
    <t>Aprīkojuma amortizācija (defibrilatora amortizācija 0,5 eur/h, 0,5 x plānotais pakalpojumu skaits)</t>
  </si>
  <si>
    <t>OMT amortizācija (OMT amortizācija 1,75 eur/h, 1,75 x plānotais pakalpojumu skaits)</t>
  </si>
  <si>
    <t>OMT un aprīkojuma amortizācija (OMT amortizājija 1,75 eur/h, pārējā med.aprīkojuma un telts amortizācija 8,25 eur/h, kopā 10,00 x plānotais pakalpojumu skaits)</t>
  </si>
  <si>
    <t>Atalgojums citi darbinieki (atbalsta personāla atalgojums 0,15% no brigāžu personāla. 0,15 x pakalpojumu skaits gadā)</t>
  </si>
  <si>
    <t>Atalgojums citi darbinieki (atbalsta personāla atalgojums 0,25% no brigāžu personāla. 0,25 x pakalpojumu skaits gadā)</t>
  </si>
  <si>
    <t>Atalgojums citi darbinieki (atbalsta personāla atalgojums 0,1% no brigāžu personāla. 0,1 x pakalpojumu skaits gadā)</t>
  </si>
  <si>
    <t>EKK 2000</t>
  </si>
  <si>
    <t>Citas netiešās izmaksas (izmaksas, kas ietilpst atbilstoši MK not. Nr. 1529 Veselības aprūpes organizēšanas un finansēšanas kārtība noteiktai cenai par neatliekamās medicīniskās palīdzības brigādes izsaukumu)</t>
  </si>
  <si>
    <t>Nodokļu maksājumi (budžeta iestāžu nodokļu, nodevu un naudas sodu maksājumi gadā / kopējie izsaukumi gadā. 46423/438912 = 0,11 eur x pakalpojuma skaits gadā)</t>
  </si>
  <si>
    <t>Administratīvie izdevumi (administratīvie izdevumi gadā / kopējie izsaukumi gadā.234731/438912 = 0,53 eur x pakalpojuma skaits gadā)</t>
  </si>
  <si>
    <t>Atalgojums darbiniekam (stundas likme 1,35 eur)</t>
  </si>
  <si>
    <t>Atalgojums NMP ārstam (stundas likme 0,85 eur)</t>
  </si>
  <si>
    <t>Atalgojums ārstam palīgam (stundas likme 0,73 eur)</t>
  </si>
  <si>
    <t>Administratīvie izdevumi (administratīvie izdevumi gadā / kopējie izsaukumi gadā. 234731/438912 = 0,53 eur x pakalpojuma skaits gadā)</t>
  </si>
  <si>
    <t>Komandējumi, mācību braucieni (komandējumu izdevumi gadā / kopējie izsaukumi gadā. 39708/438912 = 0,09 eur x pakalpojuma skaits gadā)</t>
  </si>
  <si>
    <t>Iestāžu uzturēšana/telpu kārtējais remonts (iestāžu uzturēšanas izdevumi gadā / kopējie izsaukumi gadā. 561364/438912 = 1,28 eur x pakalpojuma skaits gadā)</t>
  </si>
  <si>
    <t>Komunālie pakalpojumi (komunālo pakalpojumu izdevumi gadā / kopējie izsaukumi gadā. 813902/438912 = 1,85 eur x pakalpojuma skaits gadā)</t>
  </si>
  <si>
    <t>Telpu īre, noma (telpu noma gadā / kopējie izsaukumi gadā. 286606/438912 = 0,65 eur x pakalpojuma skaits gadā)</t>
  </si>
  <si>
    <t>Nemateriālie ieguldījumi (izmaksas par licencēm un programmām gadā / kopējie izsaukumi gadā. 21000/438912 = 0,05 eur x pakalpojuma skaits gadā)</t>
  </si>
  <si>
    <t>IT pakalpojumi (IT sistēmu uzturēšanas izdevumi gadā / kopējie izsaukumi gadā. 627676/438912 = 1,43 eur x pakalpojuma skaits gadā)</t>
  </si>
  <si>
    <t>Sakaru pakalpojumi (sakaru un telekomunikāciju izdevumi gadā / kopējie izsaukumi gadā. 367899/438912 = 0,84 eur x pakalpojuma skaits gadā)</t>
  </si>
  <si>
    <t>Sakaru pakalpojumi (sakaru un telekomunikāciju izdevumi vienam pakalpojumam 4,32 eur x pakalpojuma skaits gadā)</t>
  </si>
  <si>
    <t>Spectērpi (izdevumi spectērpiem gadā / kopējie izsaukumi gadā. 452717/438912 = 1,03 eur x pakalpojuma skaits gadā)</t>
  </si>
  <si>
    <t>EKK 2350</t>
  </si>
  <si>
    <t>OMT uzturēšana/remonts/apdrošināšana (OMT remonta, apdrošināšanas izdevumi gadā / kopējie izsaukumi gadā. 624380/438912 = 1,42 eur x pakalpojuma skaits gadā)</t>
  </si>
  <si>
    <t>OMT rezerves daļas, iekārtu rezerves daļas (OMT rezerves daļu, iekārtu rezerves daļu izdevumi gadā / kopējie izsaukumi gadā. 500471/438912 = 1,14 eur x pakalpojuma skaits gadā)</t>
  </si>
  <si>
    <t>Izdevumi par precēm iestādes darbības nodrošināšanai, inventārs, biroja preces (inventāra, biroja preču izdevumi gadā / kopējie izsaukumi gadā.157571/438912 = 0,36 eur x pakalpojuma skaits gadā)</t>
  </si>
  <si>
    <t>Zāles/medicīniskie materiāli (medikamentu izdevumi gadā / kopējie izsaukumi gadā.596554/438912 = 1,36 eur x pakalpojuma skaits gadā)</t>
  </si>
  <si>
    <t>EKK 5200</t>
  </si>
  <si>
    <t>OMT un aprīkojuma amortizācija (OMT amortizājija 1,75 eur/h, medicīniskā aprīkojuma amortizācija 1,8 eur/h, kopā 3,55 x plānotais pakalpojumu skaits)</t>
  </si>
  <si>
    <t>Aprīkojuma amortizācija (aprīkojuma amortizājija 1,8 eur/h x plānotais pakalpojumu skaits)</t>
  </si>
  <si>
    <t>OMT un aprīkojuma amortizācija (OMT amortizājija 1,75 eur/h, medicīniskā aprīkojuma amortizācija 0,56 eur/h, kopā 2,31 x plānotais pakalpojumu skaits)</t>
  </si>
  <si>
    <t>Degviela  (vidējais nobraukums vienā izsaukumā 37 km, degvielas patēriņš 15l/100 km, cena 1,06 eur/l. 15/100 x 37 x 1,06 = 5,88 x plānotais pakalpojumu skaits)</t>
  </si>
  <si>
    <t>Zāles/medicīniskie materiāli (medikamentu izdevumi gadā / kopējie izsaukumi gadā.596554/438912 = 1,36 + 11,52 eur x pakalpojuma skaits gadā)</t>
  </si>
  <si>
    <t>Zāles/medicīniskie materiāli (medikamentu izdevumi gadā / kopējie izsaukumi gadā.596554/438912 = 1,36 + 6,91 eur x pakalpojuma skaits gadā)</t>
  </si>
  <si>
    <t>Degviela  (vidējais nobraukums vienā izsaukumā 72 km, degvielas patēriņš 15l/100 km, cena 1,06 eur/l. 15/100 x 72 x 1,06 = 11,45 x plānotais pakalpojumu skaits)</t>
  </si>
  <si>
    <t>Zāles/medicīniskie materiāli (medikamentu izdevumi gadā / kopējie izsaukumi gadā.596554/438912 = 1,36 + 9,22 eur x pakalpojuma skaits gadā)</t>
  </si>
  <si>
    <t>Degviela  (vidējais nobraukums vienā izsaukumā 50 km, degvielas patēriņš 15l/100 km, cena 1,06 eur/l. 15/100 x 50 x 1,06 = 7,95 x plānotais pakalpojumu skaits)</t>
  </si>
  <si>
    <t>Konsultācijas</t>
  </si>
  <si>
    <t>Iestādes administratīvie izdevumi un ar iestādes darbības nodrošināšanu saistītie izdevumi (tipogrāfijas pakalpojumi 1,15 eur/gab. X pakalpojumu skaits gadā)</t>
  </si>
  <si>
    <t>EKK 5220</t>
  </si>
  <si>
    <t>Atalgojums pasniedzējam (15 eur/st., ilgums 68 st., 11 dalībnieki. 15 x 68/11 = 92,73 x pakalpojumu skaits gadā)</t>
  </si>
  <si>
    <t>Atalgojums pasniedzēja asistentam (10 eur/st., ilgums 68 st., 11 dalībnieki. 10 x 68/11 = 61,82 x pakalpojumu skaits gadā)</t>
  </si>
  <si>
    <t>Atalgojums kursa vadītājam (15 eur/st., ilgums 24 st, 11 dalībnieki. 15 x 24/11 = 32,73 x pakalpojumu skaits gadā)</t>
  </si>
  <si>
    <t>Atalgojums pasniedzējam par mācību materiālu sagatavošanu  (15 eur/st., ilgums 10 st, 11 dalībnieki. 15 x 10/11 = 13,64 x pakalpojumu skaits gadā)</t>
  </si>
  <si>
    <t>Administratīvie izdevumi  (kafijas pauze 11 dalībniekiem, 3 pasniedzējiem, 16 reizes. 1,5 eur x 14 x 16 = 336/11 = 30,55 eur x pakalpojumu skaits gadā</t>
  </si>
  <si>
    <t>Telpu izmantošana (telpu noma 10 eur/h. 10 x 68 st. = 680/11 = 61,82 eur x pakalpojumu skaits gadā</t>
  </si>
  <si>
    <t>Biroja preces (kancelejas preces 11 dalībniekiem. 30/11 = 2,73 eur x pakalpojumu skaits gadā)</t>
  </si>
  <si>
    <t>Inventārs (paklāji treniņiem 4.gab 8 eur, elpināšanas masku komplekts 15 eur, aptieciņas 2 gab. 30 eur, motocikla ķivere 2 gab. 10 eur, dezinfekcijas līdzekļi 50 eur. 8+15+30+10+50 = 113/11 = 10,27 eur x pakalpojumu skaits gadā)</t>
  </si>
  <si>
    <t>Tehnoloģiskās iekārtas (amortizācija - manekens ar datorpieslēgumu 2 gab. 100 eur, aizrīšanās treniņu manekens 10 eur, bērna manekens 10 eur, zīdaiņa manekens 2 gab., 20 eur. 100+10+10+10+20 = 150/11 = 13,64 eur x pakalpojumu skaits gadā)</t>
  </si>
  <si>
    <t>Pārējie pamatlīdzekļi (amortizācija - dators, portatīvais dators, projektors, TV un DVD, 0,10 eur/st. x pakalpojumu skaits gadā)</t>
  </si>
  <si>
    <t>Atalgojums pasniedzējam (15 eur/st., ilgums 8 st., 25 dalībnieki. 15 x 8/25 = 4,80 eur x pakalpojumu skaits gadā)</t>
  </si>
  <si>
    <t>Atalgojums kursa vadītājam (15 eur/st., ilgums 8 st., 25 dalībnieki. 15 x 8/25 = 4,80 eur x pakalpojumu skaits gadā)</t>
  </si>
  <si>
    <t>Atalgojums pasniedzējam par mācību materiālu sagatavošanu  (15 eur/st., ilgums 8 st., 25 dalībnieki. 15 x 8/25 = 4,80 x pakalpojumu skaits gadā)</t>
  </si>
  <si>
    <t>Administratīvie izdevumi  (kafijas pauze 25 dalībniekiem, 3 pasniedzējiem, 2 reizes. 1,5 eur x 28 x 2 = 84/25 = 3,36 eur x pakalpojumu skaits gadā</t>
  </si>
  <si>
    <t>Biroja preces (kancelejas preces 25 dalībniekiem. 30/25 = 1,20 eur x pakalpojumu skaits gadā)</t>
  </si>
  <si>
    <t>Inventārs (paklāji treniņiem 6.gab 12 eur, pārsienamais materiāls 30 eur, motociklista ķivere 2 gab. 10 eur, elpināšanas masku komplekts 5 eur, aptieciņas 2 gab. 30 eur, dezinfekcijas līdzekļi 10 eur. 12+30+10+5+30+10 = 97/25 = 3,88 eur x pakalpojumu skaits gadā)</t>
  </si>
  <si>
    <t>Tehnoloģiskās iekārtas (amortizācija - manekens ar datorpieslēgumu 1 gab. 50 eur, aizrīšanās treniņu manekens 10 eur, bērna manekens 10 eur, zīdaiņa manekens 2 gab., 20 eur. 50+10+10+20 = 90/25 = 3,6 eur x pakalpojumu skaits gadā)</t>
  </si>
  <si>
    <t>Telpu izmantošana (telpu noma 10 eur/h. 10 x 10 st. = 80/25 = 3,2 eur x pakalpojumu skaits gadā</t>
  </si>
  <si>
    <t>Atalgojums pasniedzējam (15 eur/st., ilgums 16 st., 12 dalībnieki. 15 x 16/12 = 20,00 x pakalpojumu skaits gadā)</t>
  </si>
  <si>
    <t>Atalgojums kursa vadītājam (15 eur/st., ilgums 16 st., 12 dalībnieki. 15 x 16/12 = 20,00 x pakalpojumu skaits gadā)</t>
  </si>
  <si>
    <t>Atalgojums pasniedzējam par mācību materiālu sagatavošanu  (15 eur/st., ilgums 10 st., 12 dalībnieki. 15 x 10/12 = 12,50 x pakalpojumu skaits gadā)</t>
  </si>
  <si>
    <t>Administratīvie izdevumi  (kafijas pauze 12 dalībniekiem, 3 pasniedzējiem, 4 reizes. 1,5 eur x 15 x 4 = 90/12 = 7,50 eur x pakalpojumu skaits gadā</t>
  </si>
  <si>
    <t>Telpu izmantošana (telpu noma 10 eur/h. 10 x 16 st. = 160/12 = 13,33 eur x pakalpojumu skaits gadā</t>
  </si>
  <si>
    <t>Biroja preces (kancelejas preces 12 dalībniekiem. 30/12 = 2,50 eur x pakalpojumu skaits gadā)</t>
  </si>
  <si>
    <t>Inventārs (paklāji treniņiem 6.gab 12 eur, pārsienamais materiāls 30 eur, motociklista ķivere 2 gab. 10 eur, elpināšanas masku komplekts 5 eur, aptieciņas 2 gab. 30 eur, dezinfekcijas līdzekļi 20 eur. 12+30+10+5+30+20 = 107/12 = 8,92 eur x pakalpojumu skaits gadā)</t>
  </si>
  <si>
    <t>Tehnoloģiskās iekārtas (amortizācija - manekens ar datorpieslēgumu 2 gab. 50 eur, bērna manekens 10 eur, zīdaiņa manekens 2 gab., 20 eur. 50+10+20 = 80/12 = 6,67 eur x pakalpojumu skaits gadā)</t>
  </si>
  <si>
    <t>Atalgojums komisijas locekļiem (15 eur/st., 10 komisijas locekļi, ilgums 4 st., . 15 x 10 x 4 = 600,00 eur)</t>
  </si>
  <si>
    <t>Degviela (100 km, 15 l x 1,06 eur = 15,9 eur)</t>
  </si>
  <si>
    <t>Telpu izmantošana (telpu noma 10 eur/h., 4 st., 10 x 4 = 40,00 eur)</t>
  </si>
  <si>
    <t>Pārējie pamatlīdzekļi (amortizācija - dators, portatīvais dators, projektors, TV un DVD, 0,10 eur/st.)</t>
  </si>
  <si>
    <t>Atalgojums komisijas locekļiem (15 eur/st., 10 komisijas locekļi, ilgums 2 st. 15 x 10 x 2 = 300,00)</t>
  </si>
  <si>
    <t>Degviela (50 km, 7,5 l x 1,06 eur = 7,95 eur)</t>
  </si>
  <si>
    <t>Telpu izmantošana (telpu noma 10 eur/h., 2 st., 10 x 2 = 20,00 eur)</t>
  </si>
  <si>
    <t>Atalgojums komisijas locekļiem (15 eur/st., 10 komisijas locekļi, ilgums 8 st., 13 dalībnieki, 15 x 10 x 8 = 1200,00/13 = 92,31 x pakalpojumu skaits gadā)</t>
  </si>
  <si>
    <t>Atalgojums statistam (10 eur/st., ilgums 3 st., 1 statists, 13 dalībnieki. 10 x 3 = 30,00/13 = 2,31 x pakalpojumu skaits gadā)</t>
  </si>
  <si>
    <t>Atalgojums pasniedzējam par eksāmena materiālu sagatavošanu   (15 eur/st., ilgums 4 st. 15 x 4 = 60,00/13 = 4,62 x pakalpojumu skaits gadā)</t>
  </si>
  <si>
    <t>Administratīvie izdevumi  (kafijas pauze 13 dalībniekiem, 10 komisijas locekļi, 1 statists, 2 reizes. 1,5 eur x 23 x 2 = 69/13 = 5,31 eur x pakalpojumu skaits gadā</t>
  </si>
  <si>
    <t>Telpu izmantošana (telpu noma 10 eur/h. 10 x 8 st. = 80/13 = 6,15 eur x pakalpojumu skaits gadā</t>
  </si>
  <si>
    <t>Biroja preces (kancelejas preces 13 dalībniekiem. 30/13 = 2,31 eur x pakalpojumu skaits gadā)</t>
  </si>
  <si>
    <t>Inventārs (paklāji treniņiem 6.gab 12 eur, pārsienamais materiāls 30 eur, motociklista ķivere 2 gab. 10 eur, elpināšanas masku komplekts 5 eur, aptieciņas 2 gab. 30 eur, dezinfekcijas līdzekļi 10 eur. 12+30+10+5+30+10 = 97/13 = 7,46 eur x pakalpojumu skaits gadā)</t>
  </si>
  <si>
    <t>Tehnoloģiskās iekārtas (amortizācija - manekens ar datorpieslēgumu 2 gab. 50 eur, manekena plauša 16 eur, aizrīšanās treniņu manekens 10 eur, pusaudža manekens 10 eur, zīdaiņa manekens 2 gab., 20 eur. 50+16+10+10+20 = 106/13 = 8,15 eur x pakalpojumu skaits gadā)</t>
  </si>
  <si>
    <t>Atalgojums komisijas locekļiem (15 eur/st., 10 komisijas locekļi, ilgums 4 st., 13 dalībnieki. 15 x 10 x 4 = 600,00/13 = 46,15 eur x pakalpojumu skaits gadā)</t>
  </si>
  <si>
    <t>Atalgojums statistam (10 eur/st., ilgums 3 st., 1 statists, 13 dalībnieki. 10 x 3 = 30,00/13 = 2,31 eur x pakalpojumu skaits gadā)</t>
  </si>
  <si>
    <t>Atalgojums pasniedzējam par eksāmena materiālu sagatavošanu   (15 eur/st., ilgums 4 st. 15 x 4 = 60,00/13 = 4,62 eur x pakalpojumu skaits gadā)</t>
  </si>
  <si>
    <t>Administratīvie izdevumi  (kafijas pauze 13 dalībniekiem, 10 komisijas locekļi, 1 statists, 1 reize. 1,5 eur x 23 x 1 = 34,5/13 = 2,65 eur x pakalpojumu skaits gadā</t>
  </si>
  <si>
    <t>Telpu izmantošana (telpu noma 10 eur/h. 10 x 4 st. = 40/13 = 3,08 eur x pakalpojumu skaits gadā</t>
  </si>
  <si>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 speciālista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</si>
  <si>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Neatliekamās medicīnas (palīdzības) ārsta nodrošināšana, neizmantojot operatīvo medicīnisko transportlīdzekli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</si>
  <si>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Neatliekamās palīdzības ārsta palīga nodrošināšana, neizmantojot operatīvo medicīnisko transportlīdzekli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</si>
  <si>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Operatīvā medicīniskā transportlīdzekļa izmantošana (ar tā vadītāju)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</si>
  <si>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Papildu anesteziologa–reanimatologa piesaistīšana (izsaukums)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</si>
  <si>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ārsta speciālista/neatliekamās medicīnas palīdzības ārsta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</si>
  <si>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neatliekamās palīdzības ārsta palīga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</si>
  <si>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Papildu operatīvā medicīniskā transportlīdzekļa vadītāja piesaistīšana (izsaukums)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</si>
  <si>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Prakses nodrošināšana personai, kura apgūst izglītības programmu neatliekamās medicīniskās palīdzības sniegšanā un organizēšanā, sertificēta neatliekamās medicīnas (palīdzības) ārsta vadībā (kontaktstundas)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</si>
  <si>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Prakses nodrošināšana personai, kura apgūst izglītības programmu neatliekamās medicīniskās palīdzības sniegšanā un organizēšanā, sertificēta neatliekamās palīdzības ārsta palīga vadībā (kontaktstundas)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</si>
  <si>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Izziņas sagatavošana privātpersonām</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</si>
  <si>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apmācības kurss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</si>
  <si>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(1 diena)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</si>
  <si>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Pirmās palīdzības pasniedzēju kvalifikācijas paaugstināšanas seminārs (2 dienas)</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</si>
  <si>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Apliecība par pirmās palīdzības apmācības kursu</t>
    </r>
  </si>
  <si>
    <r>
      <t xml:space="preserve">Anesteziologa – reanimatologa nodrošināšana, neizmantojot operatīvo medicīnisko transportlīdzekli (izsaukums) </t>
    </r>
    <r>
      <rPr>
        <vertAlign val="superscript"/>
        <sz val="12"/>
        <rFont val="Times New Roman"/>
        <family val="1"/>
        <charset val="186"/>
      </rPr>
      <t>2,5,6,9</t>
    </r>
  </si>
  <si>
    <t>Plānotais pakalpojuma sniegšanas vienību skaits: 1121</t>
  </si>
  <si>
    <t>Plānotais pakalpojuma sniegšanas vienību skaits: 109</t>
  </si>
  <si>
    <t>Plānotais pakalpojuma sniegšanas vienību skaits: 97</t>
  </si>
  <si>
    <t>Plānotais pakalpojuma sniegšanas vienību skaits: 3302</t>
  </si>
  <si>
    <t>Izdevumi par precēm iestādes darbības nodrošināšanai, inventārs, biroja preces (inventāra, biroja preču izdevumi gadā / kopējie izsaukumi gadā. 157571/438912 = 0,36 eur x pakalpojuma skaits gadā)</t>
  </si>
  <si>
    <t>Zāles/medicīniskie materiāli (medikamentu izdevumi gadā / kopējie izsaukumi gadā. 596554/438912 = 1,36 eur x pakalpojuma skaits gadā + 27,58)</t>
  </si>
  <si>
    <t>Zāles/medicīniskie materiāli (medikamentu izdevumi gadā / kopējie izsaukumi gadā. 596554/438912 = 1,36 + 11,52 eur x pakalpojuma skaits gadā)</t>
  </si>
  <si>
    <t>Atalgojums darbiniekam (5% no iesaistītā darbinieka atalgojuma 700 eur x 5%)</t>
  </si>
  <si>
    <t>Degviela (degvielas patēriņš 15l/100 km, vidējā DD degvielas cena Eiropā uz 28.05.2018 - 1,317 eur/l, 15/100 x 1,317 = 0,20 eur/1 km)</t>
  </si>
  <si>
    <t>Plānotais pakalpojuma sniegšanas vienību skaits: 1010</t>
  </si>
  <si>
    <t>Plānotais pakalpojuma sniegšanas vienību skaits: 460</t>
  </si>
  <si>
    <t>Plānotais pakalpojuma sniegšanas vienību skaits: 7</t>
  </si>
  <si>
    <t>Plānotais pakalpojuma sniegšanas vienību skaits: 40</t>
  </si>
  <si>
    <t>Plānotais pakalpojuma sniegšanas vienību skaits: 10624</t>
  </si>
  <si>
    <t>Plānotais pakalpojuma sniegšanas vienību skaits: 835</t>
  </si>
  <si>
    <t>Plānotais pakalpojuma sniegšanas vienību skaits: 6747</t>
  </si>
  <si>
    <t>Zāles/medicīniskie materiāli (medikamentu izdevumi gadā / kopējie izsaukumi gadā. 596554/438912 = 1,36 eur x pakalpojuma skaits gadā)</t>
  </si>
  <si>
    <t>OMT uzturēšana/remonts (OMT vienas regulārās apkopes vidējās izmaksas 663,47 eur)</t>
  </si>
  <si>
    <t>Veselības ministre:</t>
  </si>
  <si>
    <t>Anda Čakša</t>
  </si>
  <si>
    <t>Vīza: Valsts sekretārs</t>
  </si>
  <si>
    <t>Aivars Lapiņš</t>
  </si>
  <si>
    <t>Zandberga, 67876041</t>
  </si>
  <si>
    <t>Lasma.Zandberga@vm.gov.lv</t>
  </si>
  <si>
    <t>Maris.Rutkis@nmpd.gov.lv</t>
  </si>
  <si>
    <t>Rutkis, 67337036</t>
  </si>
  <si>
    <r>
      <t xml:space="preserve">Apmācītājorganizācijas atbilstības novērtēšana prasībām nodarboties ar apmācību pirmās palīdzības sniegšanā </t>
    </r>
    <r>
      <rPr>
        <vertAlign val="superscript"/>
        <sz val="12"/>
        <rFont val="Times New Roman"/>
        <family val="1"/>
        <charset val="186"/>
      </rPr>
      <t>4</t>
    </r>
  </si>
  <si>
    <r>
      <t xml:space="preserve">Atkārtota apmācītājorganizācijas atbilstības novērtēšana prasībām nodarboties ar apmācību pirmās palīdzības sniegšanā </t>
    </r>
    <r>
      <rPr>
        <vertAlign val="superscript"/>
        <sz val="12"/>
        <rFont val="Times New Roman"/>
        <family val="1"/>
        <charset val="186"/>
      </rPr>
      <t>4</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</si>
  <si>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Apmācītājorganizācijas atbilstības novērtēšana prasībām nodarboties ar apmācību pirmās palīdzības sniegšanā </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</si>
  <si>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Atkārtota apmācītājorganizācijas atbilstības novērtēšana prasībām nodarboties ar apmācību pirmās palīdzības sniegšanā </t>
    </r>
  </si>
  <si>
    <r>
      <t xml:space="preserve">Ārsta/Neatliekamās medicīniskās palīdzības dienesta speciālista telefona konsultācija </t>
    </r>
    <r>
      <rPr>
        <vertAlign val="superscript"/>
        <sz val="12"/>
        <rFont val="Times New Roman"/>
        <family val="1"/>
        <charset val="186"/>
      </rPr>
      <t>2,7</t>
    </r>
  </si>
  <si>
    <r>
      <t xml:space="preserve">Ārstniecības personu praktisko iemaņu pilnveide neatliekamās medicīniskās palīdzības sniegšanā un organizēšanā neatliekamās medicīniskās palīdzības  brigādes sastāvā vai Operatīvās vadības centrā (viena persona/stundas) </t>
    </r>
    <r>
      <rPr>
        <vertAlign val="superscript"/>
        <sz val="12"/>
        <rFont val="Times New Roman"/>
        <family val="1"/>
        <charset val="186"/>
      </rPr>
      <t>4</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</si>
  <si>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Ārsta/Neatliekamās medicīniskās palīdzības dienesta speciālista telefona konsultācija</t>
    </r>
  </si>
  <si>
    <r>
      <rPr>
        <b/>
        <sz val="12"/>
        <color theme="1"/>
        <rFont val="Times New Roman"/>
        <family val="1"/>
        <charset val="186"/>
      </rPr>
      <t>Maksas pakalpojuma veids:</t>
    </r>
    <r>
      <rPr>
        <sz val="12"/>
        <color theme="1"/>
        <rFont val="Times New Roman"/>
        <family val="1"/>
        <charset val="186"/>
      </rPr>
      <t xml:space="preserve"> </t>
    </r>
    <r>
      <rPr>
        <u/>
        <sz val="12"/>
        <color theme="1"/>
        <rFont val="Times New Roman"/>
        <family val="1"/>
        <charset val="186"/>
      </rPr>
      <t xml:space="preserve">Ārstniecības personu praktisko iemaņu pilnveide neatliekamās medicīniskās palīdzības sniegšanā un organizēšanā neatliekamās medicīniskās palīdzības brigādes sastāvā vai Operatīvās vadības centrā (viena persona/stundas) </t>
    </r>
  </si>
  <si>
    <r>
      <rPr>
        <vertAlign val="superscript"/>
        <sz val="12"/>
        <rFont val="Times New Roman"/>
        <family val="1"/>
        <charset val="186"/>
      </rPr>
      <t>7</t>
    </r>
    <r>
      <rPr>
        <sz val="12"/>
        <rFont val="Times New Roman"/>
        <family val="1"/>
        <charset val="186"/>
      </rPr>
      <t xml:space="preserve"> Cenrādi piemēro, ja pacients tiek pārvests uz ārvalsti vai no ārvalsts.</t>
    </r>
  </si>
  <si>
    <r>
      <rPr>
        <vertAlign val="superscript"/>
        <sz val="12"/>
        <rFont val="Times New Roman"/>
        <family val="1"/>
        <charset val="186"/>
      </rPr>
      <t xml:space="preserve">11 </t>
    </r>
    <r>
      <rPr>
        <sz val="12"/>
        <rFont val="Times New Roman"/>
        <family val="1"/>
        <charset val="186"/>
      </rPr>
      <t>Cenrādi piemēro, uzrādot Neatliekamās medicīniskās palīdzības dienestam radušos zaudējumus gadījumos, kad neatliekamās medicīniskās palīdzības dienesta brigāde, pēc citu operatīvo dienestu vai personas pieprasījuma, tiek izsaukta vai dežūrē pie potenciāli bīstama objekta laikā, kad notikusi apzināta operatīvo dienestu maldināšana vai tīši izraisīts apdraudējums.</t>
    </r>
  </si>
  <si>
    <t>Ārsta palīga/ārsta reanimatologa alga (vidējā ārsta palīga un ārsta reanimatologa likme (10,32 eur + 6,64 eur)/2 = 8,48 euro)</t>
  </si>
  <si>
    <t>Autovadītāja alga  (autovadītāja likme 6,87 euro) 6,87*126 = 865,62 euro</t>
  </si>
  <si>
    <r>
      <rPr>
        <vertAlign val="superscript"/>
        <sz val="12"/>
        <rFont val="Times New Roman"/>
        <family val="1"/>
        <charset val="186"/>
      </rPr>
      <t>3</t>
    </r>
    <r>
      <rPr>
        <sz val="12"/>
        <rFont val="Times New Roman"/>
        <family val="1"/>
        <charset val="186"/>
      </rPr>
      <t xml:space="preserve"> Cenrādis piemērojams personām, kuras neatbilst Veselības aprūpes finansēšanas likuma 9.pantā un Ministru kabineta noteikumiem "Veselības aprūpes organizēšanas un samaksas kārtība".</t>
    </r>
  </si>
  <si>
    <r>
      <rPr>
        <vertAlign val="superscript"/>
        <sz val="12"/>
        <rFont val="Times New Roman"/>
        <family val="1"/>
        <charset val="186"/>
      </rPr>
      <t>1</t>
    </r>
    <r>
      <rPr>
        <sz val="12"/>
        <rFont val="Times New Roman"/>
        <family val="1"/>
        <charset val="186"/>
      </rPr>
      <t xml:space="preserve"> Izsaukums, kas nav uzskatāms par neatliekamu atbilstoši Ministru kabineta noteikumiem "Veselības aprūpes organizēšanas un samaksas kārtība".</t>
    </r>
  </si>
  <si>
    <t>Autovadītāja alga  (vidējā autovadītāja likme (4,45 euro) 4,45*204 = 928.20 euro</t>
  </si>
  <si>
    <t>Ārsta palīga alga (vidējā ārsta palīga likme (6,64 euro) 6,64*204 = 1354.56 euro</t>
  </si>
  <si>
    <t>Ārsts reanimatalogs (vidējā ārsta reanimatologa likme 17,21 euro) 17,21*1010 = 17 382,10 euro</t>
  </si>
  <si>
    <t>Ārsta palīga alga (vidējā ārsta palīga likme 11,08 euro) 11,08*1010 = 11 190,80 euro</t>
  </si>
  <si>
    <t>Autovadītāja alga (vidējā autovadītāja likme 7,58 euro) 7,58*1010 = 7 655,80 euro</t>
  </si>
  <si>
    <t>Ārsta palīga alga (vidējā ārsta palīga likme 6,64 euro) 6,64*460 = 3 054,40 euro</t>
  </si>
  <si>
    <t>Autovadītāja alga  (vidējā autovadītāja likme 4,55 euro) 4,55*460 = 2 093,00 euro</t>
  </si>
  <si>
    <t>Ārsta palīga alga (vidējā ārsta palīga likme 6,64 euro) 6,64*1121 = 7 443,44 euro</t>
  </si>
  <si>
    <t>Autovadītāja alga  (vidējā autovadītāja likme 4,55 euro) 4,55*1121 = 5 100,55 euro</t>
  </si>
  <si>
    <t>Ārsta palīga alga (vidējā ārsta palīga likme 11,08 euro) 11,08*7 = 77,56 euro</t>
  </si>
  <si>
    <t>Autovadītāja alga (vidējā autovadītāja likme 7,58 euro) 7,58*7 = 53,06 euro</t>
  </si>
  <si>
    <t>Neatliekamās medicīniskās palīdzības ārsts (vidējā NMP ārsta likme 9,48 euro) 9,48*109 = 1033,32 euro</t>
  </si>
  <si>
    <t>Ārsta palīga alga (vidējā ārsta palīga likme 6,64 euro) 6,64*109 = 7 23,76 euro</t>
  </si>
  <si>
    <t>Autovadītāja alga (vidējā autovadītāja likme 4,55 euro) 4,55*109 = 495,95 euro</t>
  </si>
  <si>
    <t>Neatliekamās medicīniskās palīdzības ārsts (vidējā NMP ārsta likme 17,21 euro) 17,21*7 = 120,47 euro</t>
  </si>
  <si>
    <t>Ārsts speciālists alga (vidējā ārsta speciālista likme 10,32 euro) 10,32*4 = 41,28 euro</t>
  </si>
  <si>
    <t>Ārsta palīga alga (vidējā ārsta palīga likme 6,64 euro) 6,64*4 = 26,56 euro</t>
  </si>
  <si>
    <t>Autovadītāja alga  (vidējā autovadītāja likme 4,55 euro) 4,55*4 = 18,20 euro</t>
  </si>
  <si>
    <t>Ārsts speciālists alga (vidējā ārsta speciālista likme 17,21 euro) 17,21*7 = 120,47 euro</t>
  </si>
  <si>
    <t>Ārsts reanimatalogs (vidējā ārsta reanimatologa likme 11,90 euro) 11,90*97=1154,30 euro</t>
  </si>
  <si>
    <t>Ārsta palīga alga (vidējā ārsta palīga likme 6,64 euro) 6,64*97 = 644,08 euro</t>
  </si>
  <si>
    <t>Autovadītāja alga  (vidējā autovadītāja likme 4,55 euro) 4,55*97 = 441,35 euro</t>
  </si>
  <si>
    <t>Ārsts reanimatalogs (vidējā ārsta reanimatologa likme 19,85 euro) 19,85*7=138,95 euro</t>
  </si>
  <si>
    <t>Autovadītāja alga  (vidējā autovadītāja likme 7,58 euro) 7,58*7 = 53,06 euro</t>
  </si>
  <si>
    <t>Ārsta palīga alga (vidējā ārsta palīga likme 11,08 euro) 11,08*3302 = 36 586.16 euro</t>
  </si>
  <si>
    <t>Autovadītāja alga  (vidējā autovadītāja likme 7,58 euro) 7,58*3302 = 25 029,16 euro</t>
  </si>
  <si>
    <t>Neatliekamās medicīniskās palīdzības ārsts (vidējā NMP ārsta likme 13,69 euro) 13,69*71 = 971,99 euro</t>
  </si>
  <si>
    <t>Ārsta palīga alga (vidējā ārsta palīga likme 9,51 euro) 9,51*71 = 680,89 euro</t>
  </si>
  <si>
    <t>Autovadītāja alga (vidējā autovadītāja likme 6,26 euro) 6,26*71 = 444,46 euro</t>
  </si>
  <si>
    <t>Ārsts speciālists alga (vidējā ārsta speciālista likme 14,90 euro) 14,90*5 = 74,50 euro</t>
  </si>
  <si>
    <t>Ārsta palīga alga (vidējā ārsta palīga likme 9,59 euro) 9,59*5 = 47,95 euro</t>
  </si>
  <si>
    <t>Autovadītāja alga  (vidējā autovadītāja likme 6,26 euro) 6,26*5 = 31,30 euro</t>
  </si>
  <si>
    <t>Ārsts reanimatalogs (vidējā ārsta reanimatologa likme 16,32 euro) 16,32*126 = 2056,32 euro</t>
  </si>
  <si>
    <t>Ārsta palīga alga (vidējā ārsta palīga likme 10,04 euro) 10,04*126 = 1265,04 euro</t>
  </si>
  <si>
    <t>NM sanitārs (vidējā NM sanitāra likme 5,98 euro) 5,98*126 = 753,48 euro</t>
  </si>
  <si>
    <t>Ārsts reanimatalogs (vidējā ārsta reanimatologa likme 17,91 euro) 17,91*4 = 71,64 euro</t>
  </si>
  <si>
    <t>Ārsts speciālists alga (vidējā ārsta speciālista likme 17,21 euro) 17,21*40 = 688,40 euro</t>
  </si>
  <si>
    <t>Neatliekamās medicīniskās palīdzības ārsts (vidējā NMP ārsta likme 15,81 euro) 15,81*4 = 63,24 euro</t>
  </si>
  <si>
    <t>NMP ārsta palīga alga  (vidējā NMP ārsta palīga likme 11,08 euro) 11,08*198 = 2193,84 euro</t>
  </si>
  <si>
    <t>Autovadītāja alga  (vidējā autovadītāja likme 7,58 euro) 7,58*294 = 2228,52 euro</t>
  </si>
  <si>
    <t>Ārsta reanimataloga alga  (vidējā ārsta reanimatologa likme 17,21 euro) 17,21*10 = 179,10 euro</t>
  </si>
  <si>
    <t>Ārsts speciālists alga (vidējā ārsta speciālista likme 17,21 euro) 17,21*10 = 172,10 euro</t>
  </si>
  <si>
    <t>Ārsta palīga alga (vidējā ārsta palīga likme 11,08 euro) 11,08*80 = 886,40 euro</t>
  </si>
  <si>
    <t>Autovadītāja alga  (vidējā autovadītāja likme 7,58 euro) 7,58*140 = 1061,20 euro</t>
  </si>
  <si>
    <t>Ārsts reanimatalogs (vidējā ārsta reanimatologa likme 17,91 euro) 17,91*13 = 232,83 euro</t>
  </si>
  <si>
    <t>Ārsta palīga alga (vidējā ārsta palīga likme 11,08 euro) 11,08*13 = 144,04 euro</t>
  </si>
  <si>
    <t>Autovadītāja alga (vidējā autovadītāja likme 7,58 euro) 7,58*13 = 98,54 euro</t>
  </si>
  <si>
    <t>Ārsta palīga alga (vidējā ārsta palīga likme 11,08 euro) 11,08*4 = 44,32 euro</t>
  </si>
  <si>
    <t>Autovadītāja alga (vidējā autovadītāja likme 7,58 euro) 7,58*4 = 30,32 euro</t>
  </si>
  <si>
    <t>Ārsts speciālists alga (vidējā ārsta speciālista likme 17,21 euro) 17,21*206 = 3545,26 euro</t>
  </si>
  <si>
    <t>Autovadītāja alga (vidējā autovadītāja likme 7,58 euro) 7,58*206 = 1561,48 euro</t>
  </si>
  <si>
    <t>Neatliekamās medicīniskās palīdzības ārsts  (vidējā NMP ārsta likme 9,48 euro) 9,48*8 = 75,84 euro</t>
  </si>
  <si>
    <t>Ārsta palīga alga (vidējā ārsta palīga likme 6,64 euro) 6,64*8 = 53,12 euro</t>
  </si>
  <si>
    <t>Autovadītāja alga (vidējā autovadītāja likme 4,55 euro) 4,55*8 = 36,40 euro</t>
  </si>
  <si>
    <t>Ārsts speciālists alga (vidējā ārsta speciālista likme 17,21 euro) 17,21*12 = 206,52 euro</t>
  </si>
  <si>
    <t>Ārsts speciālists alga (vidējā vidējā ārsta speciālista likme 17,21 euro) 17,21*270 = 4646,70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</si>
</sst>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186"/>
      <scheme val="minor"/>
    </font>
    <font>
      <sz val="12"/>
      <color theme="1"/>
      <name val="Times New Roman"/>
      <family val="1"/>
      <charset val="186"/>
    </font>
    <font>
      <b/>
      <sz val="12"/>
      <color theme="1"/>
      <name val="Times New Roman"/>
      <family val="1"/>
      <charset val="186"/>
    </font>
    <font>
      <b/>
      <sz val="12"/>
      <name val="Times New Roman"/>
      <family val="1"/>
      <charset val="186"/>
    </font>
    <font>
      <b/>
      <i/>
      <sz val="12"/>
      <name val="Times New Roman"/>
      <family val="1"/>
      <charset val="186"/>
    </font>
    <font>
      <sz val="12"/>
      <name val="Times New Roman"/>
      <family val="1"/>
      <charset val="186"/>
    </font>
    <font>
      <vertAlign val="superscript"/>
      <sz val="12"/>
      <name val="Times New Roman"/>
      <family val="1"/>
      <charset val="186"/>
    </font>
    <font>
      <sz val="10"/>
      <name val="Arial"/>
      <family val="2"/>
      <charset val="186"/>
    </font>
    <font>
      <sz val="11"/>
      <color theme="1"/>
      <name val="Times New Roman"/>
      <family val="1"/>
      <charset val="186"/>
    </font>
    <font>
      <sz val="11"/>
      <name val="Times New Roman"/>
      <family val="1"/>
      <charset val="186"/>
    </font>
    <font>
      <sz val="11"/>
      <name val="Arial"/>
      <family val="2"/>
      <charset val="186"/>
    </font>
    <font>
      <sz val="10"/>
      <color theme="1"/>
      <name val="Times New Roman"/>
      <family val="1"/>
      <charset val="186"/>
    </font>
    <font>
      <u/>
      <sz val="11"/>
      <color theme="10"/>
      <name val="Calibri"/>
      <family val="2"/>
      <charset val="186"/>
    </font>
    <font>
      <u/>
      <sz val="10"/>
      <color theme="10"/>
      <name val="Times New Roman"/>
      <family val="1"/>
      <charset val="186"/>
    </font>
    <font>
      <sz val="10"/>
      <name val="Times New Roman"/>
      <family val="1"/>
      <charset val="186"/>
    </font>
    <font>
      <u/>
      <sz val="12"/>
      <color theme="1"/>
      <name val="Times New Roman"/>
      <family val="1"/>
      <charset val="186"/>
    </font>
    <font>
      <b/>
      <sz val="12"/>
      <color rgb="FF000000"/>
      <name val="Times New Roman"/>
      <family val="1"/>
      <charset val="186"/>
    </font>
    <font>
      <sz val="12"/>
      <color rgb="FF000000"/>
      <name val="Times New Roman"/>
      <family val="1"/>
      <charset val="186"/>
    </font>
    <font>
      <i/>
      <sz val="12"/>
      <color rgb="FF000000"/>
      <name val="Times New Roman"/>
      <family val="1"/>
      <charset val="186"/>
    </font>
    <font>
      <sz val="10"/>
      <name val="Arial"/>
      <family val="2"/>
    </font>
    <font>
      <sz val="10"/>
      <name val="BaltHelvetica"/>
    </font>
    <font>
      <sz val="12"/>
      <color rgb="FFFF0000"/>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s>
  <cellStyleXfs count="7">
    <xf numFmtId="0" fontId="0" fillId="0" borderId="0"/>
    <xf numFmtId="0" fontId="7" fillId="0" borderId="0"/>
    <xf numFmtId="0" fontId="12" fillId="0" borderId="0" applyNumberFormat="0" applyFill="0" applyBorder="0" applyAlignment="0" applyProtection="0">
      <alignment vertical="top"/>
      <protection locked="0"/>
    </xf>
    <xf numFmtId="0" fontId="19" fillId="0" borderId="0"/>
    <xf numFmtId="0" fontId="19" fillId="0" borderId="0"/>
    <xf numFmtId="0" fontId="19" fillId="0" borderId="0"/>
    <xf numFmtId="0" fontId="20" fillId="0" borderId="0"/>
  </cellStyleXfs>
  <cellXfs count="154">
    <xf numFmtId="0" fontId="0" fillId="0" borderId="0" xfId="0"/>
    <xf numFmtId="0" fontId="1" fillId="0" borderId="0" xfId="0" applyFont="1"/>
    <xf numFmtId="0" fontId="1" fillId="0" borderId="0" xfId="0" applyFont="1"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2" fontId="5" fillId="2"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2" fontId="1" fillId="0" borderId="0" xfId="0" applyNumberFormat="1" applyFont="1"/>
    <xf numFmtId="0" fontId="5" fillId="4" borderId="1" xfId="0" applyFont="1" applyFill="1" applyBorder="1" applyAlignment="1">
      <alignment horizontal="left" vertical="center" wrapText="1"/>
    </xf>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5" fillId="0" borderId="0" xfId="1" applyFont="1"/>
    <xf numFmtId="0" fontId="5" fillId="0" borderId="0" xfId="1" applyFont="1" applyAlignment="1">
      <alignment horizontal="right"/>
    </xf>
    <xf numFmtId="0" fontId="8" fillId="0" borderId="0" xfId="0" applyFont="1"/>
    <xf numFmtId="0" fontId="9" fillId="0" borderId="0" xfId="1" applyFont="1"/>
    <xf numFmtId="0" fontId="9" fillId="0" borderId="0" xfId="1" applyFont="1" applyBorder="1"/>
    <xf numFmtId="0" fontId="9" fillId="0" borderId="0" xfId="1" applyFont="1" applyBorder="1" applyAlignment="1">
      <alignment horizontal="center"/>
    </xf>
    <xf numFmtId="0" fontId="9" fillId="0" borderId="0" xfId="1" applyFont="1" applyAlignment="1">
      <alignment horizontal="right"/>
    </xf>
    <xf numFmtId="0" fontId="10" fillId="0" borderId="0" xfId="0" applyFont="1"/>
    <xf numFmtId="0" fontId="13" fillId="0" borderId="0" xfId="2" applyFont="1" applyAlignment="1" applyProtection="1"/>
    <xf numFmtId="0" fontId="11" fillId="0" borderId="0" xfId="0" applyFont="1" applyAlignment="1"/>
    <xf numFmtId="0" fontId="14" fillId="0" borderId="0" xfId="0" applyFont="1" applyAlignment="1"/>
    <xf numFmtId="0" fontId="14" fillId="0" borderId="0" xfId="0" applyFont="1"/>
    <xf numFmtId="0" fontId="11" fillId="0" borderId="0" xfId="0" applyFont="1"/>
    <xf numFmtId="0" fontId="10" fillId="0" borderId="0" xfId="0" applyFont="1" applyAlignment="1">
      <alignment vertical="justify"/>
    </xf>
    <xf numFmtId="0" fontId="3" fillId="3" borderId="1" xfId="0" applyFont="1" applyFill="1" applyBorder="1" applyAlignment="1">
      <alignment vertical="center" wrapText="1"/>
    </xf>
    <xf numFmtId="0" fontId="3" fillId="5" borderId="1" xfId="0" applyFont="1" applyFill="1" applyBorder="1" applyAlignment="1">
      <alignment horizontal="left" vertical="center" wrapText="1"/>
    </xf>
    <xf numFmtId="0" fontId="2" fillId="0" borderId="0" xfId="0" applyFont="1" applyAlignme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wrapText="1"/>
    </xf>
    <xf numFmtId="0" fontId="5" fillId="0" borderId="8" xfId="0" applyFont="1" applyBorder="1" applyAlignment="1">
      <alignment horizontal="justify" vertical="top" wrapText="1"/>
    </xf>
    <xf numFmtId="0" fontId="1" fillId="0" borderId="8" xfId="0" applyFont="1" applyBorder="1" applyAlignment="1">
      <alignment horizontal="justify" vertical="top" wrapText="1"/>
    </xf>
    <xf numFmtId="0" fontId="2" fillId="0" borderId="8" xfId="0" applyFont="1" applyBorder="1" applyAlignment="1">
      <alignment vertical="top" wrapText="1"/>
    </xf>
    <xf numFmtId="2" fontId="2" fillId="0" borderId="8"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1" fillId="0" borderId="8" xfId="0" applyFont="1" applyBorder="1" applyAlignment="1">
      <alignment horizontal="left" vertical="top" wrapText="1"/>
    </xf>
    <xf numFmtId="0" fontId="5" fillId="4" borderId="8" xfId="0" applyFont="1" applyFill="1" applyBorder="1" applyAlignment="1">
      <alignment horizontal="justify" vertical="top" wrapText="1"/>
    </xf>
    <xf numFmtId="0" fontId="1" fillId="4" borderId="0" xfId="0" applyFont="1" applyFill="1"/>
    <xf numFmtId="0" fontId="2" fillId="0" borderId="8" xfId="0" applyFont="1" applyBorder="1" applyAlignment="1">
      <alignment horizontal="right" vertical="center" wrapText="1"/>
    </xf>
    <xf numFmtId="0" fontId="5" fillId="0" borderId="10" xfId="0" applyFont="1" applyBorder="1" applyAlignment="1">
      <alignment horizontal="center" vertical="center"/>
    </xf>
    <xf numFmtId="2" fontId="16" fillId="0" borderId="11" xfId="0" applyNumberFormat="1" applyFont="1" applyBorder="1" applyAlignment="1">
      <alignment horizontal="center" vertical="center"/>
    </xf>
    <xf numFmtId="0" fontId="5" fillId="0" borderId="0" xfId="1" applyFont="1" applyBorder="1"/>
    <xf numFmtId="0" fontId="5" fillId="0" borderId="0" xfId="1" applyFont="1" applyAlignment="1">
      <alignment horizontal="center"/>
    </xf>
    <xf numFmtId="0" fontId="1" fillId="0" borderId="12" xfId="0" applyFont="1" applyBorder="1" applyAlignment="1">
      <alignment horizontal="center" vertical="center" wrapText="1"/>
    </xf>
    <xf numFmtId="0" fontId="2"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20" xfId="0" applyFont="1" applyBorder="1" applyAlignment="1">
      <alignment horizontal="justify" vertical="top" wrapText="1"/>
    </xf>
    <xf numFmtId="0" fontId="5" fillId="0" borderId="22" xfId="0" applyFont="1" applyBorder="1" applyAlignment="1">
      <alignment horizontal="justify" vertical="top" wrapText="1"/>
    </xf>
    <xf numFmtId="0" fontId="5" fillId="0" borderId="24" xfId="0" applyFont="1" applyBorder="1" applyAlignment="1">
      <alignment horizontal="justify" vertical="top" wrapText="1"/>
    </xf>
    <xf numFmtId="0" fontId="1" fillId="0" borderId="14" xfId="0" applyFont="1" applyBorder="1" applyAlignment="1">
      <alignment horizontal="center" vertical="center" wrapText="1"/>
    </xf>
    <xf numFmtId="2" fontId="1" fillId="0" borderId="8"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wrapText="1"/>
    </xf>
    <xf numFmtId="2" fontId="5" fillId="0" borderId="19" xfId="0" applyNumberFormat="1" applyFont="1" applyFill="1" applyBorder="1" applyAlignment="1">
      <alignment horizontal="center" vertical="center" wrapText="1"/>
    </xf>
    <xf numFmtId="0" fontId="21" fillId="0" borderId="0" xfId="1" applyFont="1" applyBorder="1"/>
    <xf numFmtId="0" fontId="1" fillId="0" borderId="0" xfId="0" applyFont="1" applyFill="1"/>
    <xf numFmtId="2" fontId="5" fillId="0" borderId="0" xfId="1" applyNumberFormat="1" applyFont="1"/>
    <xf numFmtId="0" fontId="1" fillId="0" borderId="8" xfId="0" applyFont="1" applyFill="1" applyBorder="1" applyAlignment="1">
      <alignment horizontal="justify" vertical="top" wrapText="1"/>
    </xf>
    <xf numFmtId="2" fontId="5" fillId="0" borderId="8"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xf>
    <xf numFmtId="0" fontId="1" fillId="0" borderId="20" xfId="0" applyFont="1" applyBorder="1" applyAlignment="1">
      <alignment horizontal="center" vertical="center" wrapText="1"/>
    </xf>
    <xf numFmtId="0" fontId="5" fillId="0" borderId="29" xfId="0" applyFont="1" applyBorder="1" applyAlignment="1">
      <alignment horizontal="justify" vertical="top" wrapText="1"/>
    </xf>
    <xf numFmtId="2" fontId="5" fillId="0" borderId="2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2" fontId="5" fillId="0" borderId="0" xfId="1" applyNumberFormat="1" applyFont="1" applyBorder="1"/>
    <xf numFmtId="0" fontId="1" fillId="0" borderId="21" xfId="0" applyFont="1" applyBorder="1" applyAlignment="1">
      <alignment horizontal="center" vertical="center" wrapText="1"/>
    </xf>
    <xf numFmtId="2" fontId="5" fillId="0" borderId="21"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2" fontId="5" fillId="0" borderId="22" xfId="0" applyNumberFormat="1" applyFont="1" applyFill="1" applyBorder="1" applyAlignment="1">
      <alignment horizontal="center" vertical="center" wrapText="1"/>
    </xf>
    <xf numFmtId="0" fontId="5" fillId="0" borderId="8" xfId="0" applyFont="1" applyFill="1" applyBorder="1" applyAlignment="1">
      <alignment horizontal="justify" vertical="top" wrapText="1"/>
    </xf>
    <xf numFmtId="2" fontId="3" fillId="0" borderId="11" xfId="0" applyNumberFormat="1" applyFont="1" applyBorder="1" applyAlignment="1">
      <alignment horizontal="center" vertical="center"/>
    </xf>
    <xf numFmtId="0" fontId="1" fillId="0" borderId="7" xfId="0" applyFont="1" applyFill="1" applyBorder="1" applyAlignment="1">
      <alignment horizontal="center" vertical="center" wrapText="1"/>
    </xf>
    <xf numFmtId="2" fontId="3" fillId="0" borderId="11" xfId="0" applyNumberFormat="1" applyFont="1" applyFill="1" applyBorder="1" applyAlignment="1">
      <alignment horizontal="center" vertical="center"/>
    </xf>
    <xf numFmtId="0" fontId="5" fillId="0" borderId="7" xfId="0" applyFont="1" applyBorder="1" applyAlignment="1">
      <alignment horizontal="center" vertical="center" wrapText="1"/>
    </xf>
    <xf numFmtId="2" fontId="1" fillId="0" borderId="0" xfId="0" applyNumberFormat="1" applyFont="1" applyFill="1"/>
    <xf numFmtId="0" fontId="1" fillId="0" borderId="1" xfId="0" applyFont="1" applyBorder="1" applyAlignment="1">
      <alignment horizontal="center" vertical="center" wrapText="1"/>
    </xf>
    <xf numFmtId="2" fontId="1" fillId="0" borderId="32" xfId="0" applyNumberFormat="1" applyFont="1" applyFill="1" applyBorder="1" applyAlignment="1">
      <alignment horizontal="center" vertical="center" wrapText="1"/>
    </xf>
    <xf numFmtId="2" fontId="2" fillId="0" borderId="32" xfId="0" applyNumberFormat="1" applyFont="1" applyBorder="1" applyAlignment="1">
      <alignment horizontal="center" vertical="center" wrapText="1"/>
    </xf>
    <xf numFmtId="2" fontId="1" fillId="0" borderId="32" xfId="0" applyNumberFormat="1" applyFont="1" applyBorder="1" applyAlignment="1">
      <alignment horizontal="center" vertical="center" wrapText="1"/>
    </xf>
    <xf numFmtId="0" fontId="1" fillId="0" borderId="31" xfId="0" applyFont="1" applyBorder="1" applyAlignment="1">
      <alignment vertical="top" wrapText="1"/>
    </xf>
    <xf numFmtId="2" fontId="1" fillId="0" borderId="11" xfId="0" applyNumberFormat="1" applyFont="1" applyBorder="1" applyAlignment="1">
      <alignment horizontal="center" vertical="center" wrapText="1"/>
    </xf>
    <xf numFmtId="0" fontId="1" fillId="0" borderId="8" xfId="0" applyFont="1" applyBorder="1" applyAlignment="1">
      <alignment vertical="top" wrapText="1"/>
    </xf>
    <xf numFmtId="0" fontId="5" fillId="0" borderId="20" xfId="0" applyFont="1" applyBorder="1" applyAlignment="1">
      <alignment horizontal="justify" vertical="top"/>
    </xf>
    <xf numFmtId="0" fontId="5" fillId="0" borderId="21" xfId="0" applyFont="1" applyBorder="1" applyAlignment="1">
      <alignment horizontal="justify" vertical="top"/>
    </xf>
    <xf numFmtId="0" fontId="5" fillId="0" borderId="22" xfId="0" applyFont="1" applyBorder="1" applyAlignment="1">
      <alignment horizontal="justify" vertical="top"/>
    </xf>
    <xf numFmtId="0" fontId="1" fillId="0" borderId="8" xfId="0" applyFont="1" applyBorder="1" applyAlignment="1">
      <alignment horizontal="justify" vertical="top"/>
    </xf>
    <xf numFmtId="0" fontId="1" fillId="0" borderId="8" xfId="0" applyFont="1" applyFill="1" applyBorder="1" applyAlignment="1">
      <alignment horizontal="justify" vertical="top"/>
    </xf>
    <xf numFmtId="0" fontId="2" fillId="0" borderId="8" xfId="0" applyFont="1" applyBorder="1" applyAlignment="1">
      <alignment vertical="top"/>
    </xf>
    <xf numFmtId="0" fontId="5" fillId="0" borderId="8" xfId="0" applyFont="1" applyBorder="1" applyAlignment="1">
      <alignment horizontal="justify" vertical="top"/>
    </xf>
    <xf numFmtId="0" fontId="5" fillId="4" borderId="8" xfId="0" applyFont="1" applyFill="1" applyBorder="1" applyAlignment="1">
      <alignment horizontal="justify" vertical="top"/>
    </xf>
    <xf numFmtId="0" fontId="1" fillId="0" borderId="8" xfId="0" applyFont="1" applyBorder="1" applyAlignment="1">
      <alignment horizontal="justify"/>
    </xf>
    <xf numFmtId="0" fontId="2" fillId="0" borderId="8" xfId="0" applyFont="1" applyBorder="1" applyAlignment="1"/>
    <xf numFmtId="0" fontId="5" fillId="0" borderId="8" xfId="0" applyFont="1" applyBorder="1" applyAlignment="1">
      <alignment horizontal="justify"/>
    </xf>
    <xf numFmtId="0" fontId="2" fillId="0" borderId="13" xfId="0" applyFont="1" applyBorder="1" applyAlignment="1">
      <alignment vertical="center"/>
    </xf>
    <xf numFmtId="0" fontId="1" fillId="0" borderId="8" xfId="0" applyFont="1" applyBorder="1" applyAlignment="1">
      <alignment horizontal="justify" wrapText="1"/>
    </xf>
    <xf numFmtId="0" fontId="5" fillId="0" borderId="29" xfId="0" applyFont="1" applyBorder="1" applyAlignment="1">
      <alignment horizontal="justify" vertical="top"/>
    </xf>
    <xf numFmtId="0" fontId="5" fillId="0" borderId="3" xfId="0" applyFont="1" applyBorder="1" applyAlignment="1">
      <alignment horizontal="justify" vertical="top"/>
    </xf>
    <xf numFmtId="0" fontId="5" fillId="0" borderId="30" xfId="0" applyFont="1" applyBorder="1" applyAlignment="1">
      <alignment horizontal="justify" vertical="top"/>
    </xf>
    <xf numFmtId="0" fontId="5" fillId="0" borderId="8" xfId="0" applyFont="1" applyFill="1" applyBorder="1" applyAlignment="1">
      <alignment horizontal="justify" vertical="top"/>
    </xf>
    <xf numFmtId="0" fontId="5" fillId="0" borderId="29" xfId="0" applyFont="1" applyBorder="1" applyAlignment="1">
      <alignment horizontal="justify"/>
    </xf>
    <xf numFmtId="0" fontId="5" fillId="0" borderId="3" xfId="0" applyFont="1" applyBorder="1" applyAlignment="1">
      <alignment horizontal="justify"/>
    </xf>
    <xf numFmtId="0" fontId="5" fillId="0" borderId="30" xfId="0" applyFont="1" applyBorder="1" applyAlignment="1">
      <alignment horizontal="justify"/>
    </xf>
    <xf numFmtId="0" fontId="5" fillId="0" borderId="8" xfId="0" applyFont="1" applyFill="1" applyBorder="1" applyAlignment="1">
      <alignment horizontal="justify"/>
    </xf>
    <xf numFmtId="0" fontId="5" fillId="0" borderId="2" xfId="0" applyFont="1" applyBorder="1" applyAlignment="1">
      <alignment horizontal="justify" vertical="top"/>
    </xf>
    <xf numFmtId="0" fontId="1" fillId="0" borderId="31" xfId="0" applyFont="1" applyBorder="1" applyAlignment="1">
      <alignment horizontal="justify" vertical="top"/>
    </xf>
    <xf numFmtId="0" fontId="2" fillId="0" borderId="31" xfId="0" applyFont="1" applyBorder="1" applyAlignment="1">
      <alignment vertical="top"/>
    </xf>
    <xf numFmtId="0" fontId="5" fillId="0" borderId="31" xfId="0" applyFont="1" applyFill="1" applyBorder="1" applyAlignment="1">
      <alignment horizontal="justify" vertical="top"/>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5" xfId="0" applyFont="1" applyBorder="1" applyAlignment="1">
      <alignment horizontal="justify" vertical="top" wrapText="1"/>
    </xf>
    <xf numFmtId="0" fontId="1" fillId="0" borderId="27" xfId="0" applyFont="1" applyBorder="1" applyAlignment="1">
      <alignment horizontal="justify" vertical="top" wrapText="1"/>
    </xf>
    <xf numFmtId="2" fontId="1" fillId="0" borderId="26" xfId="0" applyNumberFormat="1" applyFont="1" applyFill="1" applyBorder="1" applyAlignment="1">
      <alignment horizontal="center" vertical="center" wrapText="1"/>
    </xf>
    <xf numFmtId="2" fontId="1" fillId="0" borderId="28"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0" fontId="9" fillId="0" borderId="0" xfId="0" applyFont="1"/>
    <xf numFmtId="2" fontId="5" fillId="0" borderId="35"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1" fillId="4" borderId="8" xfId="0" applyNumberFormat="1" applyFont="1" applyFill="1" applyBorder="1" applyAlignment="1">
      <alignment horizontal="center" vertical="center" wrapText="1"/>
    </xf>
    <xf numFmtId="0" fontId="11" fillId="0" borderId="0" xfId="0" applyFont="1" applyFill="1"/>
    <xf numFmtId="0" fontId="10" fillId="0" borderId="0" xfId="0" applyFont="1" applyAlignment="1"/>
    <xf numFmtId="0" fontId="5" fillId="0" borderId="0" xfId="0" applyFont="1" applyFill="1" applyAlignment="1">
      <alignment vertical="center" wrapText="1"/>
    </xf>
    <xf numFmtId="0" fontId="11" fillId="0" borderId="0" xfId="0" applyFont="1" applyAlignment="1">
      <alignment horizontal="left"/>
    </xf>
    <xf numFmtId="0" fontId="3" fillId="5" borderId="1"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top" wrapText="1"/>
    </xf>
    <xf numFmtId="0" fontId="1" fillId="4" borderId="0" xfId="0" applyFont="1" applyFill="1" applyAlignment="1">
      <alignment horizontal="left"/>
    </xf>
    <xf numFmtId="0" fontId="5" fillId="0" borderId="0" xfId="0" applyFont="1" applyFill="1" applyAlignment="1">
      <alignment horizontal="left" vertical="top"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0" borderId="0" xfId="0" applyFont="1" applyAlignment="1">
      <alignment horizontal="right"/>
    </xf>
    <xf numFmtId="0" fontId="1" fillId="0" borderId="0" xfId="0" applyFont="1" applyAlignment="1">
      <alignment horizontal="right" wrapText="1"/>
    </xf>
    <xf numFmtId="0" fontId="2" fillId="0" borderId="0" xfId="0" applyFont="1" applyAlignment="1">
      <alignment horizontal="center"/>
    </xf>
    <xf numFmtId="0" fontId="3" fillId="2" borderId="1" xfId="0" applyFont="1" applyFill="1" applyBorder="1" applyAlignment="1">
      <alignment horizontal="center" vertical="center" wrapText="1"/>
    </xf>
    <xf numFmtId="0" fontId="17" fillId="0" borderId="0" xfId="0" applyFont="1" applyAlignment="1">
      <alignment horizontal="left" vertical="center" wrapText="1"/>
    </xf>
    <xf numFmtId="0" fontId="17" fillId="0" borderId="9" xfId="0" applyFont="1" applyBorder="1" applyAlignment="1">
      <alignment horizontal="left" vertical="center" wrapText="1"/>
    </xf>
    <xf numFmtId="0" fontId="5" fillId="0" borderId="0" xfId="1" applyFont="1" applyAlignment="1">
      <alignment horizontal="left"/>
    </xf>
    <xf numFmtId="0" fontId="6" fillId="0" borderId="0" xfId="1" applyFont="1" applyAlignment="1">
      <alignment horizontal="left"/>
    </xf>
    <xf numFmtId="0" fontId="1" fillId="0" borderId="0" xfId="0" applyFont="1" applyAlignment="1">
      <alignment horizontal="left" vertical="center" wrapText="1"/>
    </xf>
    <xf numFmtId="0" fontId="16" fillId="0" borderId="0" xfId="0" applyFont="1" applyFill="1" applyBorder="1" applyAlignment="1">
      <alignment horizontal="left"/>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left" vertical="top" wrapText="1"/>
    </xf>
    <xf numFmtId="0" fontId="1" fillId="0" borderId="23" xfId="0" applyFont="1" applyBorder="1" applyAlignment="1">
      <alignment horizontal="center" vertical="center" wrapText="1"/>
    </xf>
    <xf numFmtId="0" fontId="3" fillId="0" borderId="0" xfId="0" applyFont="1" applyFill="1" applyBorder="1" applyAlignment="1">
      <alignment horizontal="left"/>
    </xf>
  </cellXfs>
  <cellStyles count="7">
    <cellStyle name="Hyperlink" xfId="2" builtinId="8"/>
    <cellStyle name="Normal" xfId="0" builtinId="0"/>
    <cellStyle name="Normal 2" xfId="1" xr:uid="{00000000-0005-0000-0000-000002000000}"/>
    <cellStyle name="Normal 2 2 2" xfId="3" xr:uid="{00000000-0005-0000-0000-000003000000}"/>
    <cellStyle name="Normal 3" xfId="4" xr:uid="{00000000-0005-0000-0000-000004000000}"/>
    <cellStyle name="Normal 4" xfId="5" xr:uid="{00000000-0005-0000-0000-000005000000}"/>
    <cellStyle name="Parastais_FMLikp01_p05_221205_pap_afp_makp"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81"/>
  <sheetViews>
    <sheetView tabSelected="1" workbookViewId="0">
      <selection activeCell="A62" sqref="A62:F62"/>
    </sheetView>
  </sheetViews>
  <sheetFormatPr defaultColWidth="8.85546875" defaultRowHeight="15.75"/>
  <cols>
    <col min="1" max="1" width="8.85546875" style="1"/>
    <col min="2" max="2" width="133.5703125" style="1" customWidth="1"/>
    <col min="3" max="3" width="16.28515625" style="1" customWidth="1"/>
    <col min="4" max="4" width="10.5703125" style="1" customWidth="1"/>
    <col min="5" max="5" width="12.7109375" style="1" customWidth="1"/>
    <col min="6" max="16384" width="8.85546875" style="1"/>
  </cols>
  <sheetData>
    <row r="1" spans="1:16">
      <c r="D1" s="138" t="s">
        <v>0</v>
      </c>
      <c r="E1" s="138"/>
      <c r="F1" s="138"/>
    </row>
    <row r="2" spans="1:16">
      <c r="C2" s="139" t="s">
        <v>31</v>
      </c>
      <c r="D2" s="139"/>
      <c r="E2" s="139"/>
      <c r="F2" s="139"/>
    </row>
    <row r="3" spans="1:16">
      <c r="C3" s="139"/>
      <c r="D3" s="139"/>
      <c r="E3" s="139"/>
      <c r="F3" s="139"/>
    </row>
    <row r="4" spans="1:16">
      <c r="C4" s="139"/>
      <c r="D4" s="139"/>
      <c r="E4" s="139"/>
      <c r="F4" s="139"/>
    </row>
    <row r="5" spans="1:16">
      <c r="C5" s="139"/>
      <c r="D5" s="139"/>
      <c r="E5" s="139"/>
      <c r="F5" s="139"/>
    </row>
    <row r="7" spans="1:16">
      <c r="A7" s="140" t="s">
        <v>32</v>
      </c>
      <c r="B7" s="140"/>
      <c r="C7" s="140"/>
      <c r="D7" s="140"/>
      <c r="E7" s="140"/>
      <c r="F7" s="140"/>
    </row>
    <row r="10" spans="1:16" ht="23.25" customHeight="1">
      <c r="A10" s="141" t="s">
        <v>1</v>
      </c>
      <c r="B10" s="141" t="s">
        <v>2</v>
      </c>
      <c r="C10" s="141" t="s">
        <v>3</v>
      </c>
      <c r="D10" s="141" t="s">
        <v>4</v>
      </c>
      <c r="E10" s="141" t="s">
        <v>5</v>
      </c>
      <c r="F10" s="141" t="s">
        <v>6</v>
      </c>
      <c r="P10" s="2"/>
    </row>
    <row r="11" spans="1:16" ht="23.25" customHeight="1">
      <c r="A11" s="141"/>
      <c r="B11" s="141"/>
      <c r="C11" s="141"/>
      <c r="D11" s="141"/>
      <c r="E11" s="141"/>
      <c r="F11" s="141"/>
    </row>
    <row r="12" spans="1:16">
      <c r="A12" s="27" t="s">
        <v>7</v>
      </c>
      <c r="B12" s="133" t="s">
        <v>48</v>
      </c>
      <c r="C12" s="133"/>
      <c r="D12" s="133"/>
      <c r="E12" s="133"/>
      <c r="F12" s="133"/>
    </row>
    <row r="13" spans="1:16" ht="18.75">
      <c r="A13" s="3" t="s">
        <v>8</v>
      </c>
      <c r="B13" s="4" t="s">
        <v>33</v>
      </c>
      <c r="C13" s="3" t="s">
        <v>39</v>
      </c>
      <c r="D13" s="64">
        <f>'1.1.'!C38</f>
        <v>56.560014628759021</v>
      </c>
      <c r="E13" s="5">
        <v>0</v>
      </c>
      <c r="F13" s="5">
        <f>D13+E13</f>
        <v>56.560014628759021</v>
      </c>
      <c r="G13" s="9"/>
    </row>
    <row r="14" spans="1:16" ht="34.5">
      <c r="A14" s="3" t="s">
        <v>9</v>
      </c>
      <c r="B14" s="4" t="s">
        <v>34</v>
      </c>
      <c r="C14" s="3" t="s">
        <v>39</v>
      </c>
      <c r="D14" s="64">
        <f>'1.2.'!C39</f>
        <v>133.38999884158417</v>
      </c>
      <c r="E14" s="5">
        <v>0</v>
      </c>
      <c r="F14" s="5">
        <f t="shared" ref="F14:F15" si="0">D14+E14</f>
        <v>133.38999884158417</v>
      </c>
      <c r="G14" s="9"/>
    </row>
    <row r="15" spans="1:16" ht="34.5">
      <c r="A15" s="3" t="s">
        <v>10</v>
      </c>
      <c r="B15" s="4" t="s">
        <v>35</v>
      </c>
      <c r="C15" s="3" t="s">
        <v>39</v>
      </c>
      <c r="D15" s="64">
        <f>'1.3.'!C37</f>
        <v>51.230001808219527</v>
      </c>
      <c r="E15" s="5">
        <v>0</v>
      </c>
      <c r="F15" s="5">
        <f t="shared" si="0"/>
        <v>51.230001808219527</v>
      </c>
      <c r="G15" s="9"/>
    </row>
    <row r="16" spans="1:16">
      <c r="A16" s="27" t="s">
        <v>11</v>
      </c>
      <c r="B16" s="134" t="s">
        <v>36</v>
      </c>
      <c r="C16" s="134"/>
      <c r="D16" s="134"/>
      <c r="E16" s="134"/>
      <c r="F16" s="134"/>
      <c r="G16" s="9"/>
    </row>
    <row r="17" spans="1:7" ht="34.5">
      <c r="A17" s="7" t="s">
        <v>12</v>
      </c>
      <c r="B17" s="8" t="s">
        <v>37</v>
      </c>
      <c r="C17" s="7" t="s">
        <v>38</v>
      </c>
      <c r="D17" s="64">
        <f>'2.1.'!C38</f>
        <v>48.000004039872884</v>
      </c>
      <c r="E17" s="5">
        <v>0</v>
      </c>
      <c r="F17" s="6">
        <f t="shared" ref="F17:F24" si="1">D17+E17</f>
        <v>48.000004039872884</v>
      </c>
      <c r="G17" s="9"/>
    </row>
    <row r="18" spans="1:7" ht="34.5">
      <c r="A18" s="7" t="s">
        <v>13</v>
      </c>
      <c r="B18" s="8" t="s">
        <v>40</v>
      </c>
      <c r="C18" s="7" t="s">
        <v>38</v>
      </c>
      <c r="D18" s="64">
        <f>'2.2.'!C38</f>
        <v>72.030457499999983</v>
      </c>
      <c r="E18" s="5">
        <v>0</v>
      </c>
      <c r="F18" s="6">
        <f t="shared" si="1"/>
        <v>72.030457499999983</v>
      </c>
      <c r="G18" s="9"/>
    </row>
    <row r="19" spans="1:7" ht="34.5">
      <c r="A19" s="7" t="s">
        <v>14</v>
      </c>
      <c r="B19" s="8" t="s">
        <v>41</v>
      </c>
      <c r="C19" s="7" t="s">
        <v>38</v>
      </c>
      <c r="D19" s="64">
        <f>'2.3.'!C38</f>
        <v>60.540045617162441</v>
      </c>
      <c r="E19" s="5">
        <v>0</v>
      </c>
      <c r="F19" s="6">
        <f t="shared" si="1"/>
        <v>60.540045617162441</v>
      </c>
      <c r="G19" s="9"/>
    </row>
    <row r="20" spans="1:7" ht="34.5">
      <c r="A20" s="7" t="s">
        <v>15</v>
      </c>
      <c r="B20" s="8" t="s">
        <v>42</v>
      </c>
      <c r="C20" s="7" t="s">
        <v>38</v>
      </c>
      <c r="D20" s="64">
        <f>'2.4.'!C38</f>
        <v>89.689322910104991</v>
      </c>
      <c r="E20" s="5">
        <v>0</v>
      </c>
      <c r="F20" s="6">
        <f t="shared" si="1"/>
        <v>89.689322910104991</v>
      </c>
      <c r="G20" s="9"/>
    </row>
    <row r="21" spans="1:7" ht="34.5">
      <c r="A21" s="7" t="s">
        <v>16</v>
      </c>
      <c r="B21" s="8" t="s">
        <v>43</v>
      </c>
      <c r="C21" s="7" t="s">
        <v>38</v>
      </c>
      <c r="D21" s="64">
        <f>'2.5.'!C38</f>
        <v>64.148781846383784</v>
      </c>
      <c r="E21" s="5">
        <v>0</v>
      </c>
      <c r="F21" s="6">
        <f t="shared" si="1"/>
        <v>64.148781846383784</v>
      </c>
      <c r="G21" s="9"/>
    </row>
    <row r="22" spans="1:7" ht="34.5">
      <c r="A22" s="7" t="s">
        <v>17</v>
      </c>
      <c r="B22" s="8" t="s">
        <v>44</v>
      </c>
      <c r="C22" s="7" t="s">
        <v>38</v>
      </c>
      <c r="D22" s="64">
        <f>'2.6.'!C38</f>
        <v>91.999734382108485</v>
      </c>
      <c r="E22" s="5">
        <v>0</v>
      </c>
      <c r="F22" s="6">
        <f t="shared" si="1"/>
        <v>91.999734382108485</v>
      </c>
      <c r="G22" s="9"/>
    </row>
    <row r="23" spans="1:7" ht="34.5">
      <c r="A23" s="7" t="s">
        <v>18</v>
      </c>
      <c r="B23" s="8" t="s">
        <v>45</v>
      </c>
      <c r="C23" s="7" t="s">
        <v>38</v>
      </c>
      <c r="D23" s="64">
        <f>'2.7.'!C38</f>
        <v>68.910045730898219</v>
      </c>
      <c r="E23" s="5">
        <v>0</v>
      </c>
      <c r="F23" s="6">
        <f t="shared" si="1"/>
        <v>68.910045730898219</v>
      </c>
      <c r="G23" s="9"/>
    </row>
    <row r="24" spans="1:7" ht="34.5">
      <c r="A24" s="7" t="s">
        <v>19</v>
      </c>
      <c r="B24" s="8" t="s">
        <v>46</v>
      </c>
      <c r="C24" s="7" t="s">
        <v>38</v>
      </c>
      <c r="D24" s="64">
        <f>'2.8.'!C38</f>
        <v>98.38959210447652</v>
      </c>
      <c r="E24" s="5">
        <v>0</v>
      </c>
      <c r="F24" s="6">
        <f t="shared" si="1"/>
        <v>98.38959210447652</v>
      </c>
      <c r="G24" s="9"/>
    </row>
    <row r="25" spans="1:7">
      <c r="A25" s="28" t="s">
        <v>75</v>
      </c>
      <c r="B25" s="128" t="s">
        <v>47</v>
      </c>
      <c r="C25" s="128"/>
      <c r="D25" s="128"/>
      <c r="E25" s="128"/>
      <c r="F25" s="128"/>
      <c r="G25" s="9"/>
    </row>
    <row r="26" spans="1:7" ht="34.5">
      <c r="A26" s="7" t="s">
        <v>20</v>
      </c>
      <c r="B26" s="8" t="s">
        <v>49</v>
      </c>
      <c r="C26" s="7" t="s">
        <v>38</v>
      </c>
      <c r="D26" s="64">
        <f>'3.1.'!C38</f>
        <v>68.529999190625219</v>
      </c>
      <c r="E26" s="5">
        <v>0</v>
      </c>
      <c r="F26" s="6">
        <f>SUM(D26:E26)</f>
        <v>68.529999190625219</v>
      </c>
      <c r="G26" s="9"/>
    </row>
    <row r="27" spans="1:7" ht="34.5">
      <c r="A27" s="7" t="s">
        <v>21</v>
      </c>
      <c r="B27" s="8" t="s">
        <v>51</v>
      </c>
      <c r="C27" s="7" t="s">
        <v>38</v>
      </c>
      <c r="D27" s="64">
        <f>'3.2.'!C38</f>
        <v>76.370039373282566</v>
      </c>
      <c r="E27" s="5">
        <v>0</v>
      </c>
      <c r="F27" s="6">
        <f>SUM(D27:E27)</f>
        <v>76.370039373282566</v>
      </c>
      <c r="G27" s="9"/>
    </row>
    <row r="28" spans="1:7" ht="18.75">
      <c r="A28" s="7" t="s">
        <v>22</v>
      </c>
      <c r="B28" s="8" t="s">
        <v>52</v>
      </c>
      <c r="C28" s="7" t="s">
        <v>38</v>
      </c>
      <c r="D28" s="64">
        <f>'3.3.'!C38</f>
        <v>80.559513004884806</v>
      </c>
      <c r="E28" s="5">
        <v>0</v>
      </c>
      <c r="F28" s="6">
        <f>SUM(D28:E28)</f>
        <v>80.559513004884806</v>
      </c>
      <c r="G28" s="9"/>
    </row>
    <row r="29" spans="1:7" ht="34.5">
      <c r="A29" s="7" t="s">
        <v>50</v>
      </c>
      <c r="B29" s="8" t="s">
        <v>53</v>
      </c>
      <c r="C29" s="7" t="s">
        <v>38</v>
      </c>
      <c r="D29" s="64">
        <f>'3.4.'!C39</f>
        <v>95.990023203714131</v>
      </c>
      <c r="E29" s="5">
        <v>0</v>
      </c>
      <c r="F29" s="6">
        <f>D29+E29</f>
        <v>95.990023203714131</v>
      </c>
      <c r="G29" s="9"/>
    </row>
    <row r="30" spans="1:7">
      <c r="A30" s="28" t="s">
        <v>76</v>
      </c>
      <c r="B30" s="128" t="s">
        <v>54</v>
      </c>
      <c r="C30" s="128"/>
      <c r="D30" s="128"/>
      <c r="E30" s="128"/>
      <c r="F30" s="128"/>
      <c r="G30" s="9"/>
    </row>
    <row r="31" spans="1:7" ht="18.75">
      <c r="A31" s="7" t="s">
        <v>23</v>
      </c>
      <c r="B31" s="8" t="s">
        <v>296</v>
      </c>
      <c r="C31" s="7" t="s">
        <v>38</v>
      </c>
      <c r="D31" s="64">
        <f>'4.1.'!C33</f>
        <v>46.050974527150771</v>
      </c>
      <c r="E31" s="5">
        <v>0</v>
      </c>
      <c r="F31" s="6">
        <f>D31+E31</f>
        <v>46.050974527150771</v>
      </c>
      <c r="G31" s="9"/>
    </row>
    <row r="32" spans="1:7" ht="18.75">
      <c r="A32" s="7" t="s">
        <v>24</v>
      </c>
      <c r="B32" s="8" t="s">
        <v>65</v>
      </c>
      <c r="C32" s="7" t="s">
        <v>38</v>
      </c>
      <c r="D32" s="64">
        <f>'4.2.'!C33</f>
        <v>42.789977900000004</v>
      </c>
      <c r="E32" s="5">
        <v>0</v>
      </c>
      <c r="F32" s="6">
        <f t="shared" ref="F32:F41" si="2">D32+E32</f>
        <v>42.789977900000004</v>
      </c>
      <c r="G32" s="9"/>
    </row>
    <row r="33" spans="1:7" ht="18.75">
      <c r="A33" s="7" t="s">
        <v>55</v>
      </c>
      <c r="B33" s="8" t="s">
        <v>66</v>
      </c>
      <c r="C33" s="7" t="s">
        <v>38</v>
      </c>
      <c r="D33" s="64">
        <f>'4.3.'!C33</f>
        <v>38.570491900000007</v>
      </c>
      <c r="E33" s="5">
        <v>0</v>
      </c>
      <c r="F33" s="6">
        <f t="shared" si="2"/>
        <v>38.570491900000007</v>
      </c>
      <c r="G33" s="9"/>
    </row>
    <row r="34" spans="1:7" ht="18.75">
      <c r="A34" s="7" t="s">
        <v>56</v>
      </c>
      <c r="B34" s="8" t="s">
        <v>67</v>
      </c>
      <c r="C34" s="7" t="s">
        <v>38</v>
      </c>
      <c r="D34" s="64">
        <f>'4.4.'!C33</f>
        <v>27.270020272727272</v>
      </c>
      <c r="E34" s="5">
        <v>0</v>
      </c>
      <c r="F34" s="6">
        <f t="shared" si="2"/>
        <v>27.270020272727272</v>
      </c>
      <c r="G34" s="9"/>
    </row>
    <row r="35" spans="1:7" ht="18.75">
      <c r="A35" s="7" t="s">
        <v>57</v>
      </c>
      <c r="B35" s="8" t="s">
        <v>68</v>
      </c>
      <c r="C35" s="7" t="s">
        <v>38</v>
      </c>
      <c r="D35" s="64">
        <f>'4.5.'!C34</f>
        <v>29.800008760211522</v>
      </c>
      <c r="E35" s="5">
        <v>0</v>
      </c>
      <c r="F35" s="6">
        <f t="shared" si="2"/>
        <v>29.800008760211522</v>
      </c>
      <c r="G35" s="9"/>
    </row>
    <row r="36" spans="1:7" ht="18.75">
      <c r="A36" s="7" t="s">
        <v>58</v>
      </c>
      <c r="B36" s="8" t="s">
        <v>69</v>
      </c>
      <c r="C36" s="7" t="s">
        <v>38</v>
      </c>
      <c r="D36" s="64">
        <f>'4.6.'!C23</f>
        <v>23.509518999999997</v>
      </c>
      <c r="E36" s="5">
        <v>0</v>
      </c>
      <c r="F36" s="6">
        <f t="shared" si="2"/>
        <v>23.509518999999997</v>
      </c>
      <c r="G36" s="9"/>
    </row>
    <row r="37" spans="1:7" ht="18.75">
      <c r="A37" s="7" t="s">
        <v>59</v>
      </c>
      <c r="B37" s="8" t="s">
        <v>70</v>
      </c>
      <c r="C37" s="7" t="s">
        <v>38</v>
      </c>
      <c r="D37" s="64">
        <f>'4.7.'!C23</f>
        <v>22.640000000000004</v>
      </c>
      <c r="E37" s="5">
        <v>0</v>
      </c>
      <c r="F37" s="6">
        <f t="shared" si="2"/>
        <v>22.640000000000004</v>
      </c>
      <c r="G37" s="9"/>
    </row>
    <row r="38" spans="1:7" ht="18.75">
      <c r="A38" s="7" t="s">
        <v>60</v>
      </c>
      <c r="B38" s="8" t="s">
        <v>71</v>
      </c>
      <c r="C38" s="7" t="s">
        <v>38</v>
      </c>
      <c r="D38" s="64">
        <f>'4.8.'!C23</f>
        <v>15.030000000000001</v>
      </c>
      <c r="E38" s="5">
        <v>0</v>
      </c>
      <c r="F38" s="6">
        <f t="shared" si="2"/>
        <v>15.030000000000001</v>
      </c>
      <c r="G38" s="9"/>
    </row>
    <row r="39" spans="1:7" ht="18.75">
      <c r="A39" s="7" t="s">
        <v>61</v>
      </c>
      <c r="B39" s="8" t="s">
        <v>72</v>
      </c>
      <c r="C39" s="7" t="s">
        <v>38</v>
      </c>
      <c r="D39" s="64">
        <f>'4.9.'!C22</f>
        <v>10.18</v>
      </c>
      <c r="E39" s="5">
        <v>0</v>
      </c>
      <c r="F39" s="6">
        <f t="shared" si="2"/>
        <v>10.18</v>
      </c>
      <c r="G39" s="9"/>
    </row>
    <row r="40" spans="1:7" ht="18.75">
      <c r="A40" s="7" t="s">
        <v>62</v>
      </c>
      <c r="B40" s="8" t="s">
        <v>73</v>
      </c>
      <c r="C40" s="7" t="s">
        <v>38</v>
      </c>
      <c r="D40" s="64">
        <f>'4.10.'!C39</f>
        <v>135.08999913478362</v>
      </c>
      <c r="E40" s="5">
        <v>0</v>
      </c>
      <c r="F40" s="6">
        <f t="shared" si="2"/>
        <v>135.08999913478362</v>
      </c>
      <c r="G40" s="9"/>
    </row>
    <row r="41" spans="1:7" ht="18.75">
      <c r="A41" s="7" t="s">
        <v>63</v>
      </c>
      <c r="B41" s="8" t="s">
        <v>74</v>
      </c>
      <c r="C41" s="7" t="s">
        <v>64</v>
      </c>
      <c r="D41" s="64">
        <f>'4.11.'!C18</f>
        <v>0.26000011295180719</v>
      </c>
      <c r="E41" s="5">
        <v>0</v>
      </c>
      <c r="F41" s="6">
        <f t="shared" si="2"/>
        <v>0.26000011295180719</v>
      </c>
      <c r="G41" s="9"/>
    </row>
    <row r="42" spans="1:7">
      <c r="A42" s="28" t="s">
        <v>25</v>
      </c>
      <c r="B42" s="128" t="s">
        <v>232</v>
      </c>
      <c r="C42" s="128"/>
      <c r="D42" s="128"/>
      <c r="E42" s="128"/>
      <c r="F42" s="128"/>
      <c r="G42" s="9"/>
    </row>
    <row r="43" spans="1:7" ht="34.5">
      <c r="A43" s="7" t="s">
        <v>77</v>
      </c>
      <c r="B43" s="10" t="s">
        <v>83</v>
      </c>
      <c r="C43" s="7" t="s">
        <v>38</v>
      </c>
      <c r="D43" s="64">
        <f>'5.1.'!C38</f>
        <v>90.849169950000018</v>
      </c>
      <c r="E43" s="5">
        <v>0</v>
      </c>
      <c r="F43" s="6">
        <f>D43+E43</f>
        <v>90.849169950000018</v>
      </c>
      <c r="G43" s="9"/>
    </row>
    <row r="44" spans="1:7" ht="18.75">
      <c r="A44" s="7" t="s">
        <v>78</v>
      </c>
      <c r="B44" s="10" t="s">
        <v>84</v>
      </c>
      <c r="C44" s="7" t="s">
        <v>38</v>
      </c>
      <c r="D44" s="64">
        <f>'5.2.'!C37</f>
        <v>71.739984870898567</v>
      </c>
      <c r="E44" s="5">
        <v>0</v>
      </c>
      <c r="F44" s="6">
        <f t="shared" ref="F44:F47" si="3">D44+E44</f>
        <v>71.739984870898567</v>
      </c>
      <c r="G44" s="9"/>
    </row>
    <row r="45" spans="1:7" ht="18.75">
      <c r="A45" s="7" t="s">
        <v>79</v>
      </c>
      <c r="B45" s="10" t="s">
        <v>85</v>
      </c>
      <c r="C45" s="7" t="s">
        <v>38</v>
      </c>
      <c r="D45" s="64">
        <f>'5.3.'!C33</f>
        <v>45.16001309074074</v>
      </c>
      <c r="E45" s="5">
        <v>0</v>
      </c>
      <c r="F45" s="6">
        <f t="shared" si="3"/>
        <v>45.16001309074074</v>
      </c>
      <c r="G45" s="9"/>
    </row>
    <row r="46" spans="1:7" ht="34.5">
      <c r="A46" s="7" t="s">
        <v>80</v>
      </c>
      <c r="B46" s="10" t="s">
        <v>86</v>
      </c>
      <c r="C46" s="7" t="s">
        <v>38</v>
      </c>
      <c r="D46" s="64">
        <f>'5.4.'!C38</f>
        <v>66.110390105351428</v>
      </c>
      <c r="E46" s="5">
        <v>0</v>
      </c>
      <c r="F46" s="6">
        <f t="shared" si="3"/>
        <v>66.110390105351428</v>
      </c>
      <c r="G46" s="9"/>
    </row>
    <row r="47" spans="1:7" ht="18.75">
      <c r="A47" s="7" t="s">
        <v>81</v>
      </c>
      <c r="B47" s="10" t="s">
        <v>327</v>
      </c>
      <c r="C47" s="7" t="s">
        <v>82</v>
      </c>
      <c r="D47" s="64">
        <f>'5.5.'!C19</f>
        <v>25.679999999999996</v>
      </c>
      <c r="E47" s="5">
        <v>0</v>
      </c>
      <c r="F47" s="6">
        <f t="shared" si="3"/>
        <v>25.679999999999996</v>
      </c>
      <c r="G47" s="9"/>
    </row>
    <row r="48" spans="1:7" ht="17.25" customHeight="1">
      <c r="A48" s="28" t="s">
        <v>26</v>
      </c>
      <c r="B48" s="135" t="s">
        <v>87</v>
      </c>
      <c r="C48" s="136"/>
      <c r="D48" s="136"/>
      <c r="E48" s="136"/>
      <c r="F48" s="137"/>
      <c r="G48" s="9"/>
    </row>
    <row r="49" spans="1:7" ht="34.5">
      <c r="A49" s="11" t="s">
        <v>27</v>
      </c>
      <c r="B49" s="10" t="s">
        <v>328</v>
      </c>
      <c r="C49" s="7" t="s">
        <v>38</v>
      </c>
      <c r="D49" s="64">
        <f>'6.1.'!C19</f>
        <v>1.80005875</v>
      </c>
      <c r="E49" s="5">
        <v>0</v>
      </c>
      <c r="F49" s="6">
        <f t="shared" ref="F49:F60" si="4">D49+E49</f>
        <v>1.80005875</v>
      </c>
      <c r="G49" s="9"/>
    </row>
    <row r="50" spans="1:7" ht="34.5">
      <c r="A50" s="11" t="s">
        <v>28</v>
      </c>
      <c r="B50" s="10" t="s">
        <v>97</v>
      </c>
      <c r="C50" s="7" t="s">
        <v>38</v>
      </c>
      <c r="D50" s="64">
        <f>'6.2.'!C19</f>
        <v>1.1700000000000002</v>
      </c>
      <c r="E50" s="5">
        <v>0</v>
      </c>
      <c r="F50" s="6">
        <f t="shared" si="4"/>
        <v>1.1700000000000002</v>
      </c>
      <c r="G50" s="9"/>
    </row>
    <row r="51" spans="1:7" ht="34.5">
      <c r="A51" s="11" t="s">
        <v>29</v>
      </c>
      <c r="B51" s="10" t="s">
        <v>98</v>
      </c>
      <c r="C51" s="7" t="s">
        <v>38</v>
      </c>
      <c r="D51" s="64">
        <f>'6.3.'!C19</f>
        <v>1.0299995818882466</v>
      </c>
      <c r="E51" s="5">
        <v>0</v>
      </c>
      <c r="F51" s="6">
        <f t="shared" si="4"/>
        <v>1.0299995818882466</v>
      </c>
      <c r="G51" s="9"/>
    </row>
    <row r="52" spans="1:7" ht="18.75">
      <c r="A52" s="11" t="s">
        <v>88</v>
      </c>
      <c r="B52" s="10" t="s">
        <v>99</v>
      </c>
      <c r="C52" s="7" t="s">
        <v>100</v>
      </c>
      <c r="D52" s="64">
        <f>'6.4.'!C19</f>
        <v>6.69</v>
      </c>
      <c r="E52" s="5">
        <v>0</v>
      </c>
      <c r="F52" s="6">
        <f t="shared" si="4"/>
        <v>6.69</v>
      </c>
      <c r="G52" s="9"/>
    </row>
    <row r="53" spans="1:7" ht="18.75">
      <c r="A53" s="11" t="s">
        <v>89</v>
      </c>
      <c r="B53" s="10" t="s">
        <v>101</v>
      </c>
      <c r="C53" s="7" t="s">
        <v>102</v>
      </c>
      <c r="D53" s="64">
        <f>'6.5.'!C27</f>
        <v>375.12980981818174</v>
      </c>
      <c r="E53" s="5">
        <v>0</v>
      </c>
      <c r="F53" s="6">
        <f t="shared" si="4"/>
        <v>375.12980981818174</v>
      </c>
      <c r="G53" s="9"/>
    </row>
    <row r="54" spans="1:7" ht="18.75">
      <c r="A54" s="11" t="s">
        <v>90</v>
      </c>
      <c r="B54" s="10" t="s">
        <v>103</v>
      </c>
      <c r="C54" s="7" t="s">
        <v>102</v>
      </c>
      <c r="D54" s="64">
        <f>'6.6.'!C26</f>
        <v>33.909959999999998</v>
      </c>
      <c r="E54" s="5">
        <v>0</v>
      </c>
      <c r="F54" s="6">
        <f t="shared" si="4"/>
        <v>33.909959999999998</v>
      </c>
      <c r="G54" s="9"/>
    </row>
    <row r="55" spans="1:7" ht="18.75">
      <c r="A55" s="11" t="s">
        <v>91</v>
      </c>
      <c r="B55" s="10" t="s">
        <v>104</v>
      </c>
      <c r="C55" s="7" t="s">
        <v>102</v>
      </c>
      <c r="D55" s="64">
        <f>'6.7.'!C26</f>
        <v>105.67</v>
      </c>
      <c r="E55" s="5">
        <v>0</v>
      </c>
      <c r="F55" s="6">
        <f t="shared" si="4"/>
        <v>105.67</v>
      </c>
      <c r="G55" s="9"/>
    </row>
    <row r="56" spans="1:7" ht="18.75">
      <c r="A56" s="11" t="s">
        <v>92</v>
      </c>
      <c r="B56" s="10" t="s">
        <v>323</v>
      </c>
      <c r="C56" s="7" t="s">
        <v>102</v>
      </c>
      <c r="D56" s="64">
        <f>'6.8.'!C21</f>
        <v>800.83999999999992</v>
      </c>
      <c r="E56" s="5">
        <v>0</v>
      </c>
      <c r="F56" s="6">
        <f t="shared" si="4"/>
        <v>800.83999999999992</v>
      </c>
      <c r="G56" s="9"/>
    </row>
    <row r="57" spans="1:7" ht="18.75">
      <c r="A57" s="11" t="s">
        <v>93</v>
      </c>
      <c r="B57" s="10" t="s">
        <v>324</v>
      </c>
      <c r="C57" s="7" t="s">
        <v>102</v>
      </c>
      <c r="D57" s="64">
        <f>'6.9.'!C21</f>
        <v>400.41999999999996</v>
      </c>
      <c r="E57" s="5">
        <v>0</v>
      </c>
      <c r="F57" s="6">
        <f t="shared" si="4"/>
        <v>400.41999999999996</v>
      </c>
      <c r="G57" s="9"/>
    </row>
    <row r="58" spans="1:7" ht="18.75">
      <c r="A58" s="11" t="s">
        <v>94</v>
      </c>
      <c r="B58" s="10" t="s">
        <v>105</v>
      </c>
      <c r="C58" s="7" t="s">
        <v>102</v>
      </c>
      <c r="D58" s="64">
        <f>'6.10.'!C26</f>
        <v>153.33034965034966</v>
      </c>
      <c r="E58" s="5">
        <v>0</v>
      </c>
      <c r="F58" s="6">
        <f t="shared" si="4"/>
        <v>153.33034965034966</v>
      </c>
      <c r="G58" s="9"/>
    </row>
    <row r="59" spans="1:7" ht="18.75">
      <c r="A59" s="11" t="s">
        <v>95</v>
      </c>
      <c r="B59" s="10" t="s">
        <v>106</v>
      </c>
      <c r="C59" s="7" t="s">
        <v>102</v>
      </c>
      <c r="D59" s="64">
        <f>'6.11.'!C26</f>
        <v>89.919930069930061</v>
      </c>
      <c r="E59" s="5">
        <v>0</v>
      </c>
      <c r="F59" s="6">
        <f t="shared" si="4"/>
        <v>89.919930069930061</v>
      </c>
      <c r="G59" s="9"/>
    </row>
    <row r="60" spans="1:7" ht="18.75">
      <c r="A60" s="11" t="s">
        <v>96</v>
      </c>
      <c r="B60" s="10" t="s">
        <v>107</v>
      </c>
      <c r="C60" s="7" t="s">
        <v>108</v>
      </c>
      <c r="D60" s="65">
        <f>'6.12.'!C18</f>
        <v>1.1499999999999999</v>
      </c>
      <c r="E60" s="5">
        <v>0</v>
      </c>
      <c r="F60" s="12">
        <f t="shared" si="4"/>
        <v>1.1499999999999999</v>
      </c>
      <c r="G60" s="9"/>
    </row>
    <row r="61" spans="1:7">
      <c r="A61" s="131" t="s">
        <v>30</v>
      </c>
      <c r="B61" s="131"/>
      <c r="C61" s="131"/>
      <c r="D61" s="131"/>
      <c r="E61" s="131"/>
      <c r="F61" s="131"/>
    </row>
    <row r="62" spans="1:7" ht="22.5" customHeight="1">
      <c r="A62" s="132" t="s">
        <v>336</v>
      </c>
      <c r="B62" s="132"/>
      <c r="C62" s="132"/>
      <c r="D62" s="132"/>
      <c r="E62" s="132"/>
      <c r="F62" s="132"/>
    </row>
    <row r="63" spans="1:7" ht="21" customHeight="1">
      <c r="A63" s="126" t="s">
        <v>109</v>
      </c>
      <c r="B63" s="126"/>
      <c r="C63" s="126"/>
      <c r="D63" s="126"/>
      <c r="E63" s="126"/>
      <c r="F63" s="126"/>
    </row>
    <row r="64" spans="1:7" ht="22.5" customHeight="1">
      <c r="A64" s="126" t="s">
        <v>335</v>
      </c>
      <c r="B64" s="126"/>
      <c r="C64" s="126"/>
      <c r="D64" s="126"/>
      <c r="E64" s="126"/>
      <c r="F64" s="126"/>
    </row>
    <row r="65" spans="1:7" ht="20.25" customHeight="1">
      <c r="A65" s="129" t="s">
        <v>110</v>
      </c>
      <c r="B65" s="129"/>
      <c r="C65" s="129"/>
      <c r="D65" s="129"/>
      <c r="E65" s="129"/>
      <c r="F65" s="129"/>
    </row>
    <row r="66" spans="1:7" ht="38.450000000000003" customHeight="1">
      <c r="A66" s="126" t="s">
        <v>111</v>
      </c>
      <c r="B66" s="126"/>
      <c r="C66" s="126"/>
      <c r="D66" s="126"/>
      <c r="E66" s="126"/>
      <c r="F66" s="126"/>
    </row>
    <row r="67" spans="1:7" ht="19.5" customHeight="1">
      <c r="A67" s="126" t="s">
        <v>112</v>
      </c>
      <c r="B67" s="126"/>
      <c r="C67" s="126"/>
      <c r="D67" s="126"/>
      <c r="E67" s="126"/>
      <c r="F67" s="126"/>
    </row>
    <row r="68" spans="1:7" ht="19.5" customHeight="1">
      <c r="A68" s="126" t="s">
        <v>331</v>
      </c>
      <c r="B68" s="126"/>
      <c r="C68" s="126"/>
      <c r="D68" s="126"/>
      <c r="E68" s="126"/>
      <c r="F68" s="126"/>
    </row>
    <row r="69" spans="1:7" ht="38.25" customHeight="1">
      <c r="A69" s="130" t="s">
        <v>113</v>
      </c>
      <c r="B69" s="130"/>
      <c r="C69" s="130"/>
      <c r="D69" s="130"/>
      <c r="E69" s="130"/>
      <c r="F69" s="130"/>
    </row>
    <row r="70" spans="1:7" ht="19.5" customHeight="1">
      <c r="A70" s="126" t="s">
        <v>114</v>
      </c>
      <c r="B70" s="126"/>
      <c r="C70" s="126"/>
      <c r="D70" s="126"/>
      <c r="E70" s="126"/>
      <c r="F70" s="126"/>
    </row>
    <row r="71" spans="1:7" ht="19.5" customHeight="1">
      <c r="A71" s="126" t="s">
        <v>115</v>
      </c>
      <c r="B71" s="126"/>
      <c r="C71" s="126"/>
      <c r="D71" s="126"/>
      <c r="E71" s="126"/>
      <c r="F71" s="126"/>
    </row>
    <row r="72" spans="1:7" ht="36" customHeight="1">
      <c r="A72" s="126" t="s">
        <v>332</v>
      </c>
      <c r="B72" s="126"/>
      <c r="C72" s="126"/>
      <c r="D72" s="126"/>
      <c r="E72" s="126"/>
      <c r="F72" s="126"/>
    </row>
    <row r="74" spans="1:7">
      <c r="A74" s="13"/>
      <c r="B74" s="13"/>
      <c r="C74" s="13"/>
      <c r="D74" s="13"/>
      <c r="E74" s="14"/>
      <c r="F74" s="14"/>
      <c r="G74" s="14"/>
    </row>
    <row r="75" spans="1:7">
      <c r="A75" s="16"/>
      <c r="B75" s="17"/>
      <c r="C75" s="16"/>
      <c r="D75" s="16"/>
      <c r="E75" s="16"/>
      <c r="F75" s="15"/>
      <c r="G75" s="15"/>
    </row>
    <row r="76" spans="1:7">
      <c r="A76" s="16"/>
      <c r="B76" s="18"/>
      <c r="C76" s="16"/>
      <c r="D76" s="16"/>
      <c r="E76" s="19"/>
      <c r="F76" s="19"/>
      <c r="G76" s="19"/>
    </row>
    <row r="77" spans="1:7">
      <c r="A77" s="20"/>
      <c r="B77" s="20"/>
      <c r="C77" s="20"/>
      <c r="D77" s="20"/>
      <c r="E77" s="20"/>
      <c r="F77" s="15"/>
      <c r="G77" s="15"/>
    </row>
    <row r="78" spans="1:7">
      <c r="A78" s="127"/>
      <c r="B78" s="127"/>
      <c r="C78" s="20"/>
      <c r="D78" s="20"/>
      <c r="E78" s="20"/>
      <c r="F78" s="15"/>
      <c r="G78" s="15"/>
    </row>
    <row r="79" spans="1:7" s="25" customFormat="1" ht="12.75">
      <c r="A79" s="21"/>
      <c r="B79" s="22"/>
      <c r="C79" s="23"/>
      <c r="D79" s="24"/>
      <c r="E79" s="24"/>
    </row>
    <row r="80" spans="1:7">
      <c r="A80" s="25"/>
      <c r="B80" s="20"/>
      <c r="C80" s="26"/>
      <c r="D80" s="26"/>
      <c r="E80" s="20"/>
      <c r="F80" s="15"/>
      <c r="G80" s="15"/>
    </row>
    <row r="81" spans="1:7">
      <c r="A81" s="21"/>
      <c r="B81" s="21"/>
      <c r="C81" s="26"/>
      <c r="D81" s="26"/>
      <c r="E81" s="20"/>
      <c r="F81" s="15"/>
      <c r="G81" s="15"/>
    </row>
  </sheetData>
  <mergeCells count="28">
    <mergeCell ref="D1:F1"/>
    <mergeCell ref="C2:F5"/>
    <mergeCell ref="A7:F7"/>
    <mergeCell ref="A10:A11"/>
    <mergeCell ref="B10:B11"/>
    <mergeCell ref="C10:C11"/>
    <mergeCell ref="D10:D11"/>
    <mergeCell ref="E10:E11"/>
    <mergeCell ref="F10:F11"/>
    <mergeCell ref="B12:F12"/>
    <mergeCell ref="B16:F16"/>
    <mergeCell ref="B25:F25"/>
    <mergeCell ref="B30:F30"/>
    <mergeCell ref="B48:F48"/>
    <mergeCell ref="A71:F71"/>
    <mergeCell ref="A72:F72"/>
    <mergeCell ref="A78:B78"/>
    <mergeCell ref="B42:F42"/>
    <mergeCell ref="A65:F65"/>
    <mergeCell ref="A66:F66"/>
    <mergeCell ref="A67:F67"/>
    <mergeCell ref="A68:F68"/>
    <mergeCell ref="A69:F69"/>
    <mergeCell ref="A70:F70"/>
    <mergeCell ref="A61:F61"/>
    <mergeCell ref="A62:F62"/>
    <mergeCell ref="A63:F63"/>
    <mergeCell ref="A64:F64"/>
  </mergeCells>
  <pageMargins left="0.70866141732283472" right="0.70866141732283472" top="0.74803149606299213" bottom="0.74803149606299213" header="0.31496062992125984" footer="0.31496062992125984"/>
  <pageSetup paperSize="9" scale="57" fitToHeight="2" orientation="landscape" r:id="rId1"/>
  <headerFooter>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G42"/>
  <sheetViews>
    <sheetView zoomScaleNormal="100" workbookViewId="0">
      <selection activeCell="B11" sqref="B11"/>
    </sheetView>
  </sheetViews>
  <sheetFormatPr defaultColWidth="8.85546875" defaultRowHeight="15.75"/>
  <cols>
    <col min="1" max="1" width="14.85546875" style="1" customWidth="1"/>
    <col min="2" max="2" width="100"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156</v>
      </c>
      <c r="B4" s="146"/>
      <c r="C4" s="146"/>
    </row>
    <row r="5" spans="1:5">
      <c r="A5" s="146" t="s">
        <v>117</v>
      </c>
      <c r="B5" s="146"/>
      <c r="C5" s="146"/>
    </row>
    <row r="6" spans="1:5" ht="16.5" thickBot="1">
      <c r="A6" s="147" t="s">
        <v>308</v>
      </c>
      <c r="B6" s="147"/>
    </row>
    <row r="7" spans="1:5" ht="85.5" customHeight="1" thickBot="1">
      <c r="A7" s="30" t="s">
        <v>118</v>
      </c>
      <c r="B7" s="31" t="s">
        <v>119</v>
      </c>
      <c r="C7" s="31" t="s">
        <v>120</v>
      </c>
    </row>
    <row r="8" spans="1:5" ht="16.5" thickBot="1">
      <c r="A8" s="47"/>
      <c r="B8" s="48" t="s">
        <v>121</v>
      </c>
      <c r="C8" s="49"/>
    </row>
    <row r="9" spans="1:5">
      <c r="A9" s="148" t="s">
        <v>132</v>
      </c>
      <c r="B9" s="51" t="s">
        <v>355</v>
      </c>
      <c r="C9" s="56">
        <f>17.21*7</f>
        <v>120.47</v>
      </c>
      <c r="D9" s="9"/>
    </row>
    <row r="10" spans="1:5">
      <c r="A10" s="149"/>
      <c r="B10" s="89" t="s">
        <v>346</v>
      </c>
      <c r="C10" s="57">
        <f>11.08*7</f>
        <v>77.56</v>
      </c>
    </row>
    <row r="11" spans="1:5" ht="16.5" thickBot="1">
      <c r="A11" s="150"/>
      <c r="B11" s="90" t="s">
        <v>347</v>
      </c>
      <c r="C11" s="58">
        <f>7.58*7</f>
        <v>53.06</v>
      </c>
    </row>
    <row r="12" spans="1:5" ht="39" customHeight="1" thickBot="1">
      <c r="A12" s="32" t="s">
        <v>133</v>
      </c>
      <c r="B12" s="91" t="s">
        <v>131</v>
      </c>
      <c r="C12" s="55">
        <f>(C9+C10+C11)*0.2409</f>
        <v>60.487580999999999</v>
      </c>
    </row>
    <row r="13" spans="1:5" ht="32.25" thickBot="1">
      <c r="A13" s="32" t="s">
        <v>134</v>
      </c>
      <c r="B13" s="35" t="s">
        <v>214</v>
      </c>
      <c r="C13" s="55">
        <f>0.84*7</f>
        <v>5.88</v>
      </c>
    </row>
    <row r="14" spans="1:5" ht="32.25" thickBot="1">
      <c r="A14" s="32" t="s">
        <v>136</v>
      </c>
      <c r="B14" s="62" t="s">
        <v>230</v>
      </c>
      <c r="C14" s="63">
        <f>(1.36+9.22)*7</f>
        <v>74.06</v>
      </c>
    </row>
    <row r="15" spans="1:5" ht="32.25" thickBot="1">
      <c r="A15" s="32" t="s">
        <v>137</v>
      </c>
      <c r="B15" s="91" t="s">
        <v>216</v>
      </c>
      <c r="C15" s="55">
        <f>1.03*7</f>
        <v>7.21</v>
      </c>
    </row>
    <row r="16" spans="1:5" ht="32.25" thickBot="1">
      <c r="A16" s="32" t="s">
        <v>139</v>
      </c>
      <c r="B16" s="35" t="s">
        <v>218</v>
      </c>
      <c r="C16" s="55">
        <f>1.42*7</f>
        <v>9.94</v>
      </c>
    </row>
    <row r="17" spans="1:7" ht="32.25" thickBot="1">
      <c r="A17" s="32" t="s">
        <v>217</v>
      </c>
      <c r="B17" s="35" t="s">
        <v>219</v>
      </c>
      <c r="C17" s="55">
        <f>1.14*7</f>
        <v>7.9799999999999995</v>
      </c>
    </row>
    <row r="18" spans="1:7" ht="32.25" thickBot="1">
      <c r="A18" s="32" t="s">
        <v>138</v>
      </c>
      <c r="B18" s="62" t="s">
        <v>229</v>
      </c>
      <c r="C18" s="63">
        <f>11.45*7</f>
        <v>80.149999999999991</v>
      </c>
    </row>
    <row r="19" spans="1:7" ht="16.5" thickBot="1">
      <c r="A19" s="32"/>
      <c r="B19" s="36" t="s">
        <v>122</v>
      </c>
      <c r="C19" s="37">
        <f>SUM(C9:C18)</f>
        <v>496.79758099999998</v>
      </c>
    </row>
    <row r="20" spans="1:7" ht="16.5" thickBot="1">
      <c r="A20" s="32"/>
      <c r="B20" s="36" t="s">
        <v>123</v>
      </c>
      <c r="C20" s="38"/>
    </row>
    <row r="21" spans="1:7" ht="32.25" thickBot="1">
      <c r="A21" s="32" t="s">
        <v>141</v>
      </c>
      <c r="B21" s="39" t="s">
        <v>198</v>
      </c>
      <c r="C21" s="55">
        <f>(C9+C10+C11)*0.25</f>
        <v>62.772500000000001</v>
      </c>
    </row>
    <row r="22" spans="1:7" ht="32.25" thickBot="1">
      <c r="A22" s="32" t="s">
        <v>133</v>
      </c>
      <c r="B22" s="91" t="s">
        <v>131</v>
      </c>
      <c r="C22" s="55">
        <f>C21*0.2409</f>
        <v>15.12189525</v>
      </c>
    </row>
    <row r="23" spans="1:7" ht="32.25" thickBot="1">
      <c r="A23" s="32" t="s">
        <v>145</v>
      </c>
      <c r="B23" s="34" t="s">
        <v>208</v>
      </c>
      <c r="C23" s="55">
        <f>(39708/438912)*7</f>
        <v>0.63328412073490814</v>
      </c>
      <c r="E23" s="41"/>
    </row>
    <row r="24" spans="1:7" ht="32.25" thickBot="1">
      <c r="A24" s="32" t="s">
        <v>142</v>
      </c>
      <c r="B24" s="35" t="s">
        <v>210</v>
      </c>
      <c r="C24" s="55">
        <f>1.85*7</f>
        <v>12.950000000000001</v>
      </c>
    </row>
    <row r="25" spans="1:7" ht="32.25" thickBot="1">
      <c r="A25" s="32" t="s">
        <v>143</v>
      </c>
      <c r="B25" s="94" t="s">
        <v>207</v>
      </c>
      <c r="C25" s="55">
        <f>(234731/438912)*7</f>
        <v>3.7436137540099157</v>
      </c>
    </row>
    <row r="26" spans="1:7" ht="32.25" thickBot="1">
      <c r="A26" s="32" t="s">
        <v>139</v>
      </c>
      <c r="B26" s="40" t="s">
        <v>209</v>
      </c>
      <c r="C26" s="55">
        <f>1.28*7</f>
        <v>8.9600000000000009</v>
      </c>
    </row>
    <row r="27" spans="1:7" ht="32.25" thickBot="1">
      <c r="A27" s="32" t="s">
        <v>135</v>
      </c>
      <c r="B27" s="91" t="s">
        <v>213</v>
      </c>
      <c r="C27" s="55">
        <f>1.43*7</f>
        <v>10.01</v>
      </c>
    </row>
    <row r="28" spans="1:7" ht="32.25" thickBot="1">
      <c r="A28" s="32" t="s">
        <v>184</v>
      </c>
      <c r="B28" s="35" t="s">
        <v>211</v>
      </c>
      <c r="C28" s="55">
        <f>(286606/438912)*7</f>
        <v>4.5709436060075825</v>
      </c>
    </row>
    <row r="29" spans="1:7" ht="32.25" thickBot="1">
      <c r="A29" s="32" t="s">
        <v>182</v>
      </c>
      <c r="B29" s="35" t="s">
        <v>220</v>
      </c>
      <c r="C29" s="55">
        <f>(157571/438912)*7</f>
        <v>2.51302539005541</v>
      </c>
    </row>
    <row r="30" spans="1:7" ht="32.25" thickBot="1">
      <c r="A30" s="32" t="s">
        <v>144</v>
      </c>
      <c r="B30" s="35" t="s">
        <v>202</v>
      </c>
      <c r="C30" s="55">
        <f>(46423/438912)*7</f>
        <v>0.74037848133566642</v>
      </c>
    </row>
    <row r="31" spans="1:7" ht="32.25" thickBot="1">
      <c r="A31" s="32" t="s">
        <v>140</v>
      </c>
      <c r="B31" s="35" t="s">
        <v>212</v>
      </c>
      <c r="C31" s="55">
        <f>( 21000/438912)*7</f>
        <v>0.33491907261592302</v>
      </c>
    </row>
    <row r="32" spans="1:7" ht="32.25" thickBot="1">
      <c r="A32" s="32" t="s">
        <v>222</v>
      </c>
      <c r="B32" s="35" t="s">
        <v>223</v>
      </c>
      <c r="C32" s="55">
        <f>3.55*7</f>
        <v>24.849999999999998</v>
      </c>
      <c r="G32" s="9"/>
    </row>
    <row r="33" spans="1:6" ht="16.5" thickBot="1">
      <c r="A33" s="32"/>
      <c r="B33" s="33" t="s">
        <v>124</v>
      </c>
      <c r="C33" s="37">
        <f>SUM(C21:C32)</f>
        <v>147.2005596747594</v>
      </c>
    </row>
    <row r="34" spans="1:6" ht="16.5" thickBot="1">
      <c r="A34" s="32"/>
      <c r="B34" s="42" t="s">
        <v>125</v>
      </c>
      <c r="C34" s="37">
        <f>C33+C19</f>
        <v>643.99814067475938</v>
      </c>
    </row>
    <row r="35" spans="1:6">
      <c r="C35" s="9"/>
    </row>
    <row r="36" spans="1:6" ht="16.5" thickBot="1">
      <c r="C36" s="9"/>
    </row>
    <row r="37" spans="1:6" ht="16.5" thickBot="1">
      <c r="A37" s="142" t="s">
        <v>126</v>
      </c>
      <c r="B37" s="143"/>
      <c r="C37" s="43">
        <v>7</v>
      </c>
    </row>
    <row r="38" spans="1:6" ht="16.5" thickBot="1">
      <c r="A38" s="142" t="s">
        <v>127</v>
      </c>
      <c r="B38" s="143"/>
      <c r="C38" s="44">
        <f>C34/C37</f>
        <v>91.999734382108485</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sheetPr>
  <dimension ref="A1:G42"/>
  <sheetViews>
    <sheetView zoomScaleNormal="100" workbookViewId="0">
      <selection activeCell="B11" sqref="B11"/>
    </sheetView>
  </sheetViews>
  <sheetFormatPr defaultColWidth="8.85546875" defaultRowHeight="15.75"/>
  <cols>
    <col min="1" max="1" width="16.7109375" style="1" customWidth="1"/>
    <col min="2" max="2" width="106.8554687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157</v>
      </c>
      <c r="B4" s="146"/>
      <c r="C4" s="146"/>
    </row>
    <row r="5" spans="1:5">
      <c r="A5" s="146" t="s">
        <v>117</v>
      </c>
      <c r="B5" s="146"/>
      <c r="C5" s="146"/>
    </row>
    <row r="6" spans="1:5" ht="16.5" thickBot="1">
      <c r="A6" s="147" t="s">
        <v>299</v>
      </c>
      <c r="B6" s="147"/>
    </row>
    <row r="7" spans="1:5" ht="93" customHeight="1" thickBot="1">
      <c r="A7" s="30" t="s">
        <v>118</v>
      </c>
      <c r="B7" s="31" t="s">
        <v>119</v>
      </c>
      <c r="C7" s="31" t="s">
        <v>120</v>
      </c>
    </row>
    <row r="8" spans="1:5" ht="16.5" thickBot="1">
      <c r="A8" s="47"/>
      <c r="B8" s="48" t="s">
        <v>121</v>
      </c>
      <c r="C8" s="49"/>
    </row>
    <row r="9" spans="1:5" ht="16.5" thickBot="1">
      <c r="A9" s="148" t="s">
        <v>132</v>
      </c>
      <c r="B9" s="51" t="s">
        <v>356</v>
      </c>
      <c r="C9" s="56">
        <f>11.9*97</f>
        <v>1154.3</v>
      </c>
      <c r="D9" s="9"/>
    </row>
    <row r="10" spans="1:5">
      <c r="A10" s="149"/>
      <c r="B10" s="51" t="s">
        <v>357</v>
      </c>
      <c r="C10" s="57">
        <f>6.64*97</f>
        <v>644.07999999999993</v>
      </c>
    </row>
    <row r="11" spans="1:5" ht="16.5" thickBot="1">
      <c r="A11" s="150"/>
      <c r="B11" s="52" t="s">
        <v>358</v>
      </c>
      <c r="C11" s="58">
        <f>4.55*97</f>
        <v>441.34999999999997</v>
      </c>
    </row>
    <row r="12" spans="1:5" ht="33.75" customHeight="1" thickBot="1">
      <c r="A12" s="32" t="s">
        <v>133</v>
      </c>
      <c r="B12" s="91" t="s">
        <v>131</v>
      </c>
      <c r="C12" s="55">
        <f>(C9+C10+C11)*0.2409</f>
        <v>539.55095700000004</v>
      </c>
    </row>
    <row r="13" spans="1:5" ht="32.25" thickBot="1">
      <c r="A13" s="32" t="s">
        <v>134</v>
      </c>
      <c r="B13" s="35" t="s">
        <v>214</v>
      </c>
      <c r="C13" s="55">
        <f>0.84*97</f>
        <v>81.48</v>
      </c>
    </row>
    <row r="14" spans="1:5" ht="32.25" thickBot="1">
      <c r="A14" s="32" t="s">
        <v>136</v>
      </c>
      <c r="B14" s="62" t="s">
        <v>227</v>
      </c>
      <c r="C14" s="63">
        <f>(1.36+11.52)*97</f>
        <v>1249.3599999999999</v>
      </c>
    </row>
    <row r="15" spans="1:5" ht="32.25" thickBot="1">
      <c r="A15" s="32" t="s">
        <v>137</v>
      </c>
      <c r="B15" s="91" t="s">
        <v>216</v>
      </c>
      <c r="C15" s="55">
        <f>(452717/438912)*97</f>
        <v>100.05091909084283</v>
      </c>
    </row>
    <row r="16" spans="1:5" ht="32.25" thickBot="1">
      <c r="A16" s="32" t="s">
        <v>139</v>
      </c>
      <c r="B16" s="35" t="s">
        <v>218</v>
      </c>
      <c r="C16" s="55">
        <f>1.42*97</f>
        <v>137.73999999999998</v>
      </c>
    </row>
    <row r="17" spans="1:7" ht="32.25" thickBot="1">
      <c r="A17" s="32" t="s">
        <v>217</v>
      </c>
      <c r="B17" s="35" t="s">
        <v>219</v>
      </c>
      <c r="C17" s="55">
        <f>1.14*97</f>
        <v>110.57999999999998</v>
      </c>
    </row>
    <row r="18" spans="1:7" ht="32.25" thickBot="1">
      <c r="A18" s="32" t="s">
        <v>138</v>
      </c>
      <c r="B18" s="35" t="s">
        <v>226</v>
      </c>
      <c r="C18" s="63">
        <f>5.88*97</f>
        <v>570.36</v>
      </c>
    </row>
    <row r="19" spans="1:7" ht="16.5" thickBot="1">
      <c r="A19" s="32"/>
      <c r="B19" s="36" t="s">
        <v>122</v>
      </c>
      <c r="C19" s="37">
        <f>SUM(C9:C18)</f>
        <v>5028.8518760908419</v>
      </c>
    </row>
    <row r="20" spans="1:7" ht="16.5" thickBot="1">
      <c r="A20" s="32"/>
      <c r="B20" s="36" t="s">
        <v>123</v>
      </c>
      <c r="C20" s="38"/>
    </row>
    <row r="21" spans="1:7" ht="33.75" customHeight="1" thickBot="1">
      <c r="A21" s="32" t="s">
        <v>141</v>
      </c>
      <c r="B21" s="39" t="s">
        <v>198</v>
      </c>
      <c r="C21" s="55">
        <f>(C9+C10+C11)*0.25</f>
        <v>559.9325</v>
      </c>
    </row>
    <row r="22" spans="1:7" ht="36.75" customHeight="1" thickBot="1">
      <c r="A22" s="32" t="s">
        <v>133</v>
      </c>
      <c r="B22" s="91" t="s">
        <v>131</v>
      </c>
      <c r="C22" s="55">
        <f>C21*0.2409</f>
        <v>134.88773925000001</v>
      </c>
    </row>
    <row r="23" spans="1:7" ht="32.25" thickBot="1">
      <c r="A23" s="32" t="s">
        <v>145</v>
      </c>
      <c r="B23" s="34" t="s">
        <v>208</v>
      </c>
      <c r="C23" s="55">
        <f>(39708/438912)*97</f>
        <v>8.7755085301837266</v>
      </c>
      <c r="E23" s="41"/>
    </row>
    <row r="24" spans="1:7" ht="32.25" thickBot="1">
      <c r="A24" s="32" t="s">
        <v>142</v>
      </c>
      <c r="B24" s="35" t="s">
        <v>210</v>
      </c>
      <c r="C24" s="55">
        <f>1.85*97</f>
        <v>179.45000000000002</v>
      </c>
    </row>
    <row r="25" spans="1:7" ht="32.25" thickBot="1">
      <c r="A25" s="32" t="s">
        <v>143</v>
      </c>
      <c r="B25" s="94" t="s">
        <v>207</v>
      </c>
      <c r="C25" s="55">
        <f>(234731/438912)*97</f>
        <v>51.875790591280257</v>
      </c>
    </row>
    <row r="26" spans="1:7" ht="32.25" thickBot="1">
      <c r="A26" s="32" t="s">
        <v>139</v>
      </c>
      <c r="B26" s="40" t="s">
        <v>209</v>
      </c>
      <c r="C26" s="55">
        <f>1.28*97</f>
        <v>124.16</v>
      </c>
    </row>
    <row r="27" spans="1:7" ht="32.25" thickBot="1">
      <c r="A27" s="32" t="s">
        <v>135</v>
      </c>
      <c r="B27" s="91" t="s">
        <v>213</v>
      </c>
      <c r="C27" s="55">
        <f>1.43*97</f>
        <v>138.71</v>
      </c>
    </row>
    <row r="28" spans="1:7" ht="34.5" customHeight="1" thickBot="1">
      <c r="A28" s="32" t="s">
        <v>184</v>
      </c>
      <c r="B28" s="91" t="s">
        <v>211</v>
      </c>
      <c r="C28" s="55">
        <f>0.65*97</f>
        <v>63.050000000000004</v>
      </c>
    </row>
    <row r="29" spans="1:7" ht="32.25" thickBot="1">
      <c r="A29" s="32" t="s">
        <v>182</v>
      </c>
      <c r="B29" s="35" t="s">
        <v>220</v>
      </c>
      <c r="C29" s="55">
        <f>0.36*97</f>
        <v>34.92</v>
      </c>
    </row>
    <row r="30" spans="1:7" ht="32.25" thickBot="1">
      <c r="A30" s="32" t="s">
        <v>144</v>
      </c>
      <c r="B30" s="35" t="s">
        <v>202</v>
      </c>
      <c r="C30" s="55">
        <f>0.11*97</f>
        <v>10.67</v>
      </c>
    </row>
    <row r="31" spans="1:7" ht="32.25" thickBot="1">
      <c r="A31" s="32" t="s">
        <v>140</v>
      </c>
      <c r="B31" s="35" t="s">
        <v>212</v>
      </c>
      <c r="C31" s="55">
        <f>(21000/438912)*97</f>
        <v>4.6410214348206473</v>
      </c>
    </row>
    <row r="32" spans="1:7" ht="32.25" thickBot="1">
      <c r="A32" s="32" t="s">
        <v>222</v>
      </c>
      <c r="B32" s="35" t="s">
        <v>223</v>
      </c>
      <c r="C32" s="55">
        <f>3.55*97</f>
        <v>344.34999999999997</v>
      </c>
      <c r="G32" s="9"/>
    </row>
    <row r="33" spans="1:6" ht="16.5" thickBot="1">
      <c r="A33" s="32"/>
      <c r="B33" s="33" t="s">
        <v>124</v>
      </c>
      <c r="C33" s="37">
        <f>SUM(C21:C32)</f>
        <v>1655.4225598062849</v>
      </c>
    </row>
    <row r="34" spans="1:6" ht="16.5" thickBot="1">
      <c r="A34" s="32"/>
      <c r="B34" s="42" t="s">
        <v>125</v>
      </c>
      <c r="C34" s="37">
        <f>C33+C19</f>
        <v>6684.2744358971268</v>
      </c>
    </row>
    <row r="35" spans="1:6">
      <c r="C35" s="9"/>
    </row>
    <row r="36" spans="1:6" ht="16.5" thickBot="1">
      <c r="C36" s="9"/>
    </row>
    <row r="37" spans="1:6" ht="16.5" thickBot="1">
      <c r="A37" s="142" t="s">
        <v>126</v>
      </c>
      <c r="B37" s="143"/>
      <c r="C37" s="43">
        <v>97</v>
      </c>
    </row>
    <row r="38" spans="1:6" ht="16.5" thickBot="1">
      <c r="A38" s="142" t="s">
        <v>127</v>
      </c>
      <c r="B38" s="143"/>
      <c r="C38" s="44">
        <f>C34/C37</f>
        <v>68.910045730898219</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1"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A1:G42"/>
  <sheetViews>
    <sheetView zoomScaleNormal="100" workbookViewId="0">
      <selection activeCell="B11" sqref="B11"/>
    </sheetView>
  </sheetViews>
  <sheetFormatPr defaultColWidth="8.85546875" defaultRowHeight="15.75"/>
  <cols>
    <col min="1" max="1" width="13.85546875" style="1" customWidth="1"/>
    <col min="2" max="2" width="99.42578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158</v>
      </c>
      <c r="B4" s="146"/>
      <c r="C4" s="146"/>
    </row>
    <row r="5" spans="1:5">
      <c r="A5" s="146" t="s">
        <v>117</v>
      </c>
      <c r="B5" s="146"/>
      <c r="C5" s="146"/>
    </row>
    <row r="6" spans="1:5" ht="16.5" thickBot="1">
      <c r="A6" s="147" t="s">
        <v>308</v>
      </c>
      <c r="B6" s="147"/>
    </row>
    <row r="7" spans="1:5" ht="85.5" customHeight="1" thickBot="1">
      <c r="A7" s="30" t="s">
        <v>118</v>
      </c>
      <c r="B7" s="31" t="s">
        <v>119</v>
      </c>
      <c r="C7" s="31" t="s">
        <v>120</v>
      </c>
    </row>
    <row r="8" spans="1:5" ht="16.5" thickBot="1">
      <c r="A8" s="47"/>
      <c r="B8" s="48" t="s">
        <v>121</v>
      </c>
      <c r="C8" s="49"/>
    </row>
    <row r="9" spans="1:5" ht="16.5" thickBot="1">
      <c r="A9" s="148" t="s">
        <v>132</v>
      </c>
      <c r="B9" s="51" t="s">
        <v>359</v>
      </c>
      <c r="C9" s="56">
        <f>19.85*7</f>
        <v>138.95000000000002</v>
      </c>
      <c r="D9" s="9"/>
    </row>
    <row r="10" spans="1:5">
      <c r="A10" s="149"/>
      <c r="B10" s="51" t="s">
        <v>346</v>
      </c>
      <c r="C10" s="57">
        <f>11.08*7</f>
        <v>77.56</v>
      </c>
    </row>
    <row r="11" spans="1:5" ht="16.5" thickBot="1">
      <c r="A11" s="150"/>
      <c r="B11" s="52" t="s">
        <v>360</v>
      </c>
      <c r="C11" s="58">
        <f>7.58*7</f>
        <v>53.06</v>
      </c>
    </row>
    <row r="12" spans="1:5" ht="32.25" thickBot="1">
      <c r="A12" s="32" t="s">
        <v>133</v>
      </c>
      <c r="B12" s="39" t="s">
        <v>131</v>
      </c>
      <c r="C12" s="55">
        <f>(C9+C10+C11)*0.2409</f>
        <v>64.939413000000016</v>
      </c>
    </row>
    <row r="13" spans="1:5" ht="32.25" thickBot="1">
      <c r="A13" s="32" t="s">
        <v>134</v>
      </c>
      <c r="B13" s="35" t="s">
        <v>214</v>
      </c>
      <c r="C13" s="55">
        <f>0.84*7</f>
        <v>5.88</v>
      </c>
    </row>
    <row r="14" spans="1:5" ht="32.25" thickBot="1">
      <c r="A14" s="32" t="s">
        <v>136</v>
      </c>
      <c r="B14" s="62" t="s">
        <v>227</v>
      </c>
      <c r="C14" s="63">
        <f>(1.36+11.52)*7</f>
        <v>90.16</v>
      </c>
    </row>
    <row r="15" spans="1:5" ht="32.25" thickBot="1">
      <c r="A15" s="32" t="s">
        <v>137</v>
      </c>
      <c r="B15" s="91" t="s">
        <v>216</v>
      </c>
      <c r="C15" s="55">
        <f>1.03*7</f>
        <v>7.21</v>
      </c>
    </row>
    <row r="16" spans="1:5" ht="32.25" thickBot="1">
      <c r="A16" s="32" t="s">
        <v>139</v>
      </c>
      <c r="B16" s="35" t="s">
        <v>218</v>
      </c>
      <c r="C16" s="55">
        <f>1.42*7</f>
        <v>9.94</v>
      </c>
    </row>
    <row r="17" spans="1:7" ht="32.25" thickBot="1">
      <c r="A17" s="32" t="s">
        <v>217</v>
      </c>
      <c r="B17" s="35" t="s">
        <v>219</v>
      </c>
      <c r="C17" s="55">
        <f>1.14*7</f>
        <v>7.9799999999999995</v>
      </c>
    </row>
    <row r="18" spans="1:7" ht="32.25" thickBot="1">
      <c r="A18" s="32" t="s">
        <v>138</v>
      </c>
      <c r="B18" s="62" t="s">
        <v>229</v>
      </c>
      <c r="C18" s="63">
        <f>11.45*7</f>
        <v>80.149999999999991</v>
      </c>
    </row>
    <row r="19" spans="1:7" ht="16.5" thickBot="1">
      <c r="A19" s="32"/>
      <c r="B19" s="36" t="s">
        <v>122</v>
      </c>
      <c r="C19" s="37">
        <f>SUM(C9:C18)</f>
        <v>535.82941300000005</v>
      </c>
    </row>
    <row r="20" spans="1:7" ht="16.5" thickBot="1">
      <c r="A20" s="32"/>
      <c r="B20" s="36" t="s">
        <v>123</v>
      </c>
      <c r="C20" s="38"/>
    </row>
    <row r="21" spans="1:7" ht="32.25" thickBot="1">
      <c r="A21" s="32" t="s">
        <v>141</v>
      </c>
      <c r="B21" s="39" t="s">
        <v>198</v>
      </c>
      <c r="C21" s="55">
        <f>(C9+C10+C11)*0.25</f>
        <v>67.392500000000013</v>
      </c>
    </row>
    <row r="22" spans="1:7" ht="32.25" thickBot="1">
      <c r="A22" s="32" t="s">
        <v>133</v>
      </c>
      <c r="B22" s="35" t="s">
        <v>131</v>
      </c>
      <c r="C22" s="55">
        <f>C21*0.2409</f>
        <v>16.234853250000004</v>
      </c>
    </row>
    <row r="23" spans="1:7" ht="32.25" thickBot="1">
      <c r="A23" s="32" t="s">
        <v>145</v>
      </c>
      <c r="B23" s="34" t="s">
        <v>208</v>
      </c>
      <c r="C23" s="55">
        <f>0.09*7</f>
        <v>0.63</v>
      </c>
      <c r="E23" s="41"/>
    </row>
    <row r="24" spans="1:7" ht="32.25" thickBot="1">
      <c r="A24" s="32" t="s">
        <v>142</v>
      </c>
      <c r="B24" s="35" t="s">
        <v>210</v>
      </c>
      <c r="C24" s="55">
        <f>1.85*7</f>
        <v>12.950000000000001</v>
      </c>
    </row>
    <row r="25" spans="1:7" ht="32.25" thickBot="1">
      <c r="A25" s="32" t="s">
        <v>143</v>
      </c>
      <c r="B25" s="94" t="s">
        <v>207</v>
      </c>
      <c r="C25" s="55">
        <f>0.53*7</f>
        <v>3.71</v>
      </c>
    </row>
    <row r="26" spans="1:7" ht="32.25" thickBot="1">
      <c r="A26" s="32" t="s">
        <v>139</v>
      </c>
      <c r="B26" s="40" t="s">
        <v>209</v>
      </c>
      <c r="C26" s="55">
        <f>1.28*7</f>
        <v>8.9600000000000009</v>
      </c>
    </row>
    <row r="27" spans="1:7" ht="32.25" thickBot="1">
      <c r="A27" s="32" t="s">
        <v>135</v>
      </c>
      <c r="B27" s="35" t="s">
        <v>213</v>
      </c>
      <c r="C27" s="55">
        <f>1.43*7</f>
        <v>10.01</v>
      </c>
    </row>
    <row r="28" spans="1:7" ht="32.25" thickBot="1">
      <c r="A28" s="32" t="s">
        <v>184</v>
      </c>
      <c r="B28" s="91" t="s">
        <v>211</v>
      </c>
      <c r="C28" s="55">
        <f>0.65*7</f>
        <v>4.55</v>
      </c>
    </row>
    <row r="29" spans="1:7" ht="32.25" thickBot="1">
      <c r="A29" s="32" t="s">
        <v>182</v>
      </c>
      <c r="B29" s="35" t="s">
        <v>220</v>
      </c>
      <c r="C29" s="55">
        <f>0.36*7</f>
        <v>2.52</v>
      </c>
    </row>
    <row r="30" spans="1:7" ht="32.25" thickBot="1">
      <c r="A30" s="32" t="s">
        <v>144</v>
      </c>
      <c r="B30" s="35" t="s">
        <v>202</v>
      </c>
      <c r="C30" s="55">
        <f>(46423/438912)*7</f>
        <v>0.74037848133566642</v>
      </c>
    </row>
    <row r="31" spans="1:7" ht="32.25" thickBot="1">
      <c r="A31" s="32" t="s">
        <v>140</v>
      </c>
      <c r="B31" s="35" t="s">
        <v>212</v>
      </c>
      <c r="C31" s="55">
        <f>0.05*7</f>
        <v>0.35000000000000003</v>
      </c>
    </row>
    <row r="32" spans="1:7" ht="32.25" thickBot="1">
      <c r="A32" s="32" t="s">
        <v>222</v>
      </c>
      <c r="B32" s="35" t="s">
        <v>223</v>
      </c>
      <c r="C32" s="55">
        <f>3.55*7</f>
        <v>24.849999999999998</v>
      </c>
      <c r="G32" s="9"/>
    </row>
    <row r="33" spans="1:6" ht="16.5" thickBot="1">
      <c r="A33" s="32"/>
      <c r="B33" s="33" t="s">
        <v>124</v>
      </c>
      <c r="C33" s="37">
        <f>SUM(C21:C32)</f>
        <v>152.89773173133565</v>
      </c>
    </row>
    <row r="34" spans="1:6" ht="16.5" thickBot="1">
      <c r="A34" s="32"/>
      <c r="B34" s="42" t="s">
        <v>125</v>
      </c>
      <c r="C34" s="37">
        <f>C33+C19</f>
        <v>688.72714473133567</v>
      </c>
    </row>
    <row r="35" spans="1:6">
      <c r="C35" s="9"/>
    </row>
    <row r="36" spans="1:6" ht="16.5" thickBot="1">
      <c r="C36" s="9"/>
    </row>
    <row r="37" spans="1:6" ht="16.5" thickBot="1">
      <c r="A37" s="142" t="s">
        <v>126</v>
      </c>
      <c r="B37" s="143"/>
      <c r="C37" s="43">
        <v>7</v>
      </c>
    </row>
    <row r="38" spans="1:6" ht="16.5" thickBot="1">
      <c r="A38" s="142" t="s">
        <v>127</v>
      </c>
      <c r="B38" s="143"/>
      <c r="C38" s="44">
        <f>C34/C37</f>
        <v>98.38959210447652</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G42"/>
  <sheetViews>
    <sheetView zoomScaleNormal="100" workbookViewId="0">
      <selection activeCell="B11" sqref="B11"/>
    </sheetView>
  </sheetViews>
  <sheetFormatPr defaultColWidth="8.85546875" defaultRowHeight="15.75"/>
  <cols>
    <col min="1" max="1" width="15.5703125" style="1" customWidth="1"/>
    <col min="2" max="2" width="98.140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159</v>
      </c>
      <c r="B4" s="146"/>
      <c r="C4" s="146"/>
    </row>
    <row r="5" spans="1:5">
      <c r="A5" s="146" t="s">
        <v>117</v>
      </c>
      <c r="B5" s="146"/>
      <c r="C5" s="146"/>
    </row>
    <row r="6" spans="1:5" ht="16.5" thickBot="1">
      <c r="A6" s="147" t="s">
        <v>300</v>
      </c>
      <c r="B6" s="147"/>
    </row>
    <row r="7" spans="1:5" ht="94.5" customHeight="1" thickBot="1">
      <c r="A7" s="30" t="s">
        <v>118</v>
      </c>
      <c r="B7" s="31" t="s">
        <v>119</v>
      </c>
      <c r="C7" s="31" t="s">
        <v>120</v>
      </c>
    </row>
    <row r="8" spans="1:5" ht="16.5" thickBot="1">
      <c r="A8" s="47"/>
      <c r="B8" s="48" t="s">
        <v>121</v>
      </c>
      <c r="C8" s="49"/>
    </row>
    <row r="9" spans="1:5" ht="16.5" thickBot="1">
      <c r="A9" s="148" t="s">
        <v>132</v>
      </c>
      <c r="B9" s="51" t="s">
        <v>361</v>
      </c>
      <c r="C9" s="56">
        <f>11.08*3302</f>
        <v>36586.160000000003</v>
      </c>
      <c r="D9" s="9"/>
    </row>
    <row r="10" spans="1:5">
      <c r="A10" s="149"/>
      <c r="B10" s="51" t="s">
        <v>361</v>
      </c>
      <c r="C10" s="57">
        <f>11.08*3302</f>
        <v>36586.160000000003</v>
      </c>
    </row>
    <row r="11" spans="1:5" ht="16.5" thickBot="1">
      <c r="A11" s="150"/>
      <c r="B11" s="52" t="s">
        <v>362</v>
      </c>
      <c r="C11" s="58">
        <f>7.58*3302</f>
        <v>25029.16</v>
      </c>
    </row>
    <row r="12" spans="1:5" ht="32.25" thickBot="1">
      <c r="A12" s="32" t="s">
        <v>133</v>
      </c>
      <c r="B12" s="91" t="s">
        <v>131</v>
      </c>
      <c r="C12" s="55">
        <f>ROUNDUP((C9+C10+C11)*0.2409,1)</f>
        <v>23656.799999999999</v>
      </c>
    </row>
    <row r="13" spans="1:5" ht="32.25" thickBot="1">
      <c r="A13" s="32" t="s">
        <v>134</v>
      </c>
      <c r="B13" s="35" t="s">
        <v>214</v>
      </c>
      <c r="C13" s="55">
        <f>0.84*3302</f>
        <v>2773.68</v>
      </c>
    </row>
    <row r="14" spans="1:5" ht="32.25" thickBot="1">
      <c r="A14" s="32" t="s">
        <v>136</v>
      </c>
      <c r="B14" s="35" t="s">
        <v>313</v>
      </c>
      <c r="C14" s="63">
        <f>1.36*3302</f>
        <v>4490.72</v>
      </c>
    </row>
    <row r="15" spans="1:5" ht="32.25" thickBot="1">
      <c r="A15" s="32" t="s">
        <v>137</v>
      </c>
      <c r="B15" s="91" t="s">
        <v>216</v>
      </c>
      <c r="C15" s="55">
        <f>1.03*3302</f>
        <v>3401.06</v>
      </c>
    </row>
    <row r="16" spans="1:5" ht="32.25" thickBot="1">
      <c r="A16" s="32" t="s">
        <v>139</v>
      </c>
      <c r="B16" s="35" t="s">
        <v>218</v>
      </c>
      <c r="C16" s="55">
        <f>1.42*3302</f>
        <v>4688.84</v>
      </c>
    </row>
    <row r="17" spans="1:7" ht="32.25" thickBot="1">
      <c r="A17" s="32" t="s">
        <v>217</v>
      </c>
      <c r="B17" s="35" t="s">
        <v>219</v>
      </c>
      <c r="C17" s="55">
        <f>1.14*3302</f>
        <v>3764.2799999999997</v>
      </c>
    </row>
    <row r="18" spans="1:7" ht="32.25" thickBot="1">
      <c r="A18" s="32" t="s">
        <v>138</v>
      </c>
      <c r="B18" s="35" t="s">
        <v>231</v>
      </c>
      <c r="C18" s="63">
        <f>7.95*3302</f>
        <v>26250.9</v>
      </c>
    </row>
    <row r="19" spans="1:7" ht="16.5" thickBot="1">
      <c r="A19" s="32"/>
      <c r="B19" s="36" t="s">
        <v>122</v>
      </c>
      <c r="C19" s="37">
        <f>SUM(C9:C18)</f>
        <v>167227.76</v>
      </c>
    </row>
    <row r="20" spans="1:7" ht="16.5" thickBot="1">
      <c r="A20" s="32"/>
      <c r="B20" s="36" t="s">
        <v>123</v>
      </c>
      <c r="C20" s="38"/>
    </row>
    <row r="21" spans="1:7" ht="32.25" thickBot="1">
      <c r="A21" s="32" t="s">
        <v>141</v>
      </c>
      <c r="B21" s="39" t="s">
        <v>198</v>
      </c>
      <c r="C21" s="55">
        <f>(C9+C10+C11)*0.25</f>
        <v>24550.370000000003</v>
      </c>
    </row>
    <row r="22" spans="1:7" ht="32.25" thickBot="1">
      <c r="A22" s="32" t="s">
        <v>133</v>
      </c>
      <c r="B22" s="35" t="s">
        <v>131</v>
      </c>
      <c r="C22" s="55">
        <f>C21*0.2409</f>
        <v>5914.1841330000007</v>
      </c>
    </row>
    <row r="23" spans="1:7" ht="32.25" thickBot="1">
      <c r="A23" s="32" t="s">
        <v>145</v>
      </c>
      <c r="B23" s="34" t="s">
        <v>208</v>
      </c>
      <c r="C23" s="55">
        <f>0.09*3302</f>
        <v>297.18</v>
      </c>
      <c r="E23" s="41"/>
    </row>
    <row r="24" spans="1:7" ht="32.25" thickBot="1">
      <c r="A24" s="32" t="s">
        <v>142</v>
      </c>
      <c r="B24" s="35" t="s">
        <v>210</v>
      </c>
      <c r="C24" s="55">
        <f>1.85*3302</f>
        <v>6108.7000000000007</v>
      </c>
    </row>
    <row r="25" spans="1:7" ht="32.25" thickBot="1">
      <c r="A25" s="32" t="s">
        <v>143</v>
      </c>
      <c r="B25" s="94" t="s">
        <v>207</v>
      </c>
      <c r="C25" s="55">
        <f>((234731/438912)*3302)-3.46</f>
        <v>1762.456087962963</v>
      </c>
    </row>
    <row r="26" spans="1:7" ht="32.25" thickBot="1">
      <c r="A26" s="32" t="s">
        <v>139</v>
      </c>
      <c r="B26" s="40" t="s">
        <v>209</v>
      </c>
      <c r="C26" s="55">
        <f>1.28*3302</f>
        <v>4226.5600000000004</v>
      </c>
    </row>
    <row r="27" spans="1:7" ht="32.25" thickBot="1">
      <c r="A27" s="32" t="s">
        <v>135</v>
      </c>
      <c r="B27" s="91" t="s">
        <v>213</v>
      </c>
      <c r="C27" s="55">
        <f>1.43*3302</f>
        <v>4721.8599999999997</v>
      </c>
    </row>
    <row r="28" spans="1:7" ht="32.25" thickBot="1">
      <c r="A28" s="32" t="s">
        <v>184</v>
      </c>
      <c r="B28" s="91" t="s">
        <v>211</v>
      </c>
      <c r="C28" s="55">
        <f>0.65*3302</f>
        <v>2146.3000000000002</v>
      </c>
    </row>
    <row r="29" spans="1:7" ht="32.25" thickBot="1">
      <c r="A29" s="32" t="s">
        <v>182</v>
      </c>
      <c r="B29" s="35" t="s">
        <v>301</v>
      </c>
      <c r="C29" s="55">
        <f>0.36*3302</f>
        <v>1188.72</v>
      </c>
    </row>
    <row r="30" spans="1:7" ht="32.25" thickBot="1">
      <c r="A30" s="32" t="s">
        <v>144</v>
      </c>
      <c r="B30" s="35" t="s">
        <v>202</v>
      </c>
      <c r="C30" s="55">
        <f>(46423/438912)*3302</f>
        <v>349.24710648148152</v>
      </c>
    </row>
    <row r="31" spans="1:7" ht="32.25" thickBot="1">
      <c r="A31" s="32" t="s">
        <v>140</v>
      </c>
      <c r="B31" s="35" t="s">
        <v>212</v>
      </c>
      <c r="C31" s="55">
        <f>0.05*3302</f>
        <v>165.10000000000002</v>
      </c>
    </row>
    <row r="32" spans="1:7" ht="32.25" thickBot="1">
      <c r="A32" s="32" t="s">
        <v>222</v>
      </c>
      <c r="B32" s="35" t="s">
        <v>225</v>
      </c>
      <c r="C32" s="55">
        <f>2.31*3302</f>
        <v>7627.62</v>
      </c>
      <c r="G32" s="9"/>
    </row>
    <row r="33" spans="1:6" ht="16.5" thickBot="1">
      <c r="A33" s="32"/>
      <c r="B33" s="33" t="s">
        <v>124</v>
      </c>
      <c r="C33" s="37">
        <f>SUM(C21:C32)</f>
        <v>59058.297327444452</v>
      </c>
    </row>
    <row r="34" spans="1:6" ht="16.5" thickBot="1">
      <c r="A34" s="32"/>
      <c r="B34" s="42" t="s">
        <v>125</v>
      </c>
      <c r="C34" s="37">
        <f>C33+C19</f>
        <v>226286.05732744446</v>
      </c>
    </row>
    <row r="35" spans="1:6">
      <c r="C35" s="9"/>
    </row>
    <row r="36" spans="1:6" ht="16.5" thickBot="1">
      <c r="C36" s="9"/>
    </row>
    <row r="37" spans="1:6" ht="16.5" thickBot="1">
      <c r="A37" s="142" t="s">
        <v>126</v>
      </c>
      <c r="B37" s="143"/>
      <c r="C37" s="43">
        <v>3302</v>
      </c>
    </row>
    <row r="38" spans="1:6" ht="16.5" thickBot="1">
      <c r="A38" s="142" t="s">
        <v>127</v>
      </c>
      <c r="B38" s="143"/>
      <c r="C38" s="44">
        <f>C34/C37</f>
        <v>68.529999190625219</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5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sheetPr>
  <dimension ref="A1:G42"/>
  <sheetViews>
    <sheetView zoomScaleNormal="100" workbookViewId="0">
      <selection activeCell="B11" sqref="B11"/>
    </sheetView>
  </sheetViews>
  <sheetFormatPr defaultColWidth="8.85546875" defaultRowHeight="15.75"/>
  <cols>
    <col min="1" max="1" width="14.140625" style="1" customWidth="1"/>
    <col min="2" max="2" width="93.5703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160</v>
      </c>
      <c r="B4" s="146"/>
      <c r="C4" s="146"/>
    </row>
    <row r="5" spans="1:5">
      <c r="A5" s="146" t="s">
        <v>117</v>
      </c>
      <c r="B5" s="146"/>
      <c r="C5" s="146"/>
    </row>
    <row r="6" spans="1:5" ht="16.5" thickBot="1">
      <c r="A6" s="147" t="s">
        <v>161</v>
      </c>
      <c r="B6" s="147"/>
    </row>
    <row r="7" spans="1:5" ht="92.25" customHeight="1" thickBot="1">
      <c r="A7" s="30" t="s">
        <v>118</v>
      </c>
      <c r="B7" s="31" t="s">
        <v>119</v>
      </c>
      <c r="C7" s="31" t="s">
        <v>120</v>
      </c>
    </row>
    <row r="8" spans="1:5" ht="16.5" thickBot="1">
      <c r="A8" s="47"/>
      <c r="B8" s="48" t="s">
        <v>121</v>
      </c>
      <c r="C8" s="49"/>
    </row>
    <row r="9" spans="1:5" ht="17.25" customHeight="1">
      <c r="A9" s="148" t="s">
        <v>132</v>
      </c>
      <c r="B9" s="51" t="s">
        <v>363</v>
      </c>
      <c r="C9" s="56">
        <f>13.69*71</f>
        <v>971.99</v>
      </c>
      <c r="D9" s="9"/>
    </row>
    <row r="10" spans="1:5">
      <c r="A10" s="149"/>
      <c r="B10" s="89" t="s">
        <v>364</v>
      </c>
      <c r="C10" s="57">
        <f>9.59*71</f>
        <v>680.89</v>
      </c>
    </row>
    <row r="11" spans="1:5" ht="16.5" thickBot="1">
      <c r="A11" s="150"/>
      <c r="B11" s="90" t="s">
        <v>365</v>
      </c>
      <c r="C11" s="58">
        <f>6.26*71</f>
        <v>444.46</v>
      </c>
    </row>
    <row r="12" spans="1:5" ht="32.25" thickBot="1">
      <c r="A12" s="32" t="s">
        <v>133</v>
      </c>
      <c r="B12" s="91" t="s">
        <v>131</v>
      </c>
      <c r="C12" s="55">
        <f>(C9+C10+C11)*0.2409</f>
        <v>505.24920600000002</v>
      </c>
    </row>
    <row r="13" spans="1:5" ht="32.25" thickBot="1">
      <c r="A13" s="32" t="s">
        <v>134</v>
      </c>
      <c r="B13" s="35" t="s">
        <v>214</v>
      </c>
      <c r="C13" s="55">
        <f>ROUND((367899/438912)*71,2)</f>
        <v>59.51</v>
      </c>
    </row>
    <row r="14" spans="1:5" ht="32.25" thickBot="1">
      <c r="A14" s="32" t="s">
        <v>136</v>
      </c>
      <c r="B14" s="62" t="s">
        <v>228</v>
      </c>
      <c r="C14" s="63">
        <f>(1.36+6.91)*71</f>
        <v>587.16999999999996</v>
      </c>
    </row>
    <row r="15" spans="1:5" ht="32.25" thickBot="1">
      <c r="A15" s="32" t="s">
        <v>137</v>
      </c>
      <c r="B15" s="91" t="s">
        <v>216</v>
      </c>
      <c r="C15" s="55">
        <f>ROUND((452717/438912)*71,2)</f>
        <v>73.23</v>
      </c>
    </row>
    <row r="16" spans="1:5" ht="32.25" thickBot="1">
      <c r="A16" s="32" t="s">
        <v>139</v>
      </c>
      <c r="B16" s="35" t="s">
        <v>218</v>
      </c>
      <c r="C16" s="55">
        <f>1.42*71</f>
        <v>100.82</v>
      </c>
    </row>
    <row r="17" spans="1:7" ht="32.25" thickBot="1">
      <c r="A17" s="32" t="s">
        <v>217</v>
      </c>
      <c r="B17" s="35" t="s">
        <v>219</v>
      </c>
      <c r="C17" s="55">
        <f>(500471/438912)*71</f>
        <v>80.958007527704865</v>
      </c>
    </row>
    <row r="18" spans="1:7" ht="32.25" thickBot="1">
      <c r="A18" s="32" t="s">
        <v>138</v>
      </c>
      <c r="B18" s="35" t="s">
        <v>231</v>
      </c>
      <c r="C18" s="63">
        <f>7.95*71</f>
        <v>564.45000000000005</v>
      </c>
    </row>
    <row r="19" spans="1:7" ht="16.5" thickBot="1">
      <c r="A19" s="32"/>
      <c r="B19" s="36" t="s">
        <v>122</v>
      </c>
      <c r="C19" s="37">
        <f>SUM(C9:C18)</f>
        <v>4068.7272135277053</v>
      </c>
    </row>
    <row r="20" spans="1:7" ht="16.5" thickBot="1">
      <c r="A20" s="32"/>
      <c r="B20" s="36" t="s">
        <v>123</v>
      </c>
      <c r="C20" s="38"/>
    </row>
    <row r="21" spans="1:7" ht="32.25" thickBot="1">
      <c r="A21" s="32" t="s">
        <v>141</v>
      </c>
      <c r="B21" s="39" t="s">
        <v>198</v>
      </c>
      <c r="C21" s="55">
        <f>(C9+C10+C11)*0.25</f>
        <v>524.33500000000004</v>
      </c>
    </row>
    <row r="22" spans="1:7" ht="32.25" thickBot="1">
      <c r="A22" s="32" t="s">
        <v>133</v>
      </c>
      <c r="B22" s="91" t="s">
        <v>131</v>
      </c>
      <c r="C22" s="55">
        <f>C21*0.2409</f>
        <v>126.3123015</v>
      </c>
    </row>
    <row r="23" spans="1:7" ht="32.25" thickBot="1">
      <c r="A23" s="32" t="s">
        <v>145</v>
      </c>
      <c r="B23" s="34" t="s">
        <v>208</v>
      </c>
      <c r="C23" s="55">
        <f>ROUND((39708/438912)*71,2)</f>
        <v>6.42</v>
      </c>
      <c r="E23" s="41"/>
    </row>
    <row r="24" spans="1:7" ht="32.25" thickBot="1">
      <c r="A24" s="32" t="s">
        <v>142</v>
      </c>
      <c r="B24" s="35" t="s">
        <v>210</v>
      </c>
      <c r="C24" s="55">
        <f>1.85*71</f>
        <v>131.35</v>
      </c>
    </row>
    <row r="25" spans="1:7" ht="32.25" thickBot="1">
      <c r="A25" s="32" t="s">
        <v>143</v>
      </c>
      <c r="B25" s="34" t="s">
        <v>207</v>
      </c>
      <c r="C25" s="55">
        <f>ROUND((234731/438912)*71,2)</f>
        <v>37.97</v>
      </c>
    </row>
    <row r="26" spans="1:7" ht="32.25" thickBot="1">
      <c r="A26" s="32" t="s">
        <v>139</v>
      </c>
      <c r="B26" s="40" t="s">
        <v>209</v>
      </c>
      <c r="C26" s="55">
        <f>(561364/438912)*71</f>
        <v>90.808280475357236</v>
      </c>
    </row>
    <row r="27" spans="1:7" ht="32.25" thickBot="1">
      <c r="A27" s="32" t="s">
        <v>135</v>
      </c>
      <c r="B27" s="91" t="s">
        <v>213</v>
      </c>
      <c r="C27" s="55">
        <f>ROUND((627676/438912)*71,2)</f>
        <v>101.54</v>
      </c>
    </row>
    <row r="28" spans="1:7" ht="32.25" thickBot="1">
      <c r="A28" s="32" t="s">
        <v>184</v>
      </c>
      <c r="B28" s="91" t="s">
        <v>211</v>
      </c>
      <c r="C28" s="55">
        <f>ROUND((286606/438912)*71,2)</f>
        <v>46.36</v>
      </c>
    </row>
    <row r="29" spans="1:7" ht="52.5" customHeight="1" thickBot="1">
      <c r="A29" s="32" t="s">
        <v>182</v>
      </c>
      <c r="B29" s="91" t="s">
        <v>301</v>
      </c>
      <c r="C29" s="55">
        <f>ROUND((157571/438912)*71,2)</f>
        <v>25.49</v>
      </c>
    </row>
    <row r="30" spans="1:7" ht="32.25" thickBot="1">
      <c r="A30" s="32" t="s">
        <v>144</v>
      </c>
      <c r="B30" s="100" t="s">
        <v>202</v>
      </c>
      <c r="C30" s="55">
        <f>ROUND((46423/438912)*71,2)</f>
        <v>7.51</v>
      </c>
    </row>
    <row r="31" spans="1:7" ht="32.25" thickBot="1">
      <c r="A31" s="32" t="s">
        <v>140</v>
      </c>
      <c r="B31" s="100" t="s">
        <v>212</v>
      </c>
      <c r="C31" s="55">
        <f>ROUND((21000/438912)*71,2)</f>
        <v>3.4</v>
      </c>
    </row>
    <row r="32" spans="1:7" ht="32.25" thickBot="1">
      <c r="A32" s="32" t="s">
        <v>222</v>
      </c>
      <c r="B32" s="100" t="s">
        <v>223</v>
      </c>
      <c r="C32" s="55">
        <f>3.55*71</f>
        <v>252.04999999999998</v>
      </c>
      <c r="G32" s="9"/>
    </row>
    <row r="33" spans="1:6" ht="16.5" thickBot="1">
      <c r="A33" s="32"/>
      <c r="B33" s="33" t="s">
        <v>124</v>
      </c>
      <c r="C33" s="37">
        <f>SUM(C21:C32)</f>
        <v>1353.5455819753572</v>
      </c>
    </row>
    <row r="34" spans="1:6" ht="16.5" thickBot="1">
      <c r="A34" s="32"/>
      <c r="B34" s="42" t="s">
        <v>125</v>
      </c>
      <c r="C34" s="37">
        <f>C33+C19</f>
        <v>5422.2727955030623</v>
      </c>
    </row>
    <row r="35" spans="1:6">
      <c r="C35" s="9"/>
    </row>
    <row r="36" spans="1:6" ht="16.5" thickBot="1">
      <c r="C36" s="9"/>
    </row>
    <row r="37" spans="1:6" ht="16.5" thickBot="1">
      <c r="A37" s="142" t="s">
        <v>126</v>
      </c>
      <c r="B37" s="143"/>
      <c r="C37" s="43">
        <v>71</v>
      </c>
    </row>
    <row r="38" spans="1:6" ht="16.5" thickBot="1">
      <c r="A38" s="142" t="s">
        <v>127</v>
      </c>
      <c r="B38" s="143"/>
      <c r="C38" s="44">
        <f>C34/C37</f>
        <v>76.370039373282566</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sheetPr>
  <dimension ref="A1:G42"/>
  <sheetViews>
    <sheetView topLeftCell="A4" zoomScaleNormal="100" workbookViewId="0">
      <selection activeCell="B11" sqref="B11"/>
    </sheetView>
  </sheetViews>
  <sheetFormatPr defaultColWidth="8.85546875" defaultRowHeight="15.75"/>
  <cols>
    <col min="1" max="1" width="15.5703125" style="1" customWidth="1"/>
    <col min="2" max="2" width="96.710937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162</v>
      </c>
      <c r="B4" s="146"/>
      <c r="C4" s="146"/>
    </row>
    <row r="5" spans="1:5">
      <c r="A5" s="146" t="s">
        <v>117</v>
      </c>
      <c r="B5" s="146"/>
      <c r="C5" s="146"/>
    </row>
    <row r="6" spans="1:5" ht="16.5" thickBot="1">
      <c r="A6" s="147" t="s">
        <v>163</v>
      </c>
      <c r="B6" s="147"/>
    </row>
    <row r="7" spans="1:5" ht="84.75" customHeight="1" thickBot="1">
      <c r="A7" s="30" t="s">
        <v>118</v>
      </c>
      <c r="B7" s="31" t="s">
        <v>119</v>
      </c>
      <c r="C7" s="31" t="s">
        <v>120</v>
      </c>
    </row>
    <row r="8" spans="1:5" ht="16.5" thickBot="1">
      <c r="A8" s="47"/>
      <c r="B8" s="48" t="s">
        <v>121</v>
      </c>
      <c r="C8" s="49"/>
    </row>
    <row r="9" spans="1:5" ht="16.5" thickBot="1">
      <c r="A9" s="148" t="s">
        <v>132</v>
      </c>
      <c r="B9" s="51" t="s">
        <v>366</v>
      </c>
      <c r="C9" s="56">
        <f>14.9*5</f>
        <v>74.5</v>
      </c>
      <c r="D9" s="9"/>
    </row>
    <row r="10" spans="1:5">
      <c r="A10" s="149"/>
      <c r="B10" s="51" t="s">
        <v>367</v>
      </c>
      <c r="C10" s="57">
        <f>9.59*5</f>
        <v>47.95</v>
      </c>
    </row>
    <row r="11" spans="1:5" ht="16.5" thickBot="1">
      <c r="A11" s="150"/>
      <c r="B11" s="52" t="s">
        <v>368</v>
      </c>
      <c r="C11" s="58">
        <f>6.26*5</f>
        <v>31.299999999999997</v>
      </c>
    </row>
    <row r="12" spans="1:5" ht="32.25" thickBot="1">
      <c r="A12" s="32" t="s">
        <v>133</v>
      </c>
      <c r="B12" s="91" t="s">
        <v>131</v>
      </c>
      <c r="C12" s="55">
        <f>(C9+C10+C11)*0.2409</f>
        <v>37.038375000000002</v>
      </c>
    </row>
    <row r="13" spans="1:5" ht="32.25" thickBot="1">
      <c r="A13" s="32" t="s">
        <v>134</v>
      </c>
      <c r="B13" s="35" t="s">
        <v>214</v>
      </c>
      <c r="C13" s="55">
        <f>(367899/438912 )*5</f>
        <v>4.1910337379702538</v>
      </c>
    </row>
    <row r="14" spans="1:5" ht="32.25" thickBot="1">
      <c r="A14" s="32" t="s">
        <v>136</v>
      </c>
      <c r="B14" s="62" t="s">
        <v>230</v>
      </c>
      <c r="C14" s="63">
        <f>(1.36+9.22)*5</f>
        <v>52.9</v>
      </c>
    </row>
    <row r="15" spans="1:5" ht="32.25" thickBot="1">
      <c r="A15" s="32" t="s">
        <v>137</v>
      </c>
      <c r="B15" s="91" t="s">
        <v>216</v>
      </c>
      <c r="C15" s="55">
        <f>(452717/438912)*5</f>
        <v>5.1572638706620015</v>
      </c>
    </row>
    <row r="16" spans="1:5" ht="32.25" thickBot="1">
      <c r="A16" s="32" t="s">
        <v>139</v>
      </c>
      <c r="B16" s="35" t="s">
        <v>218</v>
      </c>
      <c r="C16" s="55">
        <f>(624380/438912)*5</f>
        <v>7.1128153251676878</v>
      </c>
    </row>
    <row r="17" spans="1:7" ht="32.25" thickBot="1">
      <c r="A17" s="32" t="s">
        <v>217</v>
      </c>
      <c r="B17" s="35" t="s">
        <v>219</v>
      </c>
      <c r="C17" s="55">
        <f>(500471/438912)*5</f>
        <v>5.7012681357538639</v>
      </c>
    </row>
    <row r="18" spans="1:7" ht="32.25" thickBot="1">
      <c r="A18" s="32" t="s">
        <v>138</v>
      </c>
      <c r="B18" s="35" t="s">
        <v>231</v>
      </c>
      <c r="C18" s="63">
        <f>7.95*5</f>
        <v>39.75</v>
      </c>
    </row>
    <row r="19" spans="1:7" ht="16.5" thickBot="1">
      <c r="A19" s="32"/>
      <c r="B19" s="36" t="s">
        <v>122</v>
      </c>
      <c r="C19" s="37">
        <f>SUM(C9:C18)</f>
        <v>305.60075606955382</v>
      </c>
    </row>
    <row r="20" spans="1:7" ht="16.5" thickBot="1">
      <c r="A20" s="32"/>
      <c r="B20" s="36" t="s">
        <v>123</v>
      </c>
      <c r="C20" s="38"/>
    </row>
    <row r="21" spans="1:7" ht="32.25" thickBot="1">
      <c r="A21" s="32" t="s">
        <v>141</v>
      </c>
      <c r="B21" s="39" t="s">
        <v>198</v>
      </c>
      <c r="C21" s="55">
        <f>(C9+C10+C11)*0.25</f>
        <v>38.4375</v>
      </c>
    </row>
    <row r="22" spans="1:7" ht="32.25" thickBot="1">
      <c r="A22" s="32" t="s">
        <v>133</v>
      </c>
      <c r="B22" s="91" t="s">
        <v>131</v>
      </c>
      <c r="C22" s="55">
        <f>C21*0.2409</f>
        <v>9.2595937500000005</v>
      </c>
    </row>
    <row r="23" spans="1:7" ht="32.25" thickBot="1">
      <c r="A23" s="32" t="s">
        <v>145</v>
      </c>
      <c r="B23" s="34" t="s">
        <v>208</v>
      </c>
      <c r="C23" s="55">
        <f>(39708/438912)*5</f>
        <v>0.45234580052493434</v>
      </c>
      <c r="E23" s="41"/>
    </row>
    <row r="24" spans="1:7" ht="32.25" thickBot="1">
      <c r="A24" s="32" t="s">
        <v>142</v>
      </c>
      <c r="B24" s="35" t="s">
        <v>210</v>
      </c>
      <c r="C24" s="55">
        <f>1.85*5</f>
        <v>9.25</v>
      </c>
    </row>
    <row r="25" spans="1:7" ht="32.25" thickBot="1">
      <c r="A25" s="32" t="s">
        <v>143</v>
      </c>
      <c r="B25" s="94" t="s">
        <v>207</v>
      </c>
      <c r="C25" s="55">
        <f>(234731/438912)*5</f>
        <v>2.6740098242927965</v>
      </c>
    </row>
    <row r="26" spans="1:7" ht="32.25" thickBot="1">
      <c r="A26" s="32" t="s">
        <v>139</v>
      </c>
      <c r="B26" s="40" t="s">
        <v>209</v>
      </c>
      <c r="C26" s="55">
        <f>(561364/438912)*5</f>
        <v>6.39494932925051</v>
      </c>
    </row>
    <row r="27" spans="1:7" ht="32.25" thickBot="1">
      <c r="A27" s="32" t="s">
        <v>135</v>
      </c>
      <c r="B27" s="91" t="s">
        <v>213</v>
      </c>
      <c r="C27" s="55">
        <f>(627676/438912)*5</f>
        <v>7.1503627150772822</v>
      </c>
    </row>
    <row r="28" spans="1:7" ht="32.25" thickBot="1">
      <c r="A28" s="32" t="s">
        <v>184</v>
      </c>
      <c r="B28" s="91" t="s">
        <v>211</v>
      </c>
      <c r="C28" s="55">
        <f>(286606/438912)*5</f>
        <v>3.2649597185768449</v>
      </c>
    </row>
    <row r="29" spans="1:7" ht="54.75" customHeight="1" thickBot="1">
      <c r="A29" s="32" t="s">
        <v>182</v>
      </c>
      <c r="B29" s="35" t="s">
        <v>301</v>
      </c>
      <c r="C29" s="55">
        <f>(157571/438912)*5</f>
        <v>1.7950181357538642</v>
      </c>
    </row>
    <row r="30" spans="1:7" ht="38.25" customHeight="1" thickBot="1">
      <c r="A30" s="32" t="s">
        <v>144</v>
      </c>
      <c r="B30" s="35" t="s">
        <v>202</v>
      </c>
      <c r="C30" s="55">
        <f>(46423/438912)*5</f>
        <v>0.52884177238261887</v>
      </c>
    </row>
    <row r="31" spans="1:7" ht="32.25" thickBot="1">
      <c r="A31" s="32" t="s">
        <v>140</v>
      </c>
      <c r="B31" s="35" t="s">
        <v>212</v>
      </c>
      <c r="C31" s="55">
        <f>(21000/438912)*5</f>
        <v>0.23922790901137359</v>
      </c>
    </row>
    <row r="32" spans="1:7" ht="32.25" thickBot="1">
      <c r="A32" s="32" t="s">
        <v>222</v>
      </c>
      <c r="B32" s="35" t="s">
        <v>223</v>
      </c>
      <c r="C32" s="55">
        <f>3.55*5</f>
        <v>17.75</v>
      </c>
      <c r="G32" s="9"/>
    </row>
    <row r="33" spans="1:6" ht="16.5" thickBot="1">
      <c r="A33" s="32"/>
      <c r="B33" s="33" t="s">
        <v>124</v>
      </c>
      <c r="C33" s="37">
        <f>SUM(C21:C32)</f>
        <v>97.196808954870221</v>
      </c>
    </row>
    <row r="34" spans="1:6" ht="16.5" thickBot="1">
      <c r="A34" s="32"/>
      <c r="B34" s="42" t="s">
        <v>125</v>
      </c>
      <c r="C34" s="37">
        <f>C33+C19</f>
        <v>402.79756502442405</v>
      </c>
    </row>
    <row r="35" spans="1:6">
      <c r="C35" s="9"/>
    </row>
    <row r="36" spans="1:6" ht="16.5" thickBot="1">
      <c r="C36" s="9"/>
    </row>
    <row r="37" spans="1:6" ht="16.5" thickBot="1">
      <c r="A37" s="142" t="s">
        <v>126</v>
      </c>
      <c r="B37" s="143"/>
      <c r="C37" s="43">
        <v>5</v>
      </c>
    </row>
    <row r="38" spans="1:6" ht="16.5" thickBot="1">
      <c r="A38" s="142" t="s">
        <v>127</v>
      </c>
      <c r="B38" s="143"/>
      <c r="C38" s="44">
        <f>C34/C37</f>
        <v>80.559513004884806</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A1:G43"/>
  <sheetViews>
    <sheetView topLeftCell="A4" zoomScaleNormal="100" workbookViewId="0">
      <selection activeCell="B11" sqref="B11"/>
    </sheetView>
  </sheetViews>
  <sheetFormatPr defaultColWidth="8.85546875" defaultRowHeight="15.75"/>
  <cols>
    <col min="1" max="1" width="15.5703125" style="1" customWidth="1"/>
    <col min="2" max="2" width="104"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164</v>
      </c>
      <c r="B4" s="146"/>
      <c r="C4" s="146"/>
    </row>
    <row r="5" spans="1:5">
      <c r="A5" s="146" t="s">
        <v>117</v>
      </c>
      <c r="B5" s="146"/>
      <c r="C5" s="146"/>
    </row>
    <row r="6" spans="1:5" ht="16.5" thickBot="1">
      <c r="A6" s="147" t="s">
        <v>165</v>
      </c>
      <c r="B6" s="147"/>
    </row>
    <row r="7" spans="1:5" ht="92.25" customHeight="1" thickBot="1">
      <c r="A7" s="30" t="s">
        <v>118</v>
      </c>
      <c r="B7" s="31" t="s">
        <v>119</v>
      </c>
      <c r="C7" s="31" t="s">
        <v>120</v>
      </c>
    </row>
    <row r="8" spans="1:5" ht="16.5" thickBot="1">
      <c r="A8" s="47"/>
      <c r="B8" s="48" t="s">
        <v>121</v>
      </c>
      <c r="C8" s="49"/>
    </row>
    <row r="9" spans="1:5" ht="16.5" thickBot="1">
      <c r="A9" s="148" t="s">
        <v>132</v>
      </c>
      <c r="B9" s="88" t="s">
        <v>369</v>
      </c>
      <c r="C9" s="56">
        <f>16.32*126</f>
        <v>2056.3200000000002</v>
      </c>
      <c r="D9" s="9"/>
    </row>
    <row r="10" spans="1:5">
      <c r="A10" s="149"/>
      <c r="B10" s="51" t="s">
        <v>370</v>
      </c>
      <c r="C10" s="57">
        <f>10.04*126</f>
        <v>1265.04</v>
      </c>
    </row>
    <row r="11" spans="1:5">
      <c r="A11" s="152"/>
      <c r="B11" s="53" t="s">
        <v>371</v>
      </c>
      <c r="C11" s="57">
        <f>5.98*126</f>
        <v>753.48</v>
      </c>
    </row>
    <row r="12" spans="1:5" ht="16.5" thickBot="1">
      <c r="A12" s="150"/>
      <c r="B12" s="52" t="s">
        <v>334</v>
      </c>
      <c r="C12" s="58">
        <f>6.87*126</f>
        <v>865.62</v>
      </c>
    </row>
    <row r="13" spans="1:5" ht="18.75" customHeight="1" thickBot="1">
      <c r="A13" s="32" t="s">
        <v>133</v>
      </c>
      <c r="B13" s="91" t="s">
        <v>131</v>
      </c>
      <c r="C13" s="55">
        <f>(C9+C10+C11+C12)*0.2409</f>
        <v>1190.1568139999999</v>
      </c>
    </row>
    <row r="14" spans="1:5" ht="32.25" thickBot="1">
      <c r="A14" s="32" t="s">
        <v>134</v>
      </c>
      <c r="B14" s="35" t="s">
        <v>214</v>
      </c>
      <c r="C14" s="55">
        <f>0.84*126</f>
        <v>105.83999999999999</v>
      </c>
    </row>
    <row r="15" spans="1:5" ht="32.25" thickBot="1">
      <c r="A15" s="32" t="s">
        <v>136</v>
      </c>
      <c r="B15" s="62" t="s">
        <v>227</v>
      </c>
      <c r="C15" s="63">
        <f>((596554/438912)+11.52)*126</f>
        <v>1622.7748392388451</v>
      </c>
    </row>
    <row r="16" spans="1:5" ht="32.25" thickBot="1">
      <c r="A16" s="32" t="s">
        <v>137</v>
      </c>
      <c r="B16" s="91" t="s">
        <v>216</v>
      </c>
      <c r="C16" s="55">
        <f>(452717/438912)*126</f>
        <v>129.96304954068242</v>
      </c>
    </row>
    <row r="17" spans="1:5" ht="32.25" thickBot="1">
      <c r="A17" s="32" t="s">
        <v>139</v>
      </c>
      <c r="B17" s="35" t="s">
        <v>218</v>
      </c>
      <c r="C17" s="55">
        <f>(624380/438912 )*126</f>
        <v>179.24294619422571</v>
      </c>
    </row>
    <row r="18" spans="1:5" ht="32.25" thickBot="1">
      <c r="A18" s="32" t="s">
        <v>217</v>
      </c>
      <c r="B18" s="35" t="s">
        <v>219</v>
      </c>
      <c r="C18" s="55">
        <f>(500471/438912)*126</f>
        <v>143.67195702099738</v>
      </c>
    </row>
    <row r="19" spans="1:5" ht="32.25" thickBot="1">
      <c r="A19" s="32" t="s">
        <v>138</v>
      </c>
      <c r="B19" s="35" t="s">
        <v>231</v>
      </c>
      <c r="C19" s="63">
        <f>ROUND((15/100*50*1.06)*126,2)</f>
        <v>1001.7</v>
      </c>
    </row>
    <row r="20" spans="1:5" ht="16.5" thickBot="1">
      <c r="A20" s="32"/>
      <c r="B20" s="36" t="s">
        <v>122</v>
      </c>
      <c r="C20" s="37">
        <f>SUM(C9:C19)</f>
        <v>9313.8096059947511</v>
      </c>
    </row>
    <row r="21" spans="1:5" ht="16.5" thickBot="1">
      <c r="A21" s="32"/>
      <c r="B21" s="36" t="s">
        <v>123</v>
      </c>
      <c r="C21" s="38"/>
    </row>
    <row r="22" spans="1:5" ht="19.5" customHeight="1" thickBot="1">
      <c r="A22" s="32" t="s">
        <v>141</v>
      </c>
      <c r="B22" s="39" t="s">
        <v>198</v>
      </c>
      <c r="C22" s="55">
        <f>(C9+C10+C11+C12)*0.25</f>
        <v>1235.115</v>
      </c>
    </row>
    <row r="23" spans="1:5" ht="18.75" customHeight="1" thickBot="1">
      <c r="A23" s="32" t="s">
        <v>133</v>
      </c>
      <c r="B23" s="91" t="s">
        <v>131</v>
      </c>
      <c r="C23" s="55">
        <f>C22*0.2409</f>
        <v>297.53920349999999</v>
      </c>
    </row>
    <row r="24" spans="1:5" ht="32.25" thickBot="1">
      <c r="A24" s="32" t="s">
        <v>145</v>
      </c>
      <c r="B24" s="34" t="s">
        <v>208</v>
      </c>
      <c r="C24" s="55">
        <f>(39708/438912)*126</f>
        <v>11.399114173228346</v>
      </c>
      <c r="E24" s="41"/>
    </row>
    <row r="25" spans="1:5" ht="32.25" thickBot="1">
      <c r="A25" s="32" t="s">
        <v>142</v>
      </c>
      <c r="B25" s="35" t="s">
        <v>210</v>
      </c>
      <c r="C25" s="55">
        <f>ROUNDUP((813902/438912)*126,1)</f>
        <v>233.7</v>
      </c>
    </row>
    <row r="26" spans="1:5" ht="32.25" thickBot="1">
      <c r="A26" s="32" t="s">
        <v>143</v>
      </c>
      <c r="B26" s="94" t="s">
        <v>207</v>
      </c>
      <c r="C26" s="55">
        <f>ROUNDUP((234731/438912 )*126,2)</f>
        <v>67.39</v>
      </c>
    </row>
    <row r="27" spans="1:5" ht="32.25" thickBot="1">
      <c r="A27" s="32" t="s">
        <v>139</v>
      </c>
      <c r="B27" s="40" t="s">
        <v>209</v>
      </c>
      <c r="C27" s="55">
        <f>ROUNDUP((561364/438912)*126,1)</f>
        <v>161.19999999999999</v>
      </c>
    </row>
    <row r="28" spans="1:5" ht="32.25" thickBot="1">
      <c r="A28" s="32" t="s">
        <v>135</v>
      </c>
      <c r="B28" s="91" t="s">
        <v>213</v>
      </c>
      <c r="C28" s="55">
        <f>ROUNDUP((627676/438912)*126,2)</f>
        <v>180.19</v>
      </c>
    </row>
    <row r="29" spans="1:5" ht="15.75" customHeight="1" thickBot="1">
      <c r="A29" s="32" t="s">
        <v>184</v>
      </c>
      <c r="B29" s="91" t="s">
        <v>211</v>
      </c>
      <c r="C29" s="55">
        <f>ROUNDUP((286606/438912)*126,1)</f>
        <v>82.3</v>
      </c>
    </row>
    <row r="30" spans="1:5" ht="32.25" thickBot="1">
      <c r="A30" s="32" t="s">
        <v>182</v>
      </c>
      <c r="B30" s="35" t="s">
        <v>220</v>
      </c>
      <c r="C30" s="55">
        <f>ROUNDUP((157571/438912)*126,1)</f>
        <v>45.300000000000004</v>
      </c>
    </row>
    <row r="31" spans="1:5" ht="32.25" thickBot="1">
      <c r="A31" s="32" t="s">
        <v>144</v>
      </c>
      <c r="B31" s="35" t="s">
        <v>202</v>
      </c>
      <c r="C31" s="55">
        <f>ROUNDUP((46423/438912)*126,1)</f>
        <v>13.4</v>
      </c>
    </row>
    <row r="32" spans="1:5" ht="32.25" thickBot="1">
      <c r="A32" s="32" t="s">
        <v>140</v>
      </c>
      <c r="B32" s="35" t="s">
        <v>212</v>
      </c>
      <c r="C32" s="55">
        <f>ROUNDUP((21000/438912)*126,1)</f>
        <v>6.1</v>
      </c>
    </row>
    <row r="33" spans="1:7" ht="32.25" thickBot="1">
      <c r="A33" s="32" t="s">
        <v>222</v>
      </c>
      <c r="B33" s="35" t="s">
        <v>223</v>
      </c>
      <c r="C33" s="55">
        <f>3.55*126</f>
        <v>447.29999999999995</v>
      </c>
      <c r="G33" s="9"/>
    </row>
    <row r="34" spans="1:7" ht="16.5" thickBot="1">
      <c r="A34" s="32"/>
      <c r="B34" s="33" t="s">
        <v>124</v>
      </c>
      <c r="C34" s="37">
        <f>SUM(C22:C33)</f>
        <v>2780.9333176732289</v>
      </c>
    </row>
    <row r="35" spans="1:7" ht="16.5" thickBot="1">
      <c r="A35" s="32"/>
      <c r="B35" s="42" t="s">
        <v>125</v>
      </c>
      <c r="C35" s="37">
        <f>C34+C20</f>
        <v>12094.74292366798</v>
      </c>
    </row>
    <row r="36" spans="1:7">
      <c r="C36" s="9"/>
    </row>
    <row r="37" spans="1:7" ht="16.5" thickBot="1">
      <c r="C37" s="9"/>
    </row>
    <row r="38" spans="1:7" ht="16.5" thickBot="1">
      <c r="A38" s="142" t="s">
        <v>126</v>
      </c>
      <c r="B38" s="143"/>
      <c r="C38" s="43">
        <v>126</v>
      </c>
    </row>
    <row r="39" spans="1:7" ht="16.5" thickBot="1">
      <c r="A39" s="142" t="s">
        <v>127</v>
      </c>
      <c r="B39" s="143"/>
      <c r="C39" s="44">
        <f>C35/C38</f>
        <v>95.990023203714131</v>
      </c>
    </row>
    <row r="41" spans="1:7">
      <c r="A41" s="13"/>
      <c r="B41" s="13"/>
      <c r="C41" s="61"/>
      <c r="D41" s="13"/>
      <c r="E41" s="13"/>
      <c r="F41" s="13"/>
    </row>
    <row r="42" spans="1:7">
      <c r="A42" s="144"/>
      <c r="B42" s="144"/>
      <c r="C42" s="45"/>
      <c r="D42" s="45"/>
      <c r="E42" s="45"/>
      <c r="F42" s="45"/>
    </row>
    <row r="43" spans="1:7" ht="18.75" hidden="1">
      <c r="A43" s="145"/>
      <c r="B43" s="145"/>
      <c r="C43" s="46"/>
      <c r="D43" s="46"/>
      <c r="E43" s="13"/>
      <c r="F43" s="13"/>
    </row>
  </sheetData>
  <mergeCells count="10">
    <mergeCell ref="A38:B38"/>
    <mergeCell ref="A39:B39"/>
    <mergeCell ref="A42:B42"/>
    <mergeCell ref="A43:B43"/>
    <mergeCell ref="A1:C1"/>
    <mergeCell ref="A3:C3"/>
    <mergeCell ref="A4:C4"/>
    <mergeCell ref="A5:C5"/>
    <mergeCell ref="A6:B6"/>
    <mergeCell ref="A9:A12"/>
  </mergeCells>
  <pageMargins left="0.7" right="0.7" top="0.75" bottom="0.75" header="0.3" footer="0.3"/>
  <pageSetup paperSize="9" scale="63"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sheetPr>
  <dimension ref="A1:G37"/>
  <sheetViews>
    <sheetView zoomScaleNormal="100" workbookViewId="0">
      <selection activeCell="B9" sqref="B9"/>
    </sheetView>
  </sheetViews>
  <sheetFormatPr defaultColWidth="8.85546875" defaultRowHeight="15.75"/>
  <cols>
    <col min="1" max="1" width="15.28515625" style="1" customWidth="1"/>
    <col min="2" max="2" width="94.8554687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4.5" customHeight="1">
      <c r="A4" s="146" t="s">
        <v>166</v>
      </c>
      <c r="B4" s="146"/>
      <c r="C4" s="146"/>
    </row>
    <row r="5" spans="1:5">
      <c r="A5" s="146" t="s">
        <v>117</v>
      </c>
      <c r="B5" s="146"/>
      <c r="C5" s="146"/>
    </row>
    <row r="6" spans="1:5" ht="16.5" thickBot="1">
      <c r="A6" s="147" t="s">
        <v>155</v>
      </c>
      <c r="B6" s="147"/>
    </row>
    <row r="7" spans="1:5" ht="93" customHeight="1" thickBot="1">
      <c r="A7" s="30" t="s">
        <v>118</v>
      </c>
      <c r="B7" s="31" t="s">
        <v>119</v>
      </c>
      <c r="C7" s="31" t="s">
        <v>120</v>
      </c>
    </row>
    <row r="8" spans="1:5" ht="16.5" thickBot="1">
      <c r="A8" s="47"/>
      <c r="B8" s="48" t="s">
        <v>121</v>
      </c>
      <c r="C8" s="49"/>
    </row>
    <row r="9" spans="1:5">
      <c r="A9" s="50" t="s">
        <v>132</v>
      </c>
      <c r="B9" s="88" t="s">
        <v>372</v>
      </c>
      <c r="C9" s="56">
        <f>17.91*4</f>
        <v>71.64</v>
      </c>
      <c r="D9" s="9"/>
    </row>
    <row r="10" spans="1:5" ht="32.25" thickBot="1">
      <c r="A10" s="32" t="s">
        <v>133</v>
      </c>
      <c r="B10" s="91" t="s">
        <v>131</v>
      </c>
      <c r="C10" s="55">
        <f>C9*0.2409</f>
        <v>17.258075999999999</v>
      </c>
    </row>
    <row r="11" spans="1:5" ht="32.25" thickBot="1">
      <c r="A11" s="32" t="s">
        <v>134</v>
      </c>
      <c r="B11" s="35" t="s">
        <v>214</v>
      </c>
      <c r="C11" s="55">
        <f>0.84*4</f>
        <v>3.36</v>
      </c>
    </row>
    <row r="12" spans="1:5" ht="32.25" thickBot="1">
      <c r="A12" s="32" t="s">
        <v>136</v>
      </c>
      <c r="B12" s="62" t="s">
        <v>227</v>
      </c>
      <c r="C12" s="63">
        <f>(1.36+11.52)*4</f>
        <v>51.519999999999996</v>
      </c>
    </row>
    <row r="13" spans="1:5" ht="32.25" thickBot="1">
      <c r="A13" s="32" t="s">
        <v>137</v>
      </c>
      <c r="B13" s="91" t="s">
        <v>216</v>
      </c>
      <c r="C13" s="55">
        <f>1.03*4</f>
        <v>4.12</v>
      </c>
    </row>
    <row r="14" spans="1:5" ht="16.5" thickBot="1">
      <c r="A14" s="32"/>
      <c r="B14" s="36" t="s">
        <v>122</v>
      </c>
      <c r="C14" s="37">
        <f>SUM(C9:C13)</f>
        <v>147.898076</v>
      </c>
    </row>
    <row r="15" spans="1:5" ht="16.5" thickBot="1">
      <c r="A15" s="32"/>
      <c r="B15" s="36" t="s">
        <v>123</v>
      </c>
      <c r="C15" s="38"/>
    </row>
    <row r="16" spans="1:5" ht="32.25" thickBot="1">
      <c r="A16" s="32" t="s">
        <v>141</v>
      </c>
      <c r="B16" s="39" t="s">
        <v>199</v>
      </c>
      <c r="C16" s="55">
        <f>C9*0.1</f>
        <v>7.1640000000000006</v>
      </c>
    </row>
    <row r="17" spans="1:7" ht="32.25" thickBot="1">
      <c r="A17" s="32" t="s">
        <v>133</v>
      </c>
      <c r="B17" s="35" t="s">
        <v>131</v>
      </c>
      <c r="C17" s="55">
        <f>C16*0.2409</f>
        <v>1.7258076000000002</v>
      </c>
    </row>
    <row r="18" spans="1:7" ht="32.25" thickBot="1">
      <c r="A18" s="32" t="s">
        <v>145</v>
      </c>
      <c r="B18" s="34" t="s">
        <v>208</v>
      </c>
      <c r="C18" s="55">
        <f>ROUND((39708/438912)*4,2)</f>
        <v>0.36</v>
      </c>
      <c r="E18" s="41"/>
    </row>
    <row r="19" spans="1:7" ht="32.25" thickBot="1">
      <c r="A19" s="32" t="s">
        <v>142</v>
      </c>
      <c r="B19" s="35" t="s">
        <v>210</v>
      </c>
      <c r="C19" s="55">
        <f>1.85*4</f>
        <v>7.4</v>
      </c>
    </row>
    <row r="20" spans="1:7" ht="32.25" thickBot="1">
      <c r="A20" s="32" t="s">
        <v>143</v>
      </c>
      <c r="B20" s="94" t="s">
        <v>207</v>
      </c>
      <c r="C20" s="55">
        <f>ROUND((234731/438912)*4,2)</f>
        <v>2.14</v>
      </c>
    </row>
    <row r="21" spans="1:7" ht="32.25" thickBot="1">
      <c r="A21" s="32" t="s">
        <v>139</v>
      </c>
      <c r="B21" s="40" t="s">
        <v>209</v>
      </c>
      <c r="C21" s="55">
        <f>1.28*4</f>
        <v>5.12</v>
      </c>
    </row>
    <row r="22" spans="1:7" ht="32.25" thickBot="1">
      <c r="A22" s="32" t="s">
        <v>135</v>
      </c>
      <c r="B22" s="91" t="s">
        <v>213</v>
      </c>
      <c r="C22" s="55">
        <f>1.43*4</f>
        <v>5.72</v>
      </c>
    </row>
    <row r="23" spans="1:7" ht="32.25" thickBot="1">
      <c r="A23" s="32" t="s">
        <v>184</v>
      </c>
      <c r="B23" s="91" t="s">
        <v>211</v>
      </c>
      <c r="C23" s="55">
        <f>0.65*4</f>
        <v>2.6</v>
      </c>
    </row>
    <row r="24" spans="1:7" ht="32.25" thickBot="1">
      <c r="A24" s="32" t="s">
        <v>182</v>
      </c>
      <c r="B24" s="35" t="s">
        <v>220</v>
      </c>
      <c r="C24" s="55">
        <f>(157571/438912)*4</f>
        <v>1.4360145086030913</v>
      </c>
    </row>
    <row r="25" spans="1:7" ht="32.25" thickBot="1">
      <c r="A25" s="32" t="s">
        <v>144</v>
      </c>
      <c r="B25" s="35" t="s">
        <v>202</v>
      </c>
      <c r="C25" s="55">
        <f>0.11*4</f>
        <v>0.44</v>
      </c>
    </row>
    <row r="26" spans="1:7" ht="32.25" thickBot="1">
      <c r="A26" s="32" t="s">
        <v>140</v>
      </c>
      <c r="B26" s="35" t="s">
        <v>212</v>
      </c>
      <c r="C26" s="55">
        <f>0.05*4</f>
        <v>0.2</v>
      </c>
    </row>
    <row r="27" spans="1:7" ht="19.5" customHeight="1" thickBot="1">
      <c r="A27" s="32" t="s">
        <v>222</v>
      </c>
      <c r="B27" s="91" t="s">
        <v>194</v>
      </c>
      <c r="C27" s="55">
        <f>0.5*4</f>
        <v>2</v>
      </c>
      <c r="G27" s="9"/>
    </row>
    <row r="28" spans="1:7" ht="16.5" thickBot="1">
      <c r="A28" s="32"/>
      <c r="B28" s="33" t="s">
        <v>124</v>
      </c>
      <c r="C28" s="37">
        <f>SUM(C16:C27)</f>
        <v>36.305822108603095</v>
      </c>
    </row>
    <row r="29" spans="1:7" ht="16.5" thickBot="1">
      <c r="A29" s="32"/>
      <c r="B29" s="42" t="s">
        <v>125</v>
      </c>
      <c r="C29" s="37">
        <f>C28+C14</f>
        <v>184.20389810860308</v>
      </c>
    </row>
    <row r="30" spans="1:7">
      <c r="C30" s="9"/>
    </row>
    <row r="31" spans="1:7" ht="16.5" thickBot="1">
      <c r="C31" s="9"/>
    </row>
    <row r="32" spans="1:7" ht="16.5" thickBot="1">
      <c r="A32" s="142" t="s">
        <v>126</v>
      </c>
      <c r="B32" s="143"/>
      <c r="C32" s="43">
        <v>4</v>
      </c>
    </row>
    <row r="33" spans="1:6" ht="16.5" thickBot="1">
      <c r="A33" s="142" t="s">
        <v>127</v>
      </c>
      <c r="B33" s="143"/>
      <c r="C33" s="44">
        <f>C29/C32</f>
        <v>46.050974527150771</v>
      </c>
    </row>
    <row r="35" spans="1:6">
      <c r="A35" s="13"/>
      <c r="B35" s="13"/>
      <c r="C35" s="61"/>
      <c r="D35" s="13"/>
      <c r="E35" s="13"/>
      <c r="F35" s="13"/>
    </row>
    <row r="36" spans="1:6">
      <c r="A36" s="144"/>
      <c r="B36" s="144"/>
      <c r="C36" s="45"/>
      <c r="D36" s="45"/>
      <c r="E36" s="45"/>
      <c r="F36" s="45"/>
    </row>
    <row r="37" spans="1:6" ht="18.75">
      <c r="A37" s="145"/>
      <c r="B37" s="145"/>
      <c r="C37" s="46"/>
      <c r="D37" s="46"/>
      <c r="E37" s="13"/>
      <c r="F37" s="13"/>
    </row>
  </sheetData>
  <mergeCells count="9">
    <mergeCell ref="A32:B32"/>
    <mergeCell ref="A33:B33"/>
    <mergeCell ref="A36:B36"/>
    <mergeCell ref="A37:B37"/>
    <mergeCell ref="A1:C1"/>
    <mergeCell ref="A3:C3"/>
    <mergeCell ref="A4:C4"/>
    <mergeCell ref="A5:C5"/>
    <mergeCell ref="A6:B6"/>
  </mergeCells>
  <pageMargins left="0.7" right="0.7" top="0.75" bottom="0.75" header="0.3" footer="0.3"/>
  <pageSetup paperSize="9" scale="68"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sheetPr>
  <dimension ref="A1:G37"/>
  <sheetViews>
    <sheetView zoomScaleNormal="100" workbookViewId="0">
      <selection activeCell="B9" sqref="B9"/>
    </sheetView>
  </sheetViews>
  <sheetFormatPr defaultColWidth="8.85546875" defaultRowHeight="15.75"/>
  <cols>
    <col min="1" max="1" width="13.85546875" style="1" customWidth="1"/>
    <col min="2" max="2" width="100"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281</v>
      </c>
      <c r="B4" s="146"/>
      <c r="C4" s="146"/>
    </row>
    <row r="5" spans="1:5">
      <c r="A5" s="146" t="s">
        <v>117</v>
      </c>
      <c r="B5" s="146"/>
      <c r="C5" s="146"/>
    </row>
    <row r="6" spans="1:5" ht="16.5" thickBot="1">
      <c r="A6" s="147" t="s">
        <v>309</v>
      </c>
      <c r="B6" s="147"/>
    </row>
    <row r="7" spans="1:5" ht="85.5" customHeight="1" thickBot="1">
      <c r="A7" s="30" t="s">
        <v>118</v>
      </c>
      <c r="B7" s="31" t="s">
        <v>119</v>
      </c>
      <c r="C7" s="31" t="s">
        <v>120</v>
      </c>
    </row>
    <row r="8" spans="1:5" ht="16.5" thickBot="1">
      <c r="A8" s="47"/>
      <c r="B8" s="48" t="s">
        <v>121</v>
      </c>
      <c r="C8" s="49"/>
    </row>
    <row r="9" spans="1:5">
      <c r="A9" s="50" t="s">
        <v>132</v>
      </c>
      <c r="B9" s="51" t="s">
        <v>373</v>
      </c>
      <c r="C9" s="56">
        <f>17.21*40</f>
        <v>688.40000000000009</v>
      </c>
      <c r="D9" s="9"/>
    </row>
    <row r="10" spans="1:5" ht="32.25" thickBot="1">
      <c r="A10" s="32" t="s">
        <v>133</v>
      </c>
      <c r="B10" s="91" t="s">
        <v>131</v>
      </c>
      <c r="C10" s="55">
        <f>C9*0.2409</f>
        <v>165.83556000000002</v>
      </c>
    </row>
    <row r="11" spans="1:5" ht="32.25" thickBot="1">
      <c r="A11" s="32" t="s">
        <v>134</v>
      </c>
      <c r="B11" s="35" t="s">
        <v>214</v>
      </c>
      <c r="C11" s="55">
        <f>ROUND((367899/438912)*40,2)</f>
        <v>33.53</v>
      </c>
    </row>
    <row r="12" spans="1:5" ht="32.25" thickBot="1">
      <c r="A12" s="32" t="s">
        <v>136</v>
      </c>
      <c r="B12" s="62" t="s">
        <v>230</v>
      </c>
      <c r="C12" s="63">
        <f>(1.36+9.22)*40</f>
        <v>423.2</v>
      </c>
    </row>
    <row r="13" spans="1:5" ht="32.25" thickBot="1">
      <c r="A13" s="32" t="s">
        <v>137</v>
      </c>
      <c r="B13" s="91" t="s">
        <v>216</v>
      </c>
      <c r="C13" s="55">
        <f>ROUND((452717/438912)*40,2)</f>
        <v>41.26</v>
      </c>
    </row>
    <row r="14" spans="1:5" ht="16.5" thickBot="1">
      <c r="A14" s="32"/>
      <c r="B14" s="36" t="s">
        <v>122</v>
      </c>
      <c r="C14" s="37">
        <f>SUM(C9:C13)</f>
        <v>1352.2255600000001</v>
      </c>
    </row>
    <row r="15" spans="1:5" ht="16.5" thickBot="1">
      <c r="A15" s="32"/>
      <c r="B15" s="36" t="s">
        <v>123</v>
      </c>
      <c r="C15" s="38"/>
    </row>
    <row r="16" spans="1:5" ht="32.25" thickBot="1">
      <c r="A16" s="32" t="s">
        <v>141</v>
      </c>
      <c r="B16" s="39" t="s">
        <v>199</v>
      </c>
      <c r="C16" s="55">
        <f>C9*0.1</f>
        <v>68.840000000000018</v>
      </c>
    </row>
    <row r="17" spans="1:7" ht="32.25" thickBot="1">
      <c r="A17" s="32" t="s">
        <v>133</v>
      </c>
      <c r="B17" s="91" t="s">
        <v>131</v>
      </c>
      <c r="C17" s="55">
        <f>C16*0.2409</f>
        <v>16.583556000000005</v>
      </c>
    </row>
    <row r="18" spans="1:7" ht="32.25" thickBot="1">
      <c r="A18" s="32" t="s">
        <v>145</v>
      </c>
      <c r="B18" s="34" t="s">
        <v>208</v>
      </c>
      <c r="C18" s="55">
        <f>ROUND((39708/438912)*40,1)</f>
        <v>3.6</v>
      </c>
      <c r="E18" s="41"/>
    </row>
    <row r="19" spans="1:7" ht="32.25" thickBot="1">
      <c r="A19" s="32" t="s">
        <v>142</v>
      </c>
      <c r="B19" s="35" t="s">
        <v>210</v>
      </c>
      <c r="C19" s="55">
        <f>ROUND((813902/438912)*40,2)</f>
        <v>74.17</v>
      </c>
    </row>
    <row r="20" spans="1:7" ht="32.25" thickBot="1">
      <c r="A20" s="32" t="s">
        <v>143</v>
      </c>
      <c r="B20" s="94" t="s">
        <v>203</v>
      </c>
      <c r="C20" s="55">
        <f>0.53*40</f>
        <v>21.200000000000003</v>
      </c>
    </row>
    <row r="21" spans="1:7" ht="32.25" thickBot="1">
      <c r="A21" s="32" t="s">
        <v>139</v>
      </c>
      <c r="B21" s="40" t="s">
        <v>209</v>
      </c>
      <c r="C21" s="55">
        <f>ROUND((561364/438912)*40,2)</f>
        <v>51.16</v>
      </c>
    </row>
    <row r="22" spans="1:7" ht="32.25" thickBot="1">
      <c r="A22" s="32" t="s">
        <v>135</v>
      </c>
      <c r="B22" s="91" t="s">
        <v>213</v>
      </c>
      <c r="C22" s="55">
        <f>1.43*40</f>
        <v>57.199999999999996</v>
      </c>
    </row>
    <row r="23" spans="1:7" ht="32.25" thickBot="1">
      <c r="A23" s="32" t="s">
        <v>184</v>
      </c>
      <c r="B23" s="91" t="s">
        <v>211</v>
      </c>
      <c r="C23" s="55">
        <f>ROUND((286606/438912)*40,2)</f>
        <v>26.12</v>
      </c>
    </row>
    <row r="24" spans="1:7" ht="32.25" thickBot="1">
      <c r="A24" s="32" t="s">
        <v>182</v>
      </c>
      <c r="B24" s="35" t="s">
        <v>301</v>
      </c>
      <c r="C24" s="55">
        <f>ROUND((157571/438912)*40,2)</f>
        <v>14.36</v>
      </c>
    </row>
    <row r="25" spans="1:7" ht="32.25" thickBot="1">
      <c r="A25" s="32" t="s">
        <v>144</v>
      </c>
      <c r="B25" s="35" t="s">
        <v>202</v>
      </c>
      <c r="C25" s="55">
        <f>ROUND((46423/438912)*40,2)</f>
        <v>4.2300000000000004</v>
      </c>
    </row>
    <row r="26" spans="1:7" ht="32.25" thickBot="1">
      <c r="A26" s="32" t="s">
        <v>140</v>
      </c>
      <c r="B26" s="35" t="s">
        <v>212</v>
      </c>
      <c r="C26" s="55">
        <f>ROUND((21000/438912)*40,2)</f>
        <v>1.91</v>
      </c>
    </row>
    <row r="27" spans="1:7" ht="16.5" thickBot="1">
      <c r="A27" s="32" t="s">
        <v>222</v>
      </c>
      <c r="B27" s="35" t="s">
        <v>194</v>
      </c>
      <c r="C27" s="55">
        <f>0.5*40</f>
        <v>20</v>
      </c>
      <c r="G27" s="9"/>
    </row>
    <row r="28" spans="1:7" ht="16.5" thickBot="1">
      <c r="A28" s="32"/>
      <c r="B28" s="33" t="s">
        <v>124</v>
      </c>
      <c r="C28" s="37">
        <f>SUM(C16:C27)</f>
        <v>359.37355600000006</v>
      </c>
    </row>
    <row r="29" spans="1:7" ht="16.5" thickBot="1">
      <c r="A29" s="32"/>
      <c r="B29" s="42" t="s">
        <v>125</v>
      </c>
      <c r="C29" s="37">
        <f>C28+C14</f>
        <v>1711.5991160000001</v>
      </c>
    </row>
    <row r="30" spans="1:7">
      <c r="C30" s="9"/>
    </row>
    <row r="31" spans="1:7" ht="16.5" thickBot="1">
      <c r="C31" s="9"/>
    </row>
    <row r="32" spans="1:7" ht="16.5" thickBot="1">
      <c r="A32" s="142" t="s">
        <v>126</v>
      </c>
      <c r="B32" s="143"/>
      <c r="C32" s="43">
        <v>40</v>
      </c>
    </row>
    <row r="33" spans="1:6" ht="16.5" thickBot="1">
      <c r="A33" s="142" t="s">
        <v>127</v>
      </c>
      <c r="B33" s="143"/>
      <c r="C33" s="44">
        <f>C29/C32</f>
        <v>42.789977900000004</v>
      </c>
    </row>
    <row r="35" spans="1:6">
      <c r="A35" s="13"/>
      <c r="B35" s="13"/>
      <c r="C35" s="61"/>
      <c r="D35" s="13"/>
      <c r="E35" s="13"/>
      <c r="F35" s="13"/>
    </row>
    <row r="36" spans="1:6">
      <c r="A36" s="144"/>
      <c r="B36" s="144"/>
      <c r="C36" s="45"/>
      <c r="D36" s="45"/>
      <c r="E36" s="45"/>
      <c r="F36" s="45"/>
    </row>
    <row r="37" spans="1:6" ht="18.75">
      <c r="A37" s="145"/>
      <c r="B37" s="145"/>
      <c r="C37" s="46"/>
      <c r="D37" s="46"/>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sheetPr>
  <dimension ref="A1:G37"/>
  <sheetViews>
    <sheetView zoomScaleNormal="100" workbookViewId="0">
      <selection activeCell="B9" sqref="B9"/>
    </sheetView>
  </sheetViews>
  <sheetFormatPr defaultColWidth="8.85546875" defaultRowHeight="15.75"/>
  <cols>
    <col min="1" max="1" width="15.28515625" style="1" customWidth="1"/>
    <col min="2" max="2" width="98"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282</v>
      </c>
      <c r="B4" s="146"/>
      <c r="C4" s="146"/>
    </row>
    <row r="5" spans="1:5">
      <c r="A5" s="146" t="s">
        <v>117</v>
      </c>
      <c r="B5" s="146"/>
      <c r="C5" s="146"/>
    </row>
    <row r="6" spans="1:5" ht="16.5" thickBot="1">
      <c r="A6" s="147" t="s">
        <v>155</v>
      </c>
      <c r="B6" s="147"/>
    </row>
    <row r="7" spans="1:5" ht="87" customHeight="1" thickBot="1">
      <c r="A7" s="30" t="s">
        <v>118</v>
      </c>
      <c r="B7" s="31" t="s">
        <v>119</v>
      </c>
      <c r="C7" s="31" t="s">
        <v>120</v>
      </c>
    </row>
    <row r="8" spans="1:5" ht="16.5" thickBot="1">
      <c r="A8" s="47"/>
      <c r="B8" s="48" t="s">
        <v>121</v>
      </c>
      <c r="C8" s="49"/>
    </row>
    <row r="9" spans="1:5">
      <c r="A9" s="50" t="s">
        <v>132</v>
      </c>
      <c r="B9" s="51" t="s">
        <v>374</v>
      </c>
      <c r="C9" s="56">
        <f>15.81*4</f>
        <v>63.24</v>
      </c>
      <c r="D9" s="9"/>
    </row>
    <row r="10" spans="1:5" ht="32.25" thickBot="1">
      <c r="A10" s="32" t="s">
        <v>133</v>
      </c>
      <c r="B10" s="91" t="s">
        <v>131</v>
      </c>
      <c r="C10" s="55">
        <f>C9*0.2409</f>
        <v>15.234516000000001</v>
      </c>
    </row>
    <row r="11" spans="1:5" ht="32.25" thickBot="1">
      <c r="A11" s="32" t="s">
        <v>134</v>
      </c>
      <c r="B11" s="35" t="s">
        <v>214</v>
      </c>
      <c r="C11" s="55">
        <f>0.84*4</f>
        <v>3.36</v>
      </c>
    </row>
    <row r="12" spans="1:5" ht="32.25" thickBot="1">
      <c r="A12" s="32" t="s">
        <v>136</v>
      </c>
      <c r="B12" s="62" t="s">
        <v>228</v>
      </c>
      <c r="C12" s="63">
        <f>(1.36+6.91)*4</f>
        <v>33.08</v>
      </c>
    </row>
    <row r="13" spans="1:5" ht="32.25" thickBot="1">
      <c r="A13" s="32" t="s">
        <v>137</v>
      </c>
      <c r="B13" s="91" t="s">
        <v>216</v>
      </c>
      <c r="C13" s="55">
        <f>1.03*4</f>
        <v>4.12</v>
      </c>
    </row>
    <row r="14" spans="1:5" ht="16.5" thickBot="1">
      <c r="A14" s="32"/>
      <c r="B14" s="36" t="s">
        <v>122</v>
      </c>
      <c r="C14" s="37">
        <f>SUM(C9:C13)</f>
        <v>119.03451600000001</v>
      </c>
    </row>
    <row r="15" spans="1:5" ht="16.5" thickBot="1">
      <c r="A15" s="32"/>
      <c r="B15" s="36" t="s">
        <v>123</v>
      </c>
      <c r="C15" s="38"/>
    </row>
    <row r="16" spans="1:5" ht="32.25" thickBot="1">
      <c r="A16" s="32" t="s">
        <v>141</v>
      </c>
      <c r="B16" s="39" t="s">
        <v>199</v>
      </c>
      <c r="C16" s="55">
        <f>C9*0.1</f>
        <v>6.3240000000000007</v>
      </c>
    </row>
    <row r="17" spans="1:7" ht="32.25" thickBot="1">
      <c r="A17" s="32" t="s">
        <v>133</v>
      </c>
      <c r="B17" s="91" t="s">
        <v>131</v>
      </c>
      <c r="C17" s="55">
        <f>C16*0.2409</f>
        <v>1.5234516000000002</v>
      </c>
    </row>
    <row r="18" spans="1:7" ht="32.25" thickBot="1">
      <c r="A18" s="32" t="s">
        <v>145</v>
      </c>
      <c r="B18" s="34" t="s">
        <v>208</v>
      </c>
      <c r="C18" s="55">
        <f>0.09*4</f>
        <v>0.36</v>
      </c>
      <c r="E18" s="41"/>
    </row>
    <row r="19" spans="1:7" ht="32.25" thickBot="1">
      <c r="A19" s="32" t="s">
        <v>142</v>
      </c>
      <c r="B19" s="35" t="s">
        <v>210</v>
      </c>
      <c r="C19" s="55">
        <f>1.85*4</f>
        <v>7.4</v>
      </c>
    </row>
    <row r="20" spans="1:7" ht="32.25" thickBot="1">
      <c r="A20" s="32" t="s">
        <v>143</v>
      </c>
      <c r="B20" s="94" t="s">
        <v>207</v>
      </c>
      <c r="C20" s="55">
        <f>0.53*4</f>
        <v>2.12</v>
      </c>
    </row>
    <row r="21" spans="1:7" ht="32.25" thickBot="1">
      <c r="A21" s="32" t="s">
        <v>139</v>
      </c>
      <c r="B21" s="40" t="s">
        <v>209</v>
      </c>
      <c r="C21" s="55">
        <f>1.28*4</f>
        <v>5.12</v>
      </c>
    </row>
    <row r="22" spans="1:7" ht="32.25" thickBot="1">
      <c r="A22" s="32" t="s">
        <v>135</v>
      </c>
      <c r="B22" s="91" t="s">
        <v>213</v>
      </c>
      <c r="C22" s="55">
        <f>1.43*4</f>
        <v>5.72</v>
      </c>
    </row>
    <row r="23" spans="1:7" ht="32.25" thickBot="1">
      <c r="A23" s="32" t="s">
        <v>184</v>
      </c>
      <c r="B23" s="35" t="s">
        <v>211</v>
      </c>
      <c r="C23" s="55">
        <f>0.65*4</f>
        <v>2.6</v>
      </c>
    </row>
    <row r="24" spans="1:7" ht="32.25" thickBot="1">
      <c r="A24" s="32" t="s">
        <v>182</v>
      </c>
      <c r="B24" s="35" t="s">
        <v>220</v>
      </c>
      <c r="C24" s="55">
        <f>0.36*4</f>
        <v>1.44</v>
      </c>
    </row>
    <row r="25" spans="1:7" ht="32.25" thickBot="1">
      <c r="A25" s="32" t="s">
        <v>144</v>
      </c>
      <c r="B25" s="35" t="s">
        <v>202</v>
      </c>
      <c r="C25" s="55">
        <f>0.11*4</f>
        <v>0.44</v>
      </c>
    </row>
    <row r="26" spans="1:7" ht="32.25" thickBot="1">
      <c r="A26" s="32" t="s">
        <v>140</v>
      </c>
      <c r="B26" s="35" t="s">
        <v>212</v>
      </c>
      <c r="C26" s="55">
        <f>0.05*4</f>
        <v>0.2</v>
      </c>
    </row>
    <row r="27" spans="1:7" ht="16.5" thickBot="1">
      <c r="A27" s="32" t="s">
        <v>222</v>
      </c>
      <c r="B27" s="35" t="s">
        <v>194</v>
      </c>
      <c r="C27" s="55">
        <f>0.5*4</f>
        <v>2</v>
      </c>
      <c r="G27" s="9"/>
    </row>
    <row r="28" spans="1:7" ht="16.5" thickBot="1">
      <c r="A28" s="32"/>
      <c r="B28" s="33" t="s">
        <v>124</v>
      </c>
      <c r="C28" s="37">
        <f>SUM(C16:C27)</f>
        <v>35.247451600000005</v>
      </c>
    </row>
    <row r="29" spans="1:7" ht="16.5" thickBot="1">
      <c r="A29" s="32"/>
      <c r="B29" s="42" t="s">
        <v>125</v>
      </c>
      <c r="C29" s="37">
        <f>C28+C14</f>
        <v>154.28196760000003</v>
      </c>
    </row>
    <row r="30" spans="1:7">
      <c r="C30" s="9"/>
    </row>
    <row r="31" spans="1:7" ht="16.5" thickBot="1">
      <c r="C31" s="9"/>
    </row>
    <row r="32" spans="1:7" ht="16.5" thickBot="1">
      <c r="A32" s="142" t="s">
        <v>126</v>
      </c>
      <c r="B32" s="143"/>
      <c r="C32" s="43">
        <v>4</v>
      </c>
    </row>
    <row r="33" spans="1:6" ht="16.5" thickBot="1">
      <c r="A33" s="142" t="s">
        <v>127</v>
      </c>
      <c r="B33" s="143"/>
      <c r="C33" s="44">
        <f>C29/C32</f>
        <v>38.570491900000007</v>
      </c>
    </row>
    <row r="35" spans="1:6">
      <c r="A35" s="13"/>
      <c r="B35" s="13"/>
      <c r="C35" s="61"/>
      <c r="D35" s="13"/>
      <c r="E35" s="13"/>
      <c r="F35" s="13"/>
    </row>
    <row r="36" spans="1:6">
      <c r="A36" s="144"/>
      <c r="B36" s="144"/>
      <c r="C36" s="45"/>
      <c r="D36" s="45"/>
      <c r="E36" s="45"/>
      <c r="F36" s="45"/>
    </row>
    <row r="37" spans="1:6" ht="18.75">
      <c r="A37" s="145"/>
      <c r="B37" s="145"/>
      <c r="C37" s="46"/>
      <c r="D37" s="46"/>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
  <sheetViews>
    <sheetView zoomScaleNormal="100" workbookViewId="0">
      <selection activeCell="B9" sqref="B9"/>
    </sheetView>
  </sheetViews>
  <sheetFormatPr defaultColWidth="8.85546875" defaultRowHeight="15.75"/>
  <cols>
    <col min="1" max="1" width="15.5703125" style="1" customWidth="1"/>
    <col min="2" max="2" width="91.42578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129</v>
      </c>
      <c r="B4" s="146"/>
      <c r="C4" s="146"/>
    </row>
    <row r="5" spans="1:5">
      <c r="A5" s="146" t="s">
        <v>117</v>
      </c>
      <c r="B5" s="146"/>
      <c r="C5" s="146"/>
    </row>
    <row r="6" spans="1:5" ht="16.5" thickBot="1">
      <c r="A6" s="147" t="s">
        <v>130</v>
      </c>
      <c r="B6" s="147"/>
    </row>
    <row r="7" spans="1:5" ht="79.5" thickBot="1">
      <c r="A7" s="30" t="s">
        <v>118</v>
      </c>
      <c r="B7" s="31" t="s">
        <v>119</v>
      </c>
      <c r="C7" s="31" t="s">
        <v>120</v>
      </c>
    </row>
    <row r="8" spans="1:5" ht="16.5" thickBot="1">
      <c r="A8" s="47"/>
      <c r="B8" s="48" t="s">
        <v>121</v>
      </c>
      <c r="C8" s="49"/>
    </row>
    <row r="9" spans="1:5" ht="31.5">
      <c r="A9" s="148" t="s">
        <v>132</v>
      </c>
      <c r="B9" s="88" t="s">
        <v>333</v>
      </c>
      <c r="C9" s="56">
        <f>((10.32+6.64)/2)*204</f>
        <v>1729.92</v>
      </c>
      <c r="D9" s="9"/>
    </row>
    <row r="10" spans="1:5">
      <c r="A10" s="149"/>
      <c r="B10" s="89" t="s">
        <v>338</v>
      </c>
      <c r="C10" s="57">
        <f>6.64*204</f>
        <v>1354.56</v>
      </c>
    </row>
    <row r="11" spans="1:5" ht="16.5" thickBot="1">
      <c r="A11" s="150"/>
      <c r="B11" s="90" t="s">
        <v>337</v>
      </c>
      <c r="C11" s="58">
        <f>4.55*204</f>
        <v>928.19999999999993</v>
      </c>
    </row>
    <row r="12" spans="1:5" ht="32.25" thickBot="1">
      <c r="A12" s="32" t="s">
        <v>133</v>
      </c>
      <c r="B12" s="91" t="s">
        <v>131</v>
      </c>
      <c r="C12" s="55">
        <f>ROUNDUP((C9+C10+C11)*0.2409,2)</f>
        <v>966.66</v>
      </c>
    </row>
    <row r="13" spans="1:5" ht="32.25" thickBot="1">
      <c r="A13" s="32" t="s">
        <v>134</v>
      </c>
      <c r="B13" s="91" t="s">
        <v>214</v>
      </c>
      <c r="C13" s="55">
        <f>ROUNDUP((367899/438912)*204,2)</f>
        <v>171</v>
      </c>
    </row>
    <row r="14" spans="1:5" ht="32.25" thickBot="1">
      <c r="A14" s="32" t="s">
        <v>136</v>
      </c>
      <c r="B14" s="92" t="s">
        <v>228</v>
      </c>
      <c r="C14" s="63">
        <f>ROUNDUP(((596554/438912)+6.91)*204,2)</f>
        <v>1686.91</v>
      </c>
    </row>
    <row r="15" spans="1:5" ht="32.25" thickBot="1">
      <c r="A15" s="32" t="s">
        <v>137</v>
      </c>
      <c r="B15" s="91" t="s">
        <v>216</v>
      </c>
      <c r="C15" s="55">
        <f>ROUNDUP((452717/438912)*204,2)</f>
        <v>210.42</v>
      </c>
    </row>
    <row r="16" spans="1:5" ht="32.25" thickBot="1">
      <c r="A16" s="32" t="s">
        <v>139</v>
      </c>
      <c r="B16" s="91" t="s">
        <v>218</v>
      </c>
      <c r="C16" s="55">
        <f>(624380/438912)*204</f>
        <v>290.20286526684163</v>
      </c>
    </row>
    <row r="17" spans="1:7" ht="32.25" thickBot="1">
      <c r="A17" s="32" t="s">
        <v>217</v>
      </c>
      <c r="B17" s="91" t="s">
        <v>219</v>
      </c>
      <c r="C17" s="55">
        <f>ROUNDUP((500471/438912)*204,1)</f>
        <v>232.7</v>
      </c>
    </row>
    <row r="18" spans="1:7" ht="32.25" thickBot="1">
      <c r="A18" s="32" t="s">
        <v>138</v>
      </c>
      <c r="B18" s="91" t="s">
        <v>226</v>
      </c>
      <c r="C18" s="63">
        <f>ROUNDUP((15/100)*37*1.06*204,2)</f>
        <v>1200.1400000000001</v>
      </c>
      <c r="D18" s="9"/>
    </row>
    <row r="19" spans="1:7" ht="16.5" thickBot="1">
      <c r="A19" s="32"/>
      <c r="B19" s="93" t="s">
        <v>122</v>
      </c>
      <c r="C19" s="37">
        <f>SUM(C9:C18)</f>
        <v>8770.7128652668416</v>
      </c>
    </row>
    <row r="20" spans="1:7" ht="16.5" thickBot="1">
      <c r="A20" s="32"/>
      <c r="B20" s="93" t="s">
        <v>123</v>
      </c>
      <c r="C20" s="38"/>
    </row>
    <row r="21" spans="1:7" ht="32.25" thickBot="1">
      <c r="A21" s="32" t="s">
        <v>141</v>
      </c>
      <c r="B21" s="39" t="s">
        <v>197</v>
      </c>
      <c r="C21" s="55">
        <f>ROUNDUP((C9+C10+C11)*0.15,2)</f>
        <v>601.91</v>
      </c>
    </row>
    <row r="22" spans="1:7" ht="32.25" thickBot="1">
      <c r="A22" s="32" t="s">
        <v>133</v>
      </c>
      <c r="B22" s="91" t="s">
        <v>131</v>
      </c>
      <c r="C22" s="55">
        <f>C21*0.2409</f>
        <v>145.00011899999998</v>
      </c>
    </row>
    <row r="23" spans="1:7" ht="32.25" thickBot="1">
      <c r="A23" s="32" t="s">
        <v>145</v>
      </c>
      <c r="B23" s="94" t="s">
        <v>208</v>
      </c>
      <c r="C23" s="55">
        <f>ROUNDUP((39708/438912)*204,1)</f>
        <v>18.5</v>
      </c>
      <c r="E23" s="60"/>
      <c r="F23" s="60"/>
    </row>
    <row r="24" spans="1:7" ht="32.25" thickBot="1">
      <c r="A24" s="32" t="s">
        <v>142</v>
      </c>
      <c r="B24" s="91" t="s">
        <v>210</v>
      </c>
      <c r="C24" s="55">
        <f>ROUNDUP((813902/438912)*204,1)</f>
        <v>378.3</v>
      </c>
    </row>
    <row r="25" spans="1:7" ht="32.25" thickBot="1">
      <c r="A25" s="32" t="s">
        <v>143</v>
      </c>
      <c r="B25" s="94" t="s">
        <v>207</v>
      </c>
      <c r="C25" s="55">
        <f>ROUNDUP((234731/438912)*204,2)</f>
        <v>109.10000000000001</v>
      </c>
      <c r="E25" s="60"/>
      <c r="F25" s="60"/>
    </row>
    <row r="26" spans="1:7" ht="32.25" thickBot="1">
      <c r="A26" s="32" t="s">
        <v>139</v>
      </c>
      <c r="B26" s="95" t="s">
        <v>209</v>
      </c>
      <c r="C26" s="55">
        <f>ROUNDUP((561364/438912)*204,2)</f>
        <v>260.92</v>
      </c>
      <c r="E26" s="60"/>
      <c r="F26" s="60"/>
    </row>
    <row r="27" spans="1:7" ht="32.25" thickBot="1">
      <c r="A27" s="32" t="s">
        <v>135</v>
      </c>
      <c r="B27" s="91" t="s">
        <v>213</v>
      </c>
      <c r="C27" s="55">
        <f>ROUNDUP((627676/438912)*204,1)</f>
        <v>291.8</v>
      </c>
      <c r="E27" s="60"/>
      <c r="F27" s="60"/>
    </row>
    <row r="28" spans="1:7" ht="32.25" thickBot="1">
      <c r="A28" s="32" t="s">
        <v>184</v>
      </c>
      <c r="B28" s="91" t="s">
        <v>211</v>
      </c>
      <c r="C28" s="55">
        <f>ROUND((286606/438912)*204,2)</f>
        <v>133.21</v>
      </c>
    </row>
    <row r="29" spans="1:7" ht="35.25" customHeight="1" thickBot="1">
      <c r="A29" s="32" t="s">
        <v>182</v>
      </c>
      <c r="B29" s="91" t="s">
        <v>220</v>
      </c>
      <c r="C29" s="55">
        <f>ROUNDUP((157571/438912)*204,2)</f>
        <v>73.240000000000009</v>
      </c>
    </row>
    <row r="30" spans="1:7" ht="32.25" thickBot="1">
      <c r="A30" s="32" t="s">
        <v>144</v>
      </c>
      <c r="B30" s="91" t="s">
        <v>202</v>
      </c>
      <c r="C30" s="55">
        <f>ROUNDUP((46423/438912)*204,2)</f>
        <v>21.580000000000002</v>
      </c>
      <c r="E30" s="60"/>
      <c r="F30" s="60"/>
    </row>
    <row r="31" spans="1:7" ht="32.25" thickBot="1">
      <c r="A31" s="32" t="s">
        <v>140</v>
      </c>
      <c r="B31" s="91" t="s">
        <v>212</v>
      </c>
      <c r="C31" s="55">
        <f>ROUNDUP((21000/438912)*204,2)</f>
        <v>9.77</v>
      </c>
    </row>
    <row r="32" spans="1:7" ht="32.25" thickBot="1">
      <c r="A32" s="32" t="s">
        <v>222</v>
      </c>
      <c r="B32" s="91" t="s">
        <v>223</v>
      </c>
      <c r="C32" s="55">
        <f>(1.75+1.8)*204</f>
        <v>724.19999999999993</v>
      </c>
      <c r="G32" s="9"/>
    </row>
    <row r="33" spans="1:6" ht="16.5" thickBot="1">
      <c r="A33" s="32"/>
      <c r="B33" s="93" t="s">
        <v>124</v>
      </c>
      <c r="C33" s="37">
        <f>SUM(C21:C32)</f>
        <v>2767.5301189999996</v>
      </c>
    </row>
    <row r="34" spans="1:6" ht="16.5" thickBot="1">
      <c r="A34" s="32"/>
      <c r="B34" s="42" t="s">
        <v>125</v>
      </c>
      <c r="C34" s="37">
        <f>C33+C19</f>
        <v>11538.242984266841</v>
      </c>
    </row>
    <row r="35" spans="1:6">
      <c r="C35" s="9"/>
    </row>
    <row r="36" spans="1:6" ht="16.5" thickBot="1">
      <c r="C36" s="9"/>
    </row>
    <row r="37" spans="1:6" ht="16.5" thickBot="1">
      <c r="A37" s="142" t="s">
        <v>126</v>
      </c>
      <c r="B37" s="143"/>
      <c r="C37" s="43">
        <v>204</v>
      </c>
    </row>
    <row r="38" spans="1:6" ht="16.5" thickBot="1">
      <c r="A38" s="142" t="s">
        <v>127</v>
      </c>
      <c r="B38" s="143"/>
      <c r="C38" s="44">
        <f>C34/C37</f>
        <v>56.560014628759021</v>
      </c>
    </row>
    <row r="40" spans="1:6">
      <c r="A40" s="13"/>
      <c r="B40" s="13"/>
      <c r="C40" s="13"/>
      <c r="D40" s="13"/>
      <c r="E40" s="13"/>
      <c r="F40" s="13"/>
    </row>
    <row r="41" spans="1:6">
      <c r="A41" s="144"/>
      <c r="B41" s="144"/>
      <c r="C41" s="45"/>
      <c r="D41" s="45"/>
      <c r="E41" s="45"/>
      <c r="F41" s="45"/>
    </row>
    <row r="42" spans="1:6" ht="18.75" hidden="1">
      <c r="A42" s="145"/>
      <c r="B42" s="145"/>
      <c r="C42" s="46"/>
      <c r="D42" s="46"/>
      <c r="E42" s="13"/>
      <c r="F42" s="13"/>
    </row>
  </sheetData>
  <mergeCells count="10">
    <mergeCell ref="A38:B38"/>
    <mergeCell ref="A41:B41"/>
    <mergeCell ref="A42:B42"/>
    <mergeCell ref="A1:C1"/>
    <mergeCell ref="A3:C3"/>
    <mergeCell ref="A4:C4"/>
    <mergeCell ref="A5:C5"/>
    <mergeCell ref="A6:B6"/>
    <mergeCell ref="A37:B37"/>
    <mergeCell ref="A9:A11"/>
  </mergeCell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sheetPr>
  <dimension ref="A1:G37"/>
  <sheetViews>
    <sheetView zoomScaleNormal="100" workbookViewId="0">
      <selection activeCell="B9" sqref="B9"/>
    </sheetView>
  </sheetViews>
  <sheetFormatPr defaultColWidth="8.85546875" defaultRowHeight="15.75"/>
  <cols>
    <col min="1" max="1" width="15.5703125" style="1" customWidth="1"/>
    <col min="2" max="2" width="90.42578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283</v>
      </c>
      <c r="B4" s="146"/>
      <c r="C4" s="146"/>
    </row>
    <row r="5" spans="1:5">
      <c r="A5" s="146" t="s">
        <v>117</v>
      </c>
      <c r="B5" s="146"/>
      <c r="C5" s="146"/>
    </row>
    <row r="6" spans="1:5" ht="16.5" thickBot="1">
      <c r="A6" s="147" t="s">
        <v>167</v>
      </c>
      <c r="B6" s="147"/>
    </row>
    <row r="7" spans="1:5" ht="89.25" customHeight="1" thickBot="1">
      <c r="A7" s="30" t="s">
        <v>118</v>
      </c>
      <c r="B7" s="31" t="s">
        <v>119</v>
      </c>
      <c r="C7" s="31" t="s">
        <v>120</v>
      </c>
    </row>
    <row r="8" spans="1:5" ht="16.5" thickBot="1">
      <c r="A8" s="47"/>
      <c r="B8" s="48" t="s">
        <v>121</v>
      </c>
      <c r="C8" s="49"/>
    </row>
    <row r="9" spans="1:5">
      <c r="A9" s="50" t="s">
        <v>132</v>
      </c>
      <c r="B9" s="51" t="s">
        <v>375</v>
      </c>
      <c r="C9" s="56">
        <f>11.08*198</f>
        <v>2193.84</v>
      </c>
      <c r="D9" s="9"/>
    </row>
    <row r="10" spans="1:5" ht="32.25" thickBot="1">
      <c r="A10" s="32" t="s">
        <v>133</v>
      </c>
      <c r="B10" s="91" t="s">
        <v>131</v>
      </c>
      <c r="C10" s="55">
        <f>ROUNDUP(C9*0.2409,2)</f>
        <v>528.5</v>
      </c>
    </row>
    <row r="11" spans="1:5" ht="32.25" thickBot="1">
      <c r="A11" s="32" t="s">
        <v>134</v>
      </c>
      <c r="B11" s="35" t="s">
        <v>214</v>
      </c>
      <c r="C11" s="55">
        <f>ROUNDUP((367899/438912)*198,1)</f>
        <v>166</v>
      </c>
    </row>
    <row r="12" spans="1:5" ht="32.25" thickBot="1">
      <c r="A12" s="32" t="s">
        <v>136</v>
      </c>
      <c r="B12" s="92" t="s">
        <v>313</v>
      </c>
      <c r="C12" s="63">
        <f>ROUNDUP((596554/438912)*198,2)</f>
        <v>269.12</v>
      </c>
    </row>
    <row r="13" spans="1:5" ht="32.25" thickBot="1">
      <c r="A13" s="32" t="s">
        <v>137</v>
      </c>
      <c r="B13" s="91" t="s">
        <v>216</v>
      </c>
      <c r="C13" s="55">
        <f>ROUND((452717/438912)*198,2)</f>
        <v>204.23</v>
      </c>
    </row>
    <row r="14" spans="1:5" ht="16.5" thickBot="1">
      <c r="A14" s="32"/>
      <c r="B14" s="36" t="s">
        <v>122</v>
      </c>
      <c r="C14" s="37">
        <f>SUM(C9:C13)</f>
        <v>3361.69</v>
      </c>
    </row>
    <row r="15" spans="1:5" ht="16.5" thickBot="1">
      <c r="A15" s="32"/>
      <c r="B15" s="36" t="s">
        <v>123</v>
      </c>
      <c r="C15" s="38"/>
    </row>
    <row r="16" spans="1:5" ht="32.25" thickBot="1">
      <c r="A16" s="32" t="s">
        <v>141</v>
      </c>
      <c r="B16" s="39" t="s">
        <v>198</v>
      </c>
      <c r="C16" s="55">
        <f>C9*0.25</f>
        <v>548.46</v>
      </c>
    </row>
    <row r="17" spans="1:7" ht="32.25" thickBot="1">
      <c r="A17" s="32" t="s">
        <v>133</v>
      </c>
      <c r="B17" s="91" t="s">
        <v>131</v>
      </c>
      <c r="C17" s="55">
        <f>C16*0.2409</f>
        <v>132.12401400000002</v>
      </c>
    </row>
    <row r="18" spans="1:7" ht="32.25" thickBot="1">
      <c r="A18" s="32" t="s">
        <v>145</v>
      </c>
      <c r="B18" s="94" t="s">
        <v>208</v>
      </c>
      <c r="C18" s="55">
        <f>ROUNDUP((39708/438912)*198,2)</f>
        <v>17.920000000000002</v>
      </c>
      <c r="E18" s="41"/>
    </row>
    <row r="19" spans="1:7" ht="32.25" thickBot="1">
      <c r="A19" s="32" t="s">
        <v>142</v>
      </c>
      <c r="B19" s="35" t="s">
        <v>210</v>
      </c>
      <c r="C19" s="55">
        <f>ROUNDUP((813902/438912)*198,2)</f>
        <v>367.17</v>
      </c>
    </row>
    <row r="20" spans="1:7" ht="32.25" thickBot="1">
      <c r="A20" s="32" t="s">
        <v>143</v>
      </c>
      <c r="B20" s="94" t="s">
        <v>207</v>
      </c>
      <c r="C20" s="55">
        <f>ROUNDUP((234731/438912)*198,2)</f>
        <v>105.9</v>
      </c>
    </row>
    <row r="21" spans="1:7" ht="32.25" thickBot="1">
      <c r="A21" s="32" t="s">
        <v>139</v>
      </c>
      <c r="B21" s="40" t="s">
        <v>209</v>
      </c>
      <c r="C21" s="55">
        <f>ROUNDUP((561364/438912)*198,2)</f>
        <v>253.23999999999998</v>
      </c>
    </row>
    <row r="22" spans="1:7" ht="32.25" thickBot="1">
      <c r="A22" s="32" t="s">
        <v>135</v>
      </c>
      <c r="B22" s="91" t="s">
        <v>213</v>
      </c>
      <c r="C22" s="55">
        <f>ROUNDUP((627676/438912)*198,2)</f>
        <v>283.15999999999997</v>
      </c>
    </row>
    <row r="23" spans="1:7" ht="32.25" thickBot="1">
      <c r="A23" s="32" t="s">
        <v>184</v>
      </c>
      <c r="B23" s="91" t="s">
        <v>211</v>
      </c>
      <c r="C23" s="55">
        <f>ROUND((286606/438912)*198,2)</f>
        <v>129.29</v>
      </c>
    </row>
    <row r="24" spans="1:7" ht="48" thickBot="1">
      <c r="A24" s="32" t="s">
        <v>182</v>
      </c>
      <c r="B24" s="35" t="s">
        <v>220</v>
      </c>
      <c r="C24" s="55">
        <f>ROUNDUP((157571/438912)*198,2)</f>
        <v>71.09</v>
      </c>
    </row>
    <row r="25" spans="1:7" ht="32.25" thickBot="1">
      <c r="A25" s="32" t="s">
        <v>144</v>
      </c>
      <c r="B25" s="35" t="s">
        <v>202</v>
      </c>
      <c r="C25" s="55">
        <f>ROUNDUP((46423/438912)*198,2)</f>
        <v>20.950000000000003</v>
      </c>
    </row>
    <row r="26" spans="1:7" ht="32.25" thickBot="1">
      <c r="A26" s="32" t="s">
        <v>140</v>
      </c>
      <c r="B26" s="35" t="s">
        <v>212</v>
      </c>
      <c r="C26" s="55">
        <f>ROUND((21000/438912)*198,2)</f>
        <v>9.4700000000000006</v>
      </c>
    </row>
    <row r="27" spans="1:7" ht="16.5" thickBot="1">
      <c r="A27" s="32" t="s">
        <v>222</v>
      </c>
      <c r="B27" s="35" t="s">
        <v>194</v>
      </c>
      <c r="C27" s="55">
        <f>0.5*198</f>
        <v>99</v>
      </c>
      <c r="G27" s="9"/>
    </row>
    <row r="28" spans="1:7" ht="16.5" thickBot="1">
      <c r="A28" s="32"/>
      <c r="B28" s="33" t="s">
        <v>124</v>
      </c>
      <c r="C28" s="37">
        <f>SUM(C16:C27)</f>
        <v>2037.7740139999999</v>
      </c>
    </row>
    <row r="29" spans="1:7" ht="16.5" thickBot="1">
      <c r="A29" s="32"/>
      <c r="B29" s="42" t="s">
        <v>125</v>
      </c>
      <c r="C29" s="37">
        <f>C28+C14</f>
        <v>5399.4640140000001</v>
      </c>
    </row>
    <row r="30" spans="1:7">
      <c r="C30" s="9"/>
    </row>
    <row r="31" spans="1:7" ht="16.5" thickBot="1">
      <c r="C31" s="9"/>
    </row>
    <row r="32" spans="1:7" ht="16.5" thickBot="1">
      <c r="A32" s="142" t="s">
        <v>126</v>
      </c>
      <c r="B32" s="143"/>
      <c r="C32" s="43">
        <v>198</v>
      </c>
    </row>
    <row r="33" spans="1:6" ht="16.5" thickBot="1">
      <c r="A33" s="142" t="s">
        <v>127</v>
      </c>
      <c r="B33" s="143"/>
      <c r="C33" s="44">
        <f>C29/C32</f>
        <v>27.270020272727272</v>
      </c>
    </row>
    <row r="35" spans="1:6">
      <c r="A35" s="13"/>
      <c r="B35" s="13"/>
      <c r="C35" s="61"/>
      <c r="D35" s="13"/>
      <c r="E35" s="13"/>
      <c r="F35" s="13"/>
    </row>
    <row r="36" spans="1:6">
      <c r="A36" s="144"/>
      <c r="B36" s="144"/>
      <c r="C36" s="45"/>
      <c r="D36" s="45"/>
      <c r="E36" s="45"/>
      <c r="F36" s="45"/>
    </row>
    <row r="37" spans="1:6" ht="18.75">
      <c r="A37" s="145"/>
      <c r="B37" s="145"/>
      <c r="C37" s="46"/>
      <c r="D37" s="46"/>
      <c r="E37" s="13"/>
      <c r="F37" s="13"/>
    </row>
  </sheetData>
  <mergeCells count="9">
    <mergeCell ref="A33:B33"/>
    <mergeCell ref="A36:B36"/>
    <mergeCell ref="A37:B37"/>
    <mergeCell ref="A1:C1"/>
    <mergeCell ref="A3:C3"/>
    <mergeCell ref="A4:C4"/>
    <mergeCell ref="A5:C5"/>
    <mergeCell ref="A6:B6"/>
    <mergeCell ref="A32:B32"/>
  </mergeCells>
  <pageMargins left="0.7" right="0.7" top="0.75" bottom="0.75" header="0.3" footer="0.3"/>
  <pageSetup paperSize="9" scale="7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G38"/>
  <sheetViews>
    <sheetView zoomScaleNormal="100" workbookViewId="0">
      <selection activeCell="B9" sqref="B9"/>
    </sheetView>
  </sheetViews>
  <sheetFormatPr defaultColWidth="8.85546875" defaultRowHeight="15.75"/>
  <cols>
    <col min="1" max="1" width="15.28515625" style="1" customWidth="1"/>
    <col min="2" max="2" width="92.5703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284</v>
      </c>
      <c r="B4" s="146"/>
      <c r="C4" s="146"/>
    </row>
    <row r="5" spans="1:5">
      <c r="A5" s="146" t="s">
        <v>117</v>
      </c>
      <c r="B5" s="146"/>
      <c r="C5" s="146"/>
    </row>
    <row r="6" spans="1:5" ht="16.5" thickBot="1">
      <c r="A6" s="147" t="s">
        <v>168</v>
      </c>
      <c r="B6" s="147"/>
    </row>
    <row r="7" spans="1:5" ht="83.25" customHeight="1" thickBot="1">
      <c r="A7" s="30" t="s">
        <v>118</v>
      </c>
      <c r="B7" s="31" t="s">
        <v>119</v>
      </c>
      <c r="C7" s="31" t="s">
        <v>120</v>
      </c>
    </row>
    <row r="8" spans="1:5" ht="16.5" thickBot="1">
      <c r="A8" s="47"/>
      <c r="B8" s="48" t="s">
        <v>121</v>
      </c>
      <c r="C8" s="49"/>
    </row>
    <row r="9" spans="1:5" ht="16.5" thickBot="1">
      <c r="A9" s="50" t="s">
        <v>132</v>
      </c>
      <c r="B9" s="52" t="s">
        <v>376</v>
      </c>
      <c r="C9" s="56">
        <f>7.58*294</f>
        <v>2228.52</v>
      </c>
      <c r="D9" s="9"/>
    </row>
    <row r="10" spans="1:5" ht="32.25" thickBot="1">
      <c r="A10" s="32" t="s">
        <v>133</v>
      </c>
      <c r="B10" s="91" t="s">
        <v>131</v>
      </c>
      <c r="C10" s="55">
        <f>C9*0.2409</f>
        <v>536.85046799999998</v>
      </c>
    </row>
    <row r="11" spans="1:5" ht="32.25" thickBot="1">
      <c r="A11" s="32" t="s">
        <v>134</v>
      </c>
      <c r="B11" s="35" t="s">
        <v>214</v>
      </c>
      <c r="C11" s="55">
        <f>ROUND((367899/438912)*294,2)</f>
        <v>246.43</v>
      </c>
    </row>
    <row r="12" spans="1:5" ht="32.25" thickBot="1">
      <c r="A12" s="32" t="s">
        <v>139</v>
      </c>
      <c r="B12" s="35" t="s">
        <v>218</v>
      </c>
      <c r="C12" s="55">
        <f>(624380/438912)*294</f>
        <v>418.23354111986004</v>
      </c>
    </row>
    <row r="13" spans="1:5" ht="32.25" thickBot="1">
      <c r="A13" s="32" t="s">
        <v>217</v>
      </c>
      <c r="B13" s="35" t="s">
        <v>219</v>
      </c>
      <c r="C13" s="55">
        <f>(500471/438912)*294</f>
        <v>335.23456638232722</v>
      </c>
    </row>
    <row r="14" spans="1:5" ht="32.25" thickBot="1">
      <c r="A14" s="32" t="s">
        <v>138</v>
      </c>
      <c r="B14" s="35" t="s">
        <v>231</v>
      </c>
      <c r="C14" s="63">
        <f>(15/100)*50*1.06*294</f>
        <v>2337.3000000000002</v>
      </c>
    </row>
    <row r="15" spans="1:5" ht="16.5" thickBot="1">
      <c r="A15" s="32"/>
      <c r="B15" s="36" t="s">
        <v>122</v>
      </c>
      <c r="C15" s="37">
        <f>SUM(C9:C14)</f>
        <v>6102.5685755021877</v>
      </c>
    </row>
    <row r="16" spans="1:5" ht="16.5" thickBot="1">
      <c r="A16" s="32"/>
      <c r="B16" s="36" t="s">
        <v>123</v>
      </c>
      <c r="C16" s="38"/>
    </row>
    <row r="17" spans="1:7" ht="32.25" thickBot="1">
      <c r="A17" s="32" t="s">
        <v>141</v>
      </c>
      <c r="B17" s="39" t="s">
        <v>199</v>
      </c>
      <c r="C17" s="55">
        <f>C9*0.1</f>
        <v>222.852</v>
      </c>
    </row>
    <row r="18" spans="1:7" ht="32.25" thickBot="1">
      <c r="A18" s="32" t="s">
        <v>133</v>
      </c>
      <c r="B18" s="91" t="s">
        <v>131</v>
      </c>
      <c r="C18" s="55">
        <f>ROUND(C17*0.2409,3)</f>
        <v>53.685000000000002</v>
      </c>
    </row>
    <row r="19" spans="1:7" ht="32.25" thickBot="1">
      <c r="A19" s="32" t="s">
        <v>145</v>
      </c>
      <c r="B19" s="34" t="s">
        <v>208</v>
      </c>
      <c r="C19" s="55">
        <f>0.09*294</f>
        <v>26.459999999999997</v>
      </c>
      <c r="E19" s="41"/>
    </row>
    <row r="20" spans="1:7" ht="32.25" thickBot="1">
      <c r="A20" s="32" t="s">
        <v>142</v>
      </c>
      <c r="B20" s="35" t="s">
        <v>210</v>
      </c>
      <c r="C20" s="55">
        <f>ROUND((813902/438912)*294,2)</f>
        <v>545.17999999999995</v>
      </c>
    </row>
    <row r="21" spans="1:7" ht="32.25" thickBot="1">
      <c r="A21" s="32" t="s">
        <v>143</v>
      </c>
      <c r="B21" s="94" t="s">
        <v>207</v>
      </c>
      <c r="C21" s="55">
        <f>ROUND((234731/438912)*294,2)</f>
        <v>157.22999999999999</v>
      </c>
    </row>
    <row r="22" spans="1:7" ht="32.25" thickBot="1">
      <c r="A22" s="32" t="s">
        <v>139</v>
      </c>
      <c r="B22" s="40" t="s">
        <v>209</v>
      </c>
      <c r="C22" s="55">
        <f>ROUNDUP((561364/438912)*294,2)</f>
        <v>376.03</v>
      </c>
    </row>
    <row r="23" spans="1:7" ht="32.25" thickBot="1">
      <c r="A23" s="32" t="s">
        <v>135</v>
      </c>
      <c r="B23" s="91" t="s">
        <v>213</v>
      </c>
      <c r="C23" s="55">
        <f>ROUND((627676/438912)*294,0)</f>
        <v>420</v>
      </c>
    </row>
    <row r="24" spans="1:7" ht="32.25" thickBot="1">
      <c r="A24" s="32" t="s">
        <v>184</v>
      </c>
      <c r="B24" s="91" t="s">
        <v>211</v>
      </c>
      <c r="C24" s="55">
        <f>ROUND((286606/438912)*294,2)</f>
        <v>191.98</v>
      </c>
    </row>
    <row r="25" spans="1:7" ht="32.25" thickBot="1">
      <c r="A25" s="32" t="s">
        <v>182</v>
      </c>
      <c r="B25" s="35" t="s">
        <v>301</v>
      </c>
      <c r="C25" s="55">
        <f>ROUND((157571/438912)*294,3)</f>
        <v>105.547</v>
      </c>
    </row>
    <row r="26" spans="1:7" ht="32.25" thickBot="1">
      <c r="A26" s="32" t="s">
        <v>144</v>
      </c>
      <c r="B26" s="35" t="s">
        <v>202</v>
      </c>
      <c r="C26" s="55">
        <f>ROUND((46423/438912)*294,2)</f>
        <v>31.1</v>
      </c>
    </row>
    <row r="27" spans="1:7" ht="32.25" thickBot="1">
      <c r="A27" s="32" t="s">
        <v>140</v>
      </c>
      <c r="B27" s="35" t="s">
        <v>212</v>
      </c>
      <c r="C27" s="55">
        <f>ROUND((21000/438912)*294,2)</f>
        <v>14.07</v>
      </c>
    </row>
    <row r="28" spans="1:7" ht="16.5" thickBot="1">
      <c r="A28" s="32" t="s">
        <v>222</v>
      </c>
      <c r="B28" s="35" t="s">
        <v>195</v>
      </c>
      <c r="C28" s="55">
        <f>1.75*294</f>
        <v>514.5</v>
      </c>
      <c r="G28" s="9"/>
    </row>
    <row r="29" spans="1:7" ht="16.5" thickBot="1">
      <c r="A29" s="32"/>
      <c r="B29" s="33" t="s">
        <v>124</v>
      </c>
      <c r="C29" s="37">
        <f>SUM(C17:C28)</f>
        <v>2658.634</v>
      </c>
    </row>
    <row r="30" spans="1:7" ht="16.5" thickBot="1">
      <c r="A30" s="32"/>
      <c r="B30" s="42" t="s">
        <v>125</v>
      </c>
      <c r="C30" s="37">
        <f>C29+C15</f>
        <v>8761.2025755021878</v>
      </c>
    </row>
    <row r="31" spans="1:7">
      <c r="C31" s="9"/>
    </row>
    <row r="32" spans="1:7" ht="16.5" thickBot="1">
      <c r="C32" s="9"/>
    </row>
    <row r="33" spans="1:6" ht="16.5" thickBot="1">
      <c r="A33" s="142" t="s">
        <v>126</v>
      </c>
      <c r="B33" s="143"/>
      <c r="C33" s="43">
        <v>294</v>
      </c>
    </row>
    <row r="34" spans="1:6" ht="16.5" thickBot="1">
      <c r="A34" s="142" t="s">
        <v>127</v>
      </c>
      <c r="B34" s="143"/>
      <c r="C34" s="44">
        <f>C30/C33</f>
        <v>29.800008760211522</v>
      </c>
    </row>
    <row r="36" spans="1:6">
      <c r="A36" s="13"/>
      <c r="B36" s="13"/>
      <c r="C36" s="61"/>
      <c r="D36" s="13"/>
      <c r="E36" s="13"/>
      <c r="F36" s="13"/>
    </row>
    <row r="37" spans="1:6">
      <c r="A37" s="144"/>
      <c r="B37" s="144"/>
      <c r="C37" s="45"/>
      <c r="D37" s="45"/>
      <c r="E37" s="45"/>
      <c r="F37" s="45"/>
    </row>
    <row r="38" spans="1:6" ht="18.75">
      <c r="A38" s="145"/>
      <c r="B38" s="145"/>
      <c r="C38" s="46"/>
      <c r="D38" s="46"/>
      <c r="E38" s="13"/>
      <c r="F38" s="13"/>
    </row>
  </sheetData>
  <mergeCells count="9">
    <mergeCell ref="A34:B34"/>
    <mergeCell ref="A37:B37"/>
    <mergeCell ref="A38:B38"/>
    <mergeCell ref="A1:C1"/>
    <mergeCell ref="A3:C3"/>
    <mergeCell ref="A4:C4"/>
    <mergeCell ref="A5:C5"/>
    <mergeCell ref="A6:B6"/>
    <mergeCell ref="A33:B33"/>
  </mergeCells>
  <pageMargins left="0.7" right="0.7" top="0.75" bottom="0.75" header="0.3" footer="0.3"/>
  <pageSetup paperSize="9" scale="7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sheetPr>
  <dimension ref="A1:G27"/>
  <sheetViews>
    <sheetView zoomScaleNormal="100" workbookViewId="0">
      <selection activeCell="B9" sqref="B9"/>
    </sheetView>
  </sheetViews>
  <sheetFormatPr defaultColWidth="8.85546875" defaultRowHeight="15.75"/>
  <cols>
    <col min="1" max="1" width="14.42578125" style="1" customWidth="1"/>
    <col min="2" max="2" width="99.5703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285</v>
      </c>
      <c r="B4" s="146"/>
      <c r="C4" s="146"/>
    </row>
    <row r="5" spans="1:5">
      <c r="A5" s="146" t="s">
        <v>117</v>
      </c>
      <c r="B5" s="146"/>
      <c r="C5" s="146"/>
    </row>
    <row r="6" spans="1:5" ht="16.5" thickBot="1">
      <c r="A6" s="147" t="s">
        <v>181</v>
      </c>
      <c r="B6" s="147"/>
    </row>
    <row r="7" spans="1:5" ht="85.5" customHeight="1" thickBot="1">
      <c r="A7" s="30" t="s">
        <v>118</v>
      </c>
      <c r="B7" s="31" t="s">
        <v>119</v>
      </c>
      <c r="C7" s="31" t="s">
        <v>120</v>
      </c>
    </row>
    <row r="8" spans="1:5" ht="16.5" thickBot="1">
      <c r="A8" s="47"/>
      <c r="B8" s="48" t="s">
        <v>121</v>
      </c>
      <c r="C8" s="49"/>
    </row>
    <row r="9" spans="1:5">
      <c r="A9" s="50" t="s">
        <v>132</v>
      </c>
      <c r="B9" s="51" t="s">
        <v>377</v>
      </c>
      <c r="C9" s="56">
        <f>17.91*10</f>
        <v>179.1</v>
      </c>
      <c r="D9" s="9"/>
    </row>
    <row r="10" spans="1:5" ht="35.25" customHeight="1" thickBot="1">
      <c r="A10" s="32" t="s">
        <v>133</v>
      </c>
      <c r="B10" s="91" t="s">
        <v>131</v>
      </c>
      <c r="C10" s="55">
        <f>C9*0.2409</f>
        <v>43.145189999999999</v>
      </c>
    </row>
    <row r="11" spans="1:5" ht="16.5" thickBot="1">
      <c r="A11" s="32"/>
      <c r="B11" s="36" t="s">
        <v>122</v>
      </c>
      <c r="C11" s="37">
        <f>SUM(C9:C10)</f>
        <v>222.24518999999998</v>
      </c>
    </row>
    <row r="12" spans="1:5" ht="16.5" thickBot="1">
      <c r="A12" s="32"/>
      <c r="B12" s="36" t="s">
        <v>123</v>
      </c>
      <c r="C12" s="38"/>
    </row>
    <row r="13" spans="1:5" ht="32.25" thickBot="1">
      <c r="A13" s="32" t="s">
        <v>145</v>
      </c>
      <c r="B13" s="34" t="s">
        <v>208</v>
      </c>
      <c r="C13" s="55">
        <f>ROUND((39708/438912)*10,2)</f>
        <v>0.9</v>
      </c>
      <c r="E13" s="41"/>
    </row>
    <row r="14" spans="1:5" ht="32.25" thickBot="1">
      <c r="A14" s="32" t="s">
        <v>143</v>
      </c>
      <c r="B14" s="94" t="s">
        <v>207</v>
      </c>
      <c r="C14" s="55">
        <f>ROUND((234731/438912)*10,2)</f>
        <v>5.35</v>
      </c>
    </row>
    <row r="15" spans="1:5" ht="32.25" thickBot="1">
      <c r="A15" s="32" t="s">
        <v>144</v>
      </c>
      <c r="B15" s="35" t="s">
        <v>202</v>
      </c>
      <c r="C15" s="55">
        <f>ROUND((46423/438912)*10,1)</f>
        <v>1.1000000000000001</v>
      </c>
    </row>
    <row r="16" spans="1:5" ht="32.25" thickBot="1">
      <c r="A16" s="32" t="s">
        <v>140</v>
      </c>
      <c r="B16" s="35" t="s">
        <v>212</v>
      </c>
      <c r="C16" s="55">
        <f>ROUND((21000/438912)*10,1)</f>
        <v>0.5</v>
      </c>
    </row>
    <row r="17" spans="1:7" ht="16.5" thickBot="1">
      <c r="A17" s="32" t="s">
        <v>222</v>
      </c>
      <c r="B17" s="91" t="s">
        <v>194</v>
      </c>
      <c r="C17" s="55">
        <f>0.5*10</f>
        <v>5</v>
      </c>
      <c r="G17" s="9"/>
    </row>
    <row r="18" spans="1:7" ht="16.5" thickBot="1">
      <c r="A18" s="32"/>
      <c r="B18" s="33" t="s">
        <v>124</v>
      </c>
      <c r="C18" s="37">
        <f>SUM(C13:C17)</f>
        <v>12.85</v>
      </c>
    </row>
    <row r="19" spans="1:7" ht="16.5" thickBot="1">
      <c r="A19" s="32"/>
      <c r="B19" s="42" t="s">
        <v>125</v>
      </c>
      <c r="C19" s="37">
        <f>C18+C11</f>
        <v>235.09518999999997</v>
      </c>
    </row>
    <row r="20" spans="1:7">
      <c r="C20" s="9"/>
    </row>
    <row r="21" spans="1:7" ht="16.5" thickBot="1">
      <c r="C21" s="9"/>
    </row>
    <row r="22" spans="1:7" ht="16.5" thickBot="1">
      <c r="A22" s="142" t="s">
        <v>126</v>
      </c>
      <c r="B22" s="143"/>
      <c r="C22" s="43">
        <v>10</v>
      </c>
    </row>
    <row r="23" spans="1:7" ht="16.5" thickBot="1">
      <c r="A23" s="142" t="s">
        <v>127</v>
      </c>
      <c r="B23" s="143"/>
      <c r="C23" s="44">
        <f>C19/C22</f>
        <v>23.509518999999997</v>
      </c>
    </row>
    <row r="25" spans="1:7">
      <c r="A25" s="13"/>
      <c r="B25" s="13"/>
      <c r="C25" s="61"/>
      <c r="D25" s="13"/>
      <c r="E25" s="13"/>
      <c r="F25" s="13"/>
    </row>
    <row r="26" spans="1:7">
      <c r="A26" s="144"/>
      <c r="B26" s="144"/>
      <c r="C26" s="45"/>
      <c r="D26" s="45"/>
      <c r="E26" s="45"/>
      <c r="F26" s="45"/>
    </row>
    <row r="27" spans="1:7" ht="18.75">
      <c r="A27" s="145"/>
      <c r="B27" s="145"/>
      <c r="C27" s="46"/>
      <c r="D27" s="46"/>
      <c r="E27" s="13"/>
      <c r="F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6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4.9989318521683403E-2"/>
  </sheetPr>
  <dimension ref="A1:G27"/>
  <sheetViews>
    <sheetView zoomScaleNormal="100" workbookViewId="0">
      <selection activeCell="B9" sqref="B9"/>
    </sheetView>
  </sheetViews>
  <sheetFormatPr defaultColWidth="8.85546875" defaultRowHeight="15.75"/>
  <cols>
    <col min="1" max="1" width="14.28515625" style="1" customWidth="1"/>
    <col min="2" max="2" width="102.140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286</v>
      </c>
      <c r="B4" s="146"/>
      <c r="C4" s="146"/>
    </row>
    <row r="5" spans="1:5">
      <c r="A5" s="146" t="s">
        <v>117</v>
      </c>
      <c r="B5" s="146"/>
      <c r="C5" s="146"/>
    </row>
    <row r="6" spans="1:5" ht="16.5" thickBot="1">
      <c r="A6" s="147" t="s">
        <v>181</v>
      </c>
      <c r="B6" s="147"/>
    </row>
    <row r="7" spans="1:5" ht="96" customHeight="1" thickBot="1">
      <c r="A7" s="30" t="s">
        <v>118</v>
      </c>
      <c r="B7" s="31" t="s">
        <v>119</v>
      </c>
      <c r="C7" s="31" t="s">
        <v>120</v>
      </c>
    </row>
    <row r="8" spans="1:5" ht="16.5" thickBot="1">
      <c r="A8" s="47"/>
      <c r="B8" s="48" t="s">
        <v>121</v>
      </c>
      <c r="C8" s="49"/>
    </row>
    <row r="9" spans="1:5">
      <c r="A9" s="50" t="s">
        <v>132</v>
      </c>
      <c r="B9" s="51" t="s">
        <v>378</v>
      </c>
      <c r="C9" s="56">
        <f>17.21*10</f>
        <v>172.10000000000002</v>
      </c>
      <c r="D9" s="9"/>
    </row>
    <row r="10" spans="1:5" ht="32.25" thickBot="1">
      <c r="A10" s="32" t="s">
        <v>133</v>
      </c>
      <c r="B10" s="91" t="s">
        <v>131</v>
      </c>
      <c r="C10" s="55">
        <f>ROUND(C9*0.2409,2)</f>
        <v>41.46</v>
      </c>
    </row>
    <row r="11" spans="1:5" ht="16.5" thickBot="1">
      <c r="A11" s="32"/>
      <c r="B11" s="36" t="s">
        <v>122</v>
      </c>
      <c r="C11" s="37">
        <f>SUM(C9:C10)</f>
        <v>213.56000000000003</v>
      </c>
    </row>
    <row r="12" spans="1:5" ht="16.5" thickBot="1">
      <c r="A12" s="32"/>
      <c r="B12" s="36" t="s">
        <v>123</v>
      </c>
      <c r="C12" s="38"/>
    </row>
    <row r="13" spans="1:5" ht="32.25" thickBot="1">
      <c r="A13" s="32" t="s">
        <v>145</v>
      </c>
      <c r="B13" s="34" t="s">
        <v>208</v>
      </c>
      <c r="C13" s="55">
        <f>ROUND((39708/438912)*10,2)</f>
        <v>0.9</v>
      </c>
      <c r="E13" s="41"/>
    </row>
    <row r="14" spans="1:5" ht="32.25" thickBot="1">
      <c r="A14" s="32" t="s">
        <v>143</v>
      </c>
      <c r="B14" s="94" t="s">
        <v>207</v>
      </c>
      <c r="C14" s="55">
        <f>ROUNDUP((234731/438912)*10,1)</f>
        <v>5.3999999999999995</v>
      </c>
    </row>
    <row r="15" spans="1:5" ht="32.25" thickBot="1">
      <c r="A15" s="32" t="s">
        <v>144</v>
      </c>
      <c r="B15" s="35" t="s">
        <v>202</v>
      </c>
      <c r="C15" s="55">
        <f>ROUND((46423/438912)*10,2)</f>
        <v>1.06</v>
      </c>
    </row>
    <row r="16" spans="1:5" ht="32.25" thickBot="1">
      <c r="A16" s="32" t="s">
        <v>140</v>
      </c>
      <c r="B16" s="35" t="s">
        <v>212</v>
      </c>
      <c r="C16" s="55">
        <f>ROUND((21000/438912)*10,2)</f>
        <v>0.48</v>
      </c>
    </row>
    <row r="17" spans="1:7" ht="16.5" thickBot="1">
      <c r="A17" s="32" t="s">
        <v>222</v>
      </c>
      <c r="B17" s="35" t="s">
        <v>194</v>
      </c>
      <c r="C17" s="55">
        <f>0.5*10</f>
        <v>5</v>
      </c>
      <c r="G17" s="9"/>
    </row>
    <row r="18" spans="1:7" ht="16.5" thickBot="1">
      <c r="A18" s="32"/>
      <c r="B18" s="33" t="s">
        <v>124</v>
      </c>
      <c r="C18" s="37">
        <f>SUM(C13:C17)</f>
        <v>12.84</v>
      </c>
    </row>
    <row r="19" spans="1:7" ht="16.5" thickBot="1">
      <c r="A19" s="32"/>
      <c r="B19" s="42" t="s">
        <v>125</v>
      </c>
      <c r="C19" s="37">
        <f>C18+C11</f>
        <v>226.40000000000003</v>
      </c>
    </row>
    <row r="20" spans="1:7">
      <c r="C20" s="9"/>
    </row>
    <row r="21" spans="1:7" ht="16.5" thickBot="1">
      <c r="C21" s="9"/>
    </row>
    <row r="22" spans="1:7" ht="16.5" thickBot="1">
      <c r="A22" s="142" t="s">
        <v>126</v>
      </c>
      <c r="B22" s="143"/>
      <c r="C22" s="43">
        <v>10</v>
      </c>
    </row>
    <row r="23" spans="1:7" ht="16.5" thickBot="1">
      <c r="A23" s="142" t="s">
        <v>127</v>
      </c>
      <c r="B23" s="143"/>
      <c r="C23" s="44">
        <f>C19/C22</f>
        <v>22.640000000000004</v>
      </c>
    </row>
    <row r="25" spans="1:7">
      <c r="A25" s="13"/>
      <c r="B25" s="13"/>
      <c r="C25" s="61"/>
      <c r="D25" s="13"/>
      <c r="E25" s="13"/>
      <c r="F25" s="13"/>
    </row>
    <row r="26" spans="1:7">
      <c r="A26" s="144"/>
      <c r="B26" s="144"/>
      <c r="C26" s="45"/>
      <c r="D26" s="45"/>
      <c r="E26" s="45"/>
      <c r="F26" s="45"/>
    </row>
    <row r="27" spans="1:7" ht="18.75">
      <c r="A27" s="145"/>
      <c r="B27" s="145"/>
      <c r="C27" s="46"/>
      <c r="D27" s="46"/>
      <c r="E27" s="13"/>
      <c r="F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64"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4.9989318521683403E-2"/>
  </sheetPr>
  <dimension ref="A1:G27"/>
  <sheetViews>
    <sheetView zoomScaleNormal="100" workbookViewId="0">
      <selection activeCell="B9" sqref="B9"/>
    </sheetView>
  </sheetViews>
  <sheetFormatPr defaultColWidth="8.85546875" defaultRowHeight="15.75"/>
  <cols>
    <col min="1" max="1" width="15.28515625" style="1" customWidth="1"/>
    <col min="2" max="2" width="114.28515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287</v>
      </c>
      <c r="B4" s="146"/>
      <c r="C4" s="146"/>
    </row>
    <row r="5" spans="1:5">
      <c r="A5" s="146" t="s">
        <v>117</v>
      </c>
      <c r="B5" s="146"/>
      <c r="C5" s="146"/>
    </row>
    <row r="6" spans="1:5" ht="16.5" thickBot="1">
      <c r="A6" s="147" t="s">
        <v>170</v>
      </c>
      <c r="B6" s="147"/>
    </row>
    <row r="7" spans="1:5" ht="93" customHeight="1" thickBot="1">
      <c r="A7" s="30" t="s">
        <v>118</v>
      </c>
      <c r="B7" s="31" t="s">
        <v>119</v>
      </c>
      <c r="C7" s="31" t="s">
        <v>120</v>
      </c>
    </row>
    <row r="8" spans="1:5" ht="16.5" thickBot="1">
      <c r="A8" s="47"/>
      <c r="B8" s="48" t="s">
        <v>121</v>
      </c>
      <c r="C8" s="49"/>
    </row>
    <row r="9" spans="1:5">
      <c r="A9" s="50" t="s">
        <v>132</v>
      </c>
      <c r="B9" s="51" t="s">
        <v>379</v>
      </c>
      <c r="C9" s="56">
        <f>11.08*80</f>
        <v>886.4</v>
      </c>
      <c r="D9" s="9"/>
    </row>
    <row r="10" spans="1:5" ht="16.5" thickBot="1">
      <c r="A10" s="32" t="s">
        <v>133</v>
      </c>
      <c r="B10" s="35" t="s">
        <v>131</v>
      </c>
      <c r="C10" s="55">
        <f>ROUND(C9*0.2409,1)</f>
        <v>213.5</v>
      </c>
    </row>
    <row r="11" spans="1:5" ht="16.5" thickBot="1">
      <c r="A11" s="32"/>
      <c r="B11" s="36" t="s">
        <v>122</v>
      </c>
      <c r="C11" s="37">
        <f>SUM(C9:C10)</f>
        <v>1099.9000000000001</v>
      </c>
    </row>
    <row r="12" spans="1:5" ht="16.5" thickBot="1">
      <c r="A12" s="32"/>
      <c r="B12" s="36" t="s">
        <v>123</v>
      </c>
      <c r="C12" s="38"/>
    </row>
    <row r="13" spans="1:5" ht="32.25" thickBot="1">
      <c r="A13" s="32" t="s">
        <v>145</v>
      </c>
      <c r="B13" s="34" t="s">
        <v>208</v>
      </c>
      <c r="C13" s="55">
        <f>ROUND((39708/438912)*80,2)</f>
        <v>7.24</v>
      </c>
      <c r="E13" s="41"/>
    </row>
    <row r="14" spans="1:5" ht="32.25" thickBot="1">
      <c r="A14" s="32" t="s">
        <v>143</v>
      </c>
      <c r="B14" s="94" t="s">
        <v>207</v>
      </c>
      <c r="C14" s="55">
        <f>ROUNDUP((234731/438912)*80,2)</f>
        <v>42.79</v>
      </c>
    </row>
    <row r="15" spans="1:5" ht="32.25" thickBot="1">
      <c r="A15" s="32" t="s">
        <v>144</v>
      </c>
      <c r="B15" s="35" t="s">
        <v>202</v>
      </c>
      <c r="C15" s="55">
        <f>ROUNDUP((46423/438912)*80,2)</f>
        <v>8.4700000000000006</v>
      </c>
    </row>
    <row r="16" spans="1:5" ht="32.25" thickBot="1">
      <c r="A16" s="32" t="s">
        <v>140</v>
      </c>
      <c r="B16" s="35" t="s">
        <v>212</v>
      </c>
      <c r="C16" s="55">
        <f>ROUND((21000/438912)*80,0)</f>
        <v>4</v>
      </c>
    </row>
    <row r="17" spans="1:7" ht="16.5" thickBot="1">
      <c r="A17" s="32" t="s">
        <v>222</v>
      </c>
      <c r="B17" s="35" t="s">
        <v>194</v>
      </c>
      <c r="C17" s="55">
        <f>0.5*80</f>
        <v>40</v>
      </c>
      <c r="G17" s="9"/>
    </row>
    <row r="18" spans="1:7" ht="16.5" thickBot="1">
      <c r="A18" s="32"/>
      <c r="B18" s="33" t="s">
        <v>124</v>
      </c>
      <c r="C18" s="37">
        <f>SUM(C13:C17)</f>
        <v>102.5</v>
      </c>
    </row>
    <row r="19" spans="1:7" ht="16.5" thickBot="1">
      <c r="A19" s="32"/>
      <c r="B19" s="42" t="s">
        <v>125</v>
      </c>
      <c r="C19" s="37">
        <f>C18+C11</f>
        <v>1202.4000000000001</v>
      </c>
    </row>
    <row r="20" spans="1:7">
      <c r="C20" s="9"/>
    </row>
    <row r="21" spans="1:7" ht="16.5" thickBot="1">
      <c r="C21" s="9"/>
    </row>
    <row r="22" spans="1:7" ht="16.5" thickBot="1">
      <c r="A22" s="142" t="s">
        <v>126</v>
      </c>
      <c r="B22" s="143"/>
      <c r="C22" s="43">
        <v>80</v>
      </c>
    </row>
    <row r="23" spans="1:7" ht="16.5" thickBot="1">
      <c r="A23" s="142" t="s">
        <v>127</v>
      </c>
      <c r="B23" s="143"/>
      <c r="C23" s="44">
        <f>C19/C22</f>
        <v>15.030000000000001</v>
      </c>
    </row>
    <row r="25" spans="1:7">
      <c r="A25" s="13"/>
      <c r="B25" s="13"/>
      <c r="C25" s="61"/>
      <c r="D25" s="13"/>
      <c r="E25" s="13"/>
      <c r="F25" s="13"/>
    </row>
    <row r="26" spans="1:7">
      <c r="A26" s="144"/>
      <c r="B26" s="144"/>
      <c r="C26" s="45"/>
      <c r="D26" s="45"/>
      <c r="E26" s="45"/>
      <c r="F26" s="45"/>
    </row>
    <row r="27" spans="1:7" ht="18.75">
      <c r="A27" s="145"/>
      <c r="B27" s="145"/>
      <c r="C27" s="46"/>
      <c r="D27" s="46"/>
      <c r="E27" s="13"/>
      <c r="F27" s="13"/>
    </row>
  </sheetData>
  <mergeCells count="9">
    <mergeCell ref="A23:B23"/>
    <mergeCell ref="A26:B26"/>
    <mergeCell ref="A27:B27"/>
    <mergeCell ref="A1:C1"/>
    <mergeCell ref="A3:C3"/>
    <mergeCell ref="A4:C4"/>
    <mergeCell ref="A5:C5"/>
    <mergeCell ref="A6:B6"/>
    <mergeCell ref="A22:B22"/>
  </mergeCells>
  <pageMargins left="0.7" right="0.7" top="0.75" bottom="0.75" header="0.3" footer="0.3"/>
  <pageSetup paperSize="9" scale="5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4.9989318521683403E-2"/>
  </sheetPr>
  <dimension ref="A1:F26"/>
  <sheetViews>
    <sheetView zoomScaleNormal="100" workbookViewId="0">
      <selection activeCell="B9" sqref="B9"/>
    </sheetView>
  </sheetViews>
  <sheetFormatPr defaultColWidth="8.85546875" defaultRowHeight="15.75"/>
  <cols>
    <col min="1" max="1" width="15.28515625" style="1" customWidth="1"/>
    <col min="2" max="2" width="87.28515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288</v>
      </c>
      <c r="B4" s="146"/>
      <c r="C4" s="146"/>
    </row>
    <row r="5" spans="1:5">
      <c r="A5" s="146" t="s">
        <v>117</v>
      </c>
      <c r="B5" s="146"/>
      <c r="C5" s="146"/>
    </row>
    <row r="6" spans="1:5" ht="16.5" thickBot="1">
      <c r="A6" s="147" t="s">
        <v>171</v>
      </c>
      <c r="B6" s="147"/>
    </row>
    <row r="7" spans="1:5" ht="100.5" customHeight="1" thickBot="1">
      <c r="A7" s="30" t="s">
        <v>118</v>
      </c>
      <c r="B7" s="31" t="s">
        <v>119</v>
      </c>
      <c r="C7" s="31" t="s">
        <v>120</v>
      </c>
    </row>
    <row r="8" spans="1:5" ht="16.5" thickBot="1">
      <c r="A8" s="47"/>
      <c r="B8" s="48" t="s">
        <v>121</v>
      </c>
      <c r="C8" s="49"/>
    </row>
    <row r="9" spans="1:5" ht="16.5" thickBot="1">
      <c r="A9" s="50" t="s">
        <v>132</v>
      </c>
      <c r="B9" s="52" t="s">
        <v>380</v>
      </c>
      <c r="C9" s="56">
        <f>7.58*140</f>
        <v>1061.2</v>
      </c>
      <c r="D9" s="9"/>
    </row>
    <row r="10" spans="1:5" ht="32.25" thickBot="1">
      <c r="A10" s="32" t="s">
        <v>133</v>
      </c>
      <c r="B10" s="91" t="s">
        <v>131</v>
      </c>
      <c r="C10" s="55">
        <f>ROUNDDOWN(C9*0.2409,1)</f>
        <v>255.6</v>
      </c>
    </row>
    <row r="11" spans="1:5" ht="16.5" thickBot="1">
      <c r="A11" s="32"/>
      <c r="B11" s="36" t="s">
        <v>122</v>
      </c>
      <c r="C11" s="37">
        <f>SUM(C9:C10)</f>
        <v>1316.8</v>
      </c>
    </row>
    <row r="12" spans="1:5" ht="16.5" thickBot="1">
      <c r="A12" s="32"/>
      <c r="B12" s="36" t="s">
        <v>123</v>
      </c>
      <c r="C12" s="38"/>
    </row>
    <row r="13" spans="1:5" ht="32.25" thickBot="1">
      <c r="A13" s="32" t="s">
        <v>145</v>
      </c>
      <c r="B13" s="34" t="s">
        <v>208</v>
      </c>
      <c r="C13" s="55">
        <f>0.09*140</f>
        <v>12.6</v>
      </c>
      <c r="E13" s="41"/>
    </row>
    <row r="14" spans="1:5" ht="32.25" thickBot="1">
      <c r="A14" s="32" t="s">
        <v>143</v>
      </c>
      <c r="B14" s="94" t="s">
        <v>207</v>
      </c>
      <c r="C14" s="55">
        <f>0.53*140</f>
        <v>74.2</v>
      </c>
    </row>
    <row r="15" spans="1:5" ht="32.25" thickBot="1">
      <c r="A15" s="32" t="s">
        <v>144</v>
      </c>
      <c r="B15" s="35" t="s">
        <v>202</v>
      </c>
      <c r="C15" s="55">
        <f>ROUNDUP((46423/438912)*140,1)</f>
        <v>14.9</v>
      </c>
    </row>
    <row r="16" spans="1:5" ht="32.25" thickBot="1">
      <c r="A16" s="32" t="s">
        <v>140</v>
      </c>
      <c r="B16" s="35" t="s">
        <v>212</v>
      </c>
      <c r="C16" s="55">
        <f>ROUNDUP((21000/438912)*140,2)</f>
        <v>6.7</v>
      </c>
    </row>
    <row r="17" spans="1:6" ht="16.5" thickBot="1">
      <c r="A17" s="32"/>
      <c r="B17" s="33" t="s">
        <v>124</v>
      </c>
      <c r="C17" s="37">
        <f>SUM(C13:C16)</f>
        <v>108.4</v>
      </c>
    </row>
    <row r="18" spans="1:6" ht="16.5" thickBot="1">
      <c r="A18" s="32"/>
      <c r="B18" s="42" t="s">
        <v>125</v>
      </c>
      <c r="C18" s="37">
        <f>C17+C11</f>
        <v>1425.2</v>
      </c>
    </row>
    <row r="19" spans="1:6">
      <c r="C19" s="9"/>
    </row>
    <row r="20" spans="1:6" ht="16.5" thickBot="1">
      <c r="C20" s="9"/>
    </row>
    <row r="21" spans="1:6" ht="16.5" thickBot="1">
      <c r="A21" s="142" t="s">
        <v>126</v>
      </c>
      <c r="B21" s="143"/>
      <c r="C21" s="43">
        <v>140</v>
      </c>
    </row>
    <row r="22" spans="1:6" ht="16.5" thickBot="1">
      <c r="A22" s="142" t="s">
        <v>127</v>
      </c>
      <c r="B22" s="143"/>
      <c r="C22" s="44">
        <f>C18/C21</f>
        <v>10.18</v>
      </c>
    </row>
    <row r="24" spans="1:6">
      <c r="A24" s="13"/>
      <c r="B24" s="13"/>
      <c r="C24" s="61"/>
      <c r="D24" s="13"/>
      <c r="E24" s="13"/>
      <c r="F24" s="13"/>
    </row>
    <row r="25" spans="1:6">
      <c r="A25" s="144"/>
      <c r="B25" s="144"/>
      <c r="C25" s="45"/>
      <c r="D25" s="45"/>
      <c r="E25" s="45"/>
      <c r="F25" s="45"/>
    </row>
    <row r="26" spans="1:6" ht="18.75">
      <c r="A26" s="145"/>
      <c r="B26" s="145"/>
      <c r="C26" s="46"/>
      <c r="D26" s="46"/>
      <c r="E26" s="13"/>
      <c r="F26" s="13"/>
    </row>
  </sheetData>
  <mergeCells count="9">
    <mergeCell ref="A22:B22"/>
    <mergeCell ref="A25:B25"/>
    <mergeCell ref="A26:B26"/>
    <mergeCell ref="A1:C1"/>
    <mergeCell ref="A3:C3"/>
    <mergeCell ref="A4:C4"/>
    <mergeCell ref="A5:C5"/>
    <mergeCell ref="A6:B6"/>
    <mergeCell ref="A21:B21"/>
  </mergeCells>
  <pageMargins left="0.7" right="0.7" top="0.75" bottom="0.75" header="0.3" footer="0.3"/>
  <pageSetup paperSize="9" scale="71"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4.9989318521683403E-2"/>
  </sheetPr>
  <dimension ref="A1:G43"/>
  <sheetViews>
    <sheetView zoomScaleNormal="100" workbookViewId="0">
      <selection activeCell="B12" sqref="B12"/>
    </sheetView>
  </sheetViews>
  <sheetFormatPr defaultColWidth="8.85546875" defaultRowHeight="15.75"/>
  <cols>
    <col min="1" max="1" width="14.140625" style="1" customWidth="1"/>
    <col min="2" max="2" width="104"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172</v>
      </c>
      <c r="B4" s="146"/>
      <c r="C4" s="146"/>
    </row>
    <row r="5" spans="1:5">
      <c r="A5" s="146" t="s">
        <v>117</v>
      </c>
      <c r="B5" s="146"/>
      <c r="C5" s="146"/>
    </row>
    <row r="6" spans="1:5" ht="16.5" thickBot="1">
      <c r="A6" s="147" t="s">
        <v>169</v>
      </c>
      <c r="B6" s="147"/>
    </row>
    <row r="7" spans="1:5" ht="96" customHeight="1" thickBot="1">
      <c r="A7" s="30" t="s">
        <v>118</v>
      </c>
      <c r="B7" s="31" t="s">
        <v>119</v>
      </c>
      <c r="C7" s="31" t="s">
        <v>120</v>
      </c>
    </row>
    <row r="8" spans="1:5" ht="16.5" thickBot="1">
      <c r="A8" s="47"/>
      <c r="B8" s="48" t="s">
        <v>121</v>
      </c>
      <c r="C8" s="49"/>
    </row>
    <row r="9" spans="1:5">
      <c r="A9" s="148" t="s">
        <v>132</v>
      </c>
      <c r="B9" s="88" t="s">
        <v>381</v>
      </c>
      <c r="C9" s="56">
        <f>17.91*13</f>
        <v>232.83</v>
      </c>
      <c r="D9" s="9"/>
    </row>
    <row r="10" spans="1:5">
      <c r="A10" s="149"/>
      <c r="B10" s="89" t="s">
        <v>382</v>
      </c>
      <c r="C10" s="57">
        <f>11.08*13</f>
        <v>144.04</v>
      </c>
    </row>
    <row r="11" spans="1:5">
      <c r="A11" s="152"/>
      <c r="B11" s="89" t="s">
        <v>382</v>
      </c>
      <c r="C11" s="57">
        <f>11.08*13</f>
        <v>144.04</v>
      </c>
    </row>
    <row r="12" spans="1:5" ht="16.5" thickBot="1">
      <c r="A12" s="150"/>
      <c r="B12" s="90" t="s">
        <v>383</v>
      </c>
      <c r="C12" s="58">
        <f>7.58*13</f>
        <v>98.54</v>
      </c>
    </row>
    <row r="13" spans="1:5" ht="15.75" customHeight="1" thickBot="1">
      <c r="A13" s="32" t="s">
        <v>133</v>
      </c>
      <c r="B13" s="91" t="s">
        <v>131</v>
      </c>
      <c r="C13" s="55">
        <f>(C9+C10+C11+C12)*0.2409</f>
        <v>149.225505</v>
      </c>
    </row>
    <row r="14" spans="1:5" ht="32.25" thickBot="1">
      <c r="A14" s="32" t="s">
        <v>134</v>
      </c>
      <c r="B14" s="35" t="s">
        <v>214</v>
      </c>
      <c r="C14" s="55">
        <f>(367899/438912)*13</f>
        <v>10.89668771872266</v>
      </c>
    </row>
    <row r="15" spans="1:5" ht="32.25" thickBot="1">
      <c r="A15" s="32" t="s">
        <v>136</v>
      </c>
      <c r="B15" s="62" t="s">
        <v>302</v>
      </c>
      <c r="C15" s="63">
        <f>(1.36+27.58)*13</f>
        <v>376.21999999999997</v>
      </c>
    </row>
    <row r="16" spans="1:5" ht="32.25" thickBot="1">
      <c r="A16" s="32" t="s">
        <v>137</v>
      </c>
      <c r="B16" s="91" t="s">
        <v>216</v>
      </c>
      <c r="C16" s="55">
        <f>(452717/438912)*13</f>
        <v>13.408886063721203</v>
      </c>
    </row>
    <row r="17" spans="1:5" ht="32.25" thickBot="1">
      <c r="A17" s="32" t="s">
        <v>139</v>
      </c>
      <c r="B17" s="35" t="s">
        <v>218</v>
      </c>
      <c r="C17" s="55">
        <f>(624380/438912)*13</f>
        <v>18.493319845435988</v>
      </c>
    </row>
    <row r="18" spans="1:5" ht="32.25" thickBot="1">
      <c r="A18" s="32" t="s">
        <v>217</v>
      </c>
      <c r="B18" s="35" t="s">
        <v>219</v>
      </c>
      <c r="C18" s="55">
        <f>1.14*13</f>
        <v>14.819999999999999</v>
      </c>
    </row>
    <row r="19" spans="1:5" ht="32.25" thickBot="1">
      <c r="A19" s="32" t="s">
        <v>138</v>
      </c>
      <c r="B19" s="75" t="s">
        <v>229</v>
      </c>
      <c r="C19" s="55">
        <f>11.45*13</f>
        <v>148.85</v>
      </c>
    </row>
    <row r="20" spans="1:5" ht="16.5" thickBot="1">
      <c r="A20" s="32"/>
      <c r="B20" s="36" t="s">
        <v>122</v>
      </c>
      <c r="C20" s="37">
        <f>SUM(C9:C19)</f>
        <v>1351.3643986278796</v>
      </c>
    </row>
    <row r="21" spans="1:5" ht="16.5" thickBot="1">
      <c r="A21" s="32"/>
      <c r="B21" s="36" t="s">
        <v>123</v>
      </c>
      <c r="C21" s="38"/>
    </row>
    <row r="22" spans="1:5" ht="15.75" customHeight="1" thickBot="1">
      <c r="A22" s="32" t="s">
        <v>141</v>
      </c>
      <c r="B22" s="39" t="s">
        <v>198</v>
      </c>
      <c r="C22" s="55">
        <f>(C9+C10+C11+C12)*0.25</f>
        <v>154.86249999999998</v>
      </c>
    </row>
    <row r="23" spans="1:5" ht="17.25" customHeight="1" thickBot="1">
      <c r="A23" s="32" t="s">
        <v>133</v>
      </c>
      <c r="B23" s="91" t="s">
        <v>131</v>
      </c>
      <c r="C23" s="55">
        <f>C22*0.2409</f>
        <v>37.30637625</v>
      </c>
    </row>
    <row r="24" spans="1:5" ht="32.25" thickBot="1">
      <c r="A24" s="32" t="s">
        <v>145</v>
      </c>
      <c r="B24" s="34" t="s">
        <v>208</v>
      </c>
      <c r="C24" s="55">
        <f>0.09*13</f>
        <v>1.17</v>
      </c>
      <c r="E24" s="41"/>
    </row>
    <row r="25" spans="1:5" ht="32.25" thickBot="1">
      <c r="A25" s="32" t="s">
        <v>142</v>
      </c>
      <c r="B25" s="35" t="s">
        <v>210</v>
      </c>
      <c r="C25" s="55">
        <f>(813902/438912)*13</f>
        <v>24.106713874307378</v>
      </c>
    </row>
    <row r="26" spans="1:5" ht="32.25" thickBot="1">
      <c r="A26" s="32" t="s">
        <v>143</v>
      </c>
      <c r="B26" s="94" t="s">
        <v>207</v>
      </c>
      <c r="C26" s="55">
        <f>ROUNDUP((234731/438912)*13,2)</f>
        <v>6.96</v>
      </c>
    </row>
    <row r="27" spans="1:5" ht="32.25" thickBot="1">
      <c r="A27" s="32" t="s">
        <v>139</v>
      </c>
      <c r="B27" s="40" t="s">
        <v>209</v>
      </c>
      <c r="C27" s="55">
        <f>1.28*13</f>
        <v>16.64</v>
      </c>
    </row>
    <row r="28" spans="1:5" ht="32.25" thickBot="1">
      <c r="A28" s="32" t="s">
        <v>135</v>
      </c>
      <c r="B28" s="35" t="s">
        <v>213</v>
      </c>
      <c r="C28" s="55">
        <f>1.43*13</f>
        <v>18.59</v>
      </c>
    </row>
    <row r="29" spans="1:5" ht="15.75" customHeight="1" thickBot="1">
      <c r="A29" s="32" t="s">
        <v>184</v>
      </c>
      <c r="B29" s="91" t="s">
        <v>211</v>
      </c>
      <c r="C29" s="55">
        <f>ROUNDUP((286606/438912)*13,2)</f>
        <v>8.49</v>
      </c>
    </row>
    <row r="30" spans="1:5" ht="32.25" thickBot="1">
      <c r="A30" s="32" t="s">
        <v>182</v>
      </c>
      <c r="B30" s="35" t="s">
        <v>220</v>
      </c>
      <c r="C30" s="55">
        <f>ROUND((157571/438912)*13,2)</f>
        <v>4.67</v>
      </c>
    </row>
    <row r="31" spans="1:5" ht="32.25" thickBot="1">
      <c r="A31" s="32" t="s">
        <v>144</v>
      </c>
      <c r="B31" s="35" t="s">
        <v>202</v>
      </c>
      <c r="C31" s="55">
        <f>ROUNDUP((46423/438912)*13,2)</f>
        <v>1.3800000000000001</v>
      </c>
    </row>
    <row r="32" spans="1:5" ht="32.25" thickBot="1">
      <c r="A32" s="32" t="s">
        <v>140</v>
      </c>
      <c r="B32" s="35" t="s">
        <v>212</v>
      </c>
      <c r="C32" s="55">
        <f>ROUNDUP((21000/438912)*13,2)</f>
        <v>0.63</v>
      </c>
    </row>
    <row r="33" spans="1:7" ht="32.25" thickBot="1">
      <c r="A33" s="32" t="s">
        <v>222</v>
      </c>
      <c r="B33" s="34" t="s">
        <v>196</v>
      </c>
      <c r="C33" s="63">
        <f>10*13</f>
        <v>130</v>
      </c>
      <c r="G33" s="9"/>
    </row>
    <row r="34" spans="1:7" ht="16.5" thickBot="1">
      <c r="A34" s="32"/>
      <c r="B34" s="33" t="s">
        <v>124</v>
      </c>
      <c r="C34" s="37">
        <f>SUM(C22:C33)</f>
        <v>404.80559012430734</v>
      </c>
    </row>
    <row r="35" spans="1:7" ht="16.5" thickBot="1">
      <c r="A35" s="32"/>
      <c r="B35" s="42" t="s">
        <v>125</v>
      </c>
      <c r="C35" s="37">
        <f>C34+C20</f>
        <v>1756.169988752187</v>
      </c>
    </row>
    <row r="36" spans="1:7">
      <c r="C36" s="9"/>
    </row>
    <row r="37" spans="1:7" ht="16.5" thickBot="1">
      <c r="C37" s="9"/>
    </row>
    <row r="38" spans="1:7" ht="16.5" thickBot="1">
      <c r="A38" s="142" t="s">
        <v>126</v>
      </c>
      <c r="B38" s="143"/>
      <c r="C38" s="43">
        <v>13</v>
      </c>
    </row>
    <row r="39" spans="1:7" ht="16.5" thickBot="1">
      <c r="A39" s="142" t="s">
        <v>127</v>
      </c>
      <c r="B39" s="143"/>
      <c r="C39" s="44">
        <f>C35/C38</f>
        <v>135.08999913478362</v>
      </c>
      <c r="D39" s="9"/>
    </row>
    <row r="41" spans="1:7">
      <c r="A41" s="13"/>
      <c r="B41" s="13"/>
      <c r="C41" s="61"/>
      <c r="D41" s="13"/>
      <c r="E41" s="13"/>
      <c r="F41" s="13"/>
    </row>
    <row r="42" spans="1:7">
      <c r="A42" s="144"/>
      <c r="B42" s="144"/>
      <c r="C42" s="45"/>
      <c r="D42" s="45"/>
      <c r="E42" s="45"/>
      <c r="F42" s="45"/>
    </row>
    <row r="43" spans="1:7" ht="18.75">
      <c r="A43" s="145"/>
      <c r="B43" s="145"/>
      <c r="C43" s="46"/>
      <c r="D43" s="46"/>
      <c r="E43" s="13"/>
      <c r="F43" s="13"/>
    </row>
  </sheetData>
  <mergeCells count="10">
    <mergeCell ref="A38:B38"/>
    <mergeCell ref="A39:B39"/>
    <mergeCell ref="A42:B42"/>
    <mergeCell ref="A43:B43"/>
    <mergeCell ref="A1:C1"/>
    <mergeCell ref="A3:C3"/>
    <mergeCell ref="A4:C4"/>
    <mergeCell ref="A5:C5"/>
    <mergeCell ref="A6:B6"/>
    <mergeCell ref="A9:A12"/>
  </mergeCells>
  <pageMargins left="0.7" right="0.7" top="0.75" bottom="0.75" header="0.3" footer="0.3"/>
  <pageSetup paperSize="9" scale="63"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sheetPr>
  <dimension ref="A1:F22"/>
  <sheetViews>
    <sheetView zoomScaleNormal="100" zoomScaleSheetLayoutView="100" workbookViewId="0">
      <selection activeCell="A22" sqref="A22:B22"/>
    </sheetView>
  </sheetViews>
  <sheetFormatPr defaultColWidth="8.85546875" defaultRowHeight="15.75"/>
  <cols>
    <col min="1" max="1" width="17.140625" style="1" customWidth="1"/>
    <col min="2" max="2" width="91.5703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173</v>
      </c>
      <c r="B4" s="146"/>
      <c r="C4" s="146"/>
    </row>
    <row r="5" spans="1:5">
      <c r="A5" s="146" t="s">
        <v>117</v>
      </c>
      <c r="B5" s="146"/>
      <c r="C5" s="146"/>
    </row>
    <row r="6" spans="1:5" ht="16.5" thickBot="1">
      <c r="A6" s="147" t="s">
        <v>310</v>
      </c>
      <c r="B6" s="147"/>
    </row>
    <row r="7" spans="1:5" ht="79.5" thickBot="1">
      <c r="A7" s="30" t="s">
        <v>118</v>
      </c>
      <c r="B7" s="31" t="s">
        <v>119</v>
      </c>
      <c r="C7" s="31" t="s">
        <v>120</v>
      </c>
    </row>
    <row r="8" spans="1:5" ht="16.5" thickBot="1">
      <c r="A8" s="47"/>
      <c r="B8" s="48" t="s">
        <v>121</v>
      </c>
      <c r="C8" s="49"/>
    </row>
    <row r="9" spans="1:5" ht="31.5">
      <c r="A9" s="113" t="s">
        <v>138</v>
      </c>
      <c r="B9" s="115" t="s">
        <v>305</v>
      </c>
      <c r="C9" s="117">
        <f>((15/100)*1.317)*10624</f>
        <v>2098.7711999999997</v>
      </c>
    </row>
    <row r="10" spans="1:5" ht="16.5" thickBot="1">
      <c r="A10" s="114" t="s">
        <v>139</v>
      </c>
      <c r="B10" s="116" t="s">
        <v>314</v>
      </c>
      <c r="C10" s="118">
        <v>663.47</v>
      </c>
    </row>
    <row r="11" spans="1:5" ht="16.5" thickBot="1">
      <c r="A11" s="32"/>
      <c r="B11" s="36" t="s">
        <v>122</v>
      </c>
      <c r="C11" s="119">
        <f>SUM(C9:C10)</f>
        <v>2762.2411999999995</v>
      </c>
    </row>
    <row r="12" spans="1:5" ht="16.5" thickBot="1">
      <c r="A12" s="32"/>
      <c r="B12" s="36" t="s">
        <v>123</v>
      </c>
      <c r="C12" s="55"/>
    </row>
    <row r="13" spans="1:5" ht="16.5" thickBot="1">
      <c r="A13" s="32"/>
      <c r="B13" s="33" t="s">
        <v>124</v>
      </c>
      <c r="C13" s="119">
        <v>0</v>
      </c>
    </row>
    <row r="14" spans="1:5" ht="16.5" thickBot="1">
      <c r="A14" s="32"/>
      <c r="B14" s="42" t="s">
        <v>125</v>
      </c>
      <c r="C14" s="119">
        <f>C13+C11</f>
        <v>2762.2411999999995</v>
      </c>
    </row>
    <row r="15" spans="1:5">
      <c r="C15" s="80"/>
    </row>
    <row r="16" spans="1:5" ht="16.5" thickBot="1">
      <c r="C16" s="80"/>
    </row>
    <row r="17" spans="1:6" ht="16.5" thickBot="1">
      <c r="A17" s="142" t="s">
        <v>126</v>
      </c>
      <c r="B17" s="143"/>
      <c r="C17" s="69">
        <v>10624</v>
      </c>
    </row>
    <row r="18" spans="1:6" ht="16.5" thickBot="1">
      <c r="A18" s="142" t="s">
        <v>127</v>
      </c>
      <c r="B18" s="143"/>
      <c r="C18" s="44">
        <f>C14/C17</f>
        <v>0.26000011295180719</v>
      </c>
    </row>
    <row r="20" spans="1:6">
      <c r="A20" s="13"/>
      <c r="B20" s="13"/>
      <c r="C20" s="61"/>
      <c r="D20" s="13"/>
      <c r="E20" s="13"/>
      <c r="F20" s="13"/>
    </row>
    <row r="21" spans="1:6">
      <c r="A21" s="144"/>
      <c r="B21" s="144"/>
      <c r="C21" s="45"/>
      <c r="D21" s="45"/>
      <c r="E21" s="45"/>
      <c r="F21" s="45"/>
    </row>
    <row r="22" spans="1:6" ht="18.75">
      <c r="A22" s="145"/>
      <c r="B22" s="145"/>
      <c r="C22" s="46"/>
      <c r="D22" s="46"/>
      <c r="E22" s="13"/>
      <c r="F22" s="13"/>
    </row>
  </sheetData>
  <mergeCells count="9">
    <mergeCell ref="A17:B17"/>
    <mergeCell ref="A18:B18"/>
    <mergeCell ref="A21:B21"/>
    <mergeCell ref="A22:B22"/>
    <mergeCell ref="A1:C1"/>
    <mergeCell ref="A3:C3"/>
    <mergeCell ref="A4:C4"/>
    <mergeCell ref="A5:C5"/>
    <mergeCell ref="A6:B6"/>
  </mergeCells>
  <pageMargins left="0.7" right="0.7" top="0.75" bottom="0.75" header="0.3" footer="0.3"/>
  <pageSetup paperSize="9" scale="63"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42"/>
  <sheetViews>
    <sheetView zoomScaleNormal="100" zoomScaleSheetLayoutView="100" workbookViewId="0">
      <selection activeCell="B11" sqref="B11"/>
    </sheetView>
  </sheetViews>
  <sheetFormatPr defaultColWidth="8.85546875" defaultRowHeight="15.75"/>
  <cols>
    <col min="1" max="1" width="11.7109375" style="1" customWidth="1"/>
    <col min="2" max="2" width="94.42578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164</v>
      </c>
      <c r="B4" s="146"/>
      <c r="C4" s="146"/>
    </row>
    <row r="5" spans="1:5">
      <c r="A5" s="146" t="s">
        <v>117</v>
      </c>
      <c r="B5" s="146"/>
      <c r="C5" s="146"/>
    </row>
    <row r="6" spans="1:5" ht="16.5" thickBot="1">
      <c r="A6" s="147" t="s">
        <v>155</v>
      </c>
      <c r="B6" s="147"/>
    </row>
    <row r="7" spans="1:5" ht="79.5" thickBot="1">
      <c r="A7" s="30" t="s">
        <v>118</v>
      </c>
      <c r="B7" s="31" t="s">
        <v>119</v>
      </c>
      <c r="C7" s="31" t="s">
        <v>120</v>
      </c>
    </row>
    <row r="8" spans="1:5" ht="16.5" thickBot="1">
      <c r="A8" s="47"/>
      <c r="B8" s="48" t="s">
        <v>121</v>
      </c>
      <c r="C8" s="49"/>
    </row>
    <row r="9" spans="1:5">
      <c r="A9" s="148" t="s">
        <v>132</v>
      </c>
      <c r="B9" s="88" t="s">
        <v>372</v>
      </c>
      <c r="C9" s="56">
        <f>17.91*4</f>
        <v>71.64</v>
      </c>
      <c r="D9" s="9"/>
    </row>
    <row r="10" spans="1:5">
      <c r="A10" s="149"/>
      <c r="B10" s="89" t="s">
        <v>384</v>
      </c>
      <c r="C10" s="57">
        <f>11.08*4</f>
        <v>44.32</v>
      </c>
    </row>
    <row r="11" spans="1:5" ht="16.5" thickBot="1">
      <c r="A11" s="150"/>
      <c r="B11" s="90" t="s">
        <v>385</v>
      </c>
      <c r="C11" s="58">
        <f>7.58*4</f>
        <v>30.32</v>
      </c>
    </row>
    <row r="12" spans="1:5" ht="32.25" thickBot="1">
      <c r="A12" s="32" t="s">
        <v>133</v>
      </c>
      <c r="B12" s="91" t="s">
        <v>131</v>
      </c>
      <c r="C12" s="55">
        <f>(C9+C10+C11)*0.2409</f>
        <v>35.238852000000001</v>
      </c>
    </row>
    <row r="13" spans="1:5" ht="32.25" thickBot="1">
      <c r="A13" s="32" t="s">
        <v>134</v>
      </c>
      <c r="B13" s="35" t="s">
        <v>214</v>
      </c>
      <c r="C13" s="55">
        <f>0.84*4</f>
        <v>3.36</v>
      </c>
    </row>
    <row r="14" spans="1:5" ht="32.25" thickBot="1">
      <c r="A14" s="32" t="s">
        <v>136</v>
      </c>
      <c r="B14" s="62" t="s">
        <v>303</v>
      </c>
      <c r="C14" s="63">
        <f>(1.36+11.52)*4</f>
        <v>51.519999999999996</v>
      </c>
    </row>
    <row r="15" spans="1:5" ht="32.25" thickBot="1">
      <c r="A15" s="32" t="s">
        <v>137</v>
      </c>
      <c r="B15" s="91" t="s">
        <v>216</v>
      </c>
      <c r="C15" s="55">
        <f>1.03*4</f>
        <v>4.12</v>
      </c>
    </row>
    <row r="16" spans="1:5" ht="32.25" thickBot="1">
      <c r="A16" s="32" t="s">
        <v>139</v>
      </c>
      <c r="B16" s="35" t="s">
        <v>218</v>
      </c>
      <c r="C16" s="55">
        <f>1.42*4</f>
        <v>5.68</v>
      </c>
    </row>
    <row r="17" spans="1:7" ht="32.25" thickBot="1">
      <c r="A17" s="32" t="s">
        <v>217</v>
      </c>
      <c r="B17" s="35" t="s">
        <v>219</v>
      </c>
      <c r="C17" s="55">
        <f>1.14*4</f>
        <v>4.5599999999999996</v>
      </c>
    </row>
    <row r="18" spans="1:7" ht="32.25" thickBot="1">
      <c r="A18" s="32" t="s">
        <v>138</v>
      </c>
      <c r="B18" s="62" t="s">
        <v>229</v>
      </c>
      <c r="C18" s="63">
        <f>11.45*4</f>
        <v>45.8</v>
      </c>
    </row>
    <row r="19" spans="1:7" ht="16.5" thickBot="1">
      <c r="A19" s="32"/>
      <c r="B19" s="36" t="s">
        <v>122</v>
      </c>
      <c r="C19" s="37">
        <f>SUM(C9:C18)</f>
        <v>296.55885200000006</v>
      </c>
    </row>
    <row r="20" spans="1:7" ht="16.5" thickBot="1">
      <c r="A20" s="32"/>
      <c r="B20" s="36" t="s">
        <v>123</v>
      </c>
      <c r="C20" s="38"/>
    </row>
    <row r="21" spans="1:7" ht="32.25" thickBot="1">
      <c r="A21" s="32" t="s">
        <v>141</v>
      </c>
      <c r="B21" s="39" t="s">
        <v>197</v>
      </c>
      <c r="C21" s="55">
        <f>(C9+C10+C11)*0.15</f>
        <v>21.942</v>
      </c>
    </row>
    <row r="22" spans="1:7" ht="32.25" thickBot="1">
      <c r="A22" s="32" t="s">
        <v>133</v>
      </c>
      <c r="B22" s="35" t="s">
        <v>131</v>
      </c>
      <c r="C22" s="55">
        <f>C21*0.2409</f>
        <v>5.2858277999999999</v>
      </c>
    </row>
    <row r="23" spans="1:7" ht="32.25" thickBot="1">
      <c r="A23" s="32" t="s">
        <v>145</v>
      </c>
      <c r="B23" s="34" t="s">
        <v>208</v>
      </c>
      <c r="C23" s="55">
        <f>ROUNDUP((39708/438912)*4,2)</f>
        <v>0.37</v>
      </c>
      <c r="E23" s="41"/>
    </row>
    <row r="24" spans="1:7" ht="32.25" thickBot="1">
      <c r="A24" s="32" t="s">
        <v>142</v>
      </c>
      <c r="B24" s="35" t="s">
        <v>210</v>
      </c>
      <c r="C24" s="55">
        <f>1.85*4</f>
        <v>7.4</v>
      </c>
    </row>
    <row r="25" spans="1:7" ht="32.25" thickBot="1">
      <c r="A25" s="32" t="s">
        <v>143</v>
      </c>
      <c r="B25" s="34" t="s">
        <v>207</v>
      </c>
      <c r="C25" s="55">
        <f>0.53*4</f>
        <v>2.12</v>
      </c>
    </row>
    <row r="26" spans="1:7" ht="32.25" thickBot="1">
      <c r="A26" s="32" t="s">
        <v>139</v>
      </c>
      <c r="B26" s="40" t="s">
        <v>209</v>
      </c>
      <c r="C26" s="55">
        <f>1.28*4</f>
        <v>5.12</v>
      </c>
    </row>
    <row r="27" spans="1:7" ht="32.25" thickBot="1">
      <c r="A27" s="32" t="s">
        <v>135</v>
      </c>
      <c r="B27" s="91" t="s">
        <v>213</v>
      </c>
      <c r="C27" s="55">
        <f>1.43*4</f>
        <v>5.72</v>
      </c>
    </row>
    <row r="28" spans="1:7" ht="32.25" thickBot="1">
      <c r="A28" s="32" t="s">
        <v>184</v>
      </c>
      <c r="B28" s="35" t="s">
        <v>211</v>
      </c>
      <c r="C28" s="55">
        <f>0.65*4</f>
        <v>2.6</v>
      </c>
    </row>
    <row r="29" spans="1:7" ht="32.25" thickBot="1">
      <c r="A29" s="32" t="s">
        <v>182</v>
      </c>
      <c r="B29" s="35" t="s">
        <v>220</v>
      </c>
      <c r="C29" s="55">
        <f>0.36*4</f>
        <v>1.44</v>
      </c>
    </row>
    <row r="30" spans="1:7" ht="32.25" thickBot="1">
      <c r="A30" s="32" t="s">
        <v>144</v>
      </c>
      <c r="B30" s="35" t="s">
        <v>202</v>
      </c>
      <c r="C30" s="55">
        <f>0.11*4</f>
        <v>0.44</v>
      </c>
    </row>
    <row r="31" spans="1:7" ht="32.25" thickBot="1">
      <c r="A31" s="32" t="s">
        <v>140</v>
      </c>
      <c r="B31" s="35" t="s">
        <v>212</v>
      </c>
      <c r="C31" s="55">
        <f>0.05*4</f>
        <v>0.2</v>
      </c>
    </row>
    <row r="32" spans="1:7" ht="32.25" thickBot="1">
      <c r="A32" s="32" t="s">
        <v>222</v>
      </c>
      <c r="B32" s="35" t="s">
        <v>223</v>
      </c>
      <c r="C32" s="55">
        <f>3.55*4</f>
        <v>14.2</v>
      </c>
      <c r="G32" s="9"/>
    </row>
    <row r="33" spans="1:6" ht="16.5" thickBot="1">
      <c r="A33" s="32"/>
      <c r="B33" s="33" t="s">
        <v>124</v>
      </c>
      <c r="C33" s="37">
        <f>SUM(C21:C32)</f>
        <v>66.837827799999999</v>
      </c>
    </row>
    <row r="34" spans="1:6" ht="16.5" thickBot="1">
      <c r="A34" s="32"/>
      <c r="B34" s="42" t="s">
        <v>125</v>
      </c>
      <c r="C34" s="37">
        <f>C33+C19</f>
        <v>363.39667980000007</v>
      </c>
    </row>
    <row r="35" spans="1:6">
      <c r="C35" s="9"/>
    </row>
    <row r="36" spans="1:6" ht="16.5" thickBot="1">
      <c r="C36" s="9"/>
    </row>
    <row r="37" spans="1:6" ht="16.5" thickBot="1">
      <c r="A37" s="142" t="s">
        <v>126</v>
      </c>
      <c r="B37" s="143"/>
      <c r="C37" s="43">
        <v>4</v>
      </c>
    </row>
    <row r="38" spans="1:6" ht="16.5" thickBot="1">
      <c r="A38" s="142" t="s">
        <v>127</v>
      </c>
      <c r="B38" s="143"/>
      <c r="C38" s="44">
        <f>C34/C37</f>
        <v>90.849169950000018</v>
      </c>
    </row>
    <row r="40" spans="1:6">
      <c r="A40" s="13"/>
      <c r="B40" s="13"/>
      <c r="C40" s="61"/>
      <c r="D40" s="13"/>
      <c r="E40" s="13"/>
      <c r="F40" s="13"/>
    </row>
    <row r="41" spans="1:6">
      <c r="A41" s="144"/>
      <c r="B41" s="144"/>
      <c r="C41" s="45"/>
      <c r="D41" s="45"/>
      <c r="E41" s="45"/>
      <c r="F41" s="45"/>
    </row>
    <row r="42" spans="1:6" ht="18.75">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7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G41"/>
  <sheetViews>
    <sheetView zoomScaleNormal="100" workbookViewId="0">
      <selection activeCell="B10" sqref="B10"/>
    </sheetView>
  </sheetViews>
  <sheetFormatPr defaultColWidth="8.85546875" defaultRowHeight="15.75"/>
  <cols>
    <col min="1" max="1" width="14.5703125" style="1" customWidth="1"/>
    <col min="2" max="2" width="106"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174</v>
      </c>
      <c r="B4" s="146"/>
      <c r="C4" s="146"/>
    </row>
    <row r="5" spans="1:5">
      <c r="A5" s="146" t="s">
        <v>117</v>
      </c>
      <c r="B5" s="146"/>
      <c r="C5" s="146"/>
    </row>
    <row r="6" spans="1:5" ht="16.5" thickBot="1">
      <c r="A6" s="147" t="s">
        <v>175</v>
      </c>
      <c r="B6" s="147"/>
    </row>
    <row r="7" spans="1:5" ht="96" customHeight="1" thickBot="1">
      <c r="A7" s="30" t="s">
        <v>118</v>
      </c>
      <c r="B7" s="31" t="s">
        <v>119</v>
      </c>
      <c r="C7" s="31" t="s">
        <v>120</v>
      </c>
    </row>
    <row r="8" spans="1:5" ht="16.5" thickBot="1">
      <c r="A8" s="47"/>
      <c r="B8" s="48" t="s">
        <v>121</v>
      </c>
      <c r="C8" s="49"/>
    </row>
    <row r="9" spans="1:5">
      <c r="A9" s="148" t="s">
        <v>132</v>
      </c>
      <c r="B9" s="51" t="s">
        <v>386</v>
      </c>
      <c r="C9" s="56">
        <f>17.21*206</f>
        <v>3545.26</v>
      </c>
      <c r="D9" s="9"/>
    </row>
    <row r="10" spans="1:5" ht="16.5" thickBot="1">
      <c r="A10" s="150"/>
      <c r="B10" s="90" t="s">
        <v>387</v>
      </c>
      <c r="C10" s="58">
        <f>7.58*206</f>
        <v>1561.48</v>
      </c>
    </row>
    <row r="11" spans="1:5" ht="35.25" customHeight="1" thickBot="1">
      <c r="A11" s="32" t="s">
        <v>133</v>
      </c>
      <c r="B11" s="91" t="s">
        <v>131</v>
      </c>
      <c r="C11" s="55">
        <f>(C9+C10)*0.2409</f>
        <v>1230.2136659999999</v>
      </c>
    </row>
    <row r="12" spans="1:5" ht="32.25" thickBot="1">
      <c r="A12" s="32" t="s">
        <v>134</v>
      </c>
      <c r="B12" s="35" t="s">
        <v>214</v>
      </c>
      <c r="C12" s="55">
        <f>(367899/438912)*206</f>
        <v>172.67059000437447</v>
      </c>
    </row>
    <row r="13" spans="1:5" ht="32.25" thickBot="1">
      <c r="A13" s="32" t="s">
        <v>136</v>
      </c>
      <c r="B13" s="62" t="s">
        <v>230</v>
      </c>
      <c r="C13" s="63">
        <f>((596554/438912)+9.22)*206</f>
        <v>2179.3080705016041</v>
      </c>
    </row>
    <row r="14" spans="1:5" ht="32.25" thickBot="1">
      <c r="A14" s="32" t="s">
        <v>137</v>
      </c>
      <c r="B14" s="91" t="s">
        <v>216</v>
      </c>
      <c r="C14" s="55">
        <f>ROUND((452717/438912)*206,2)</f>
        <v>212.48</v>
      </c>
    </row>
    <row r="15" spans="1:5" ht="32.25" thickBot="1">
      <c r="A15" s="32" t="s">
        <v>139</v>
      </c>
      <c r="B15" s="35" t="s">
        <v>218</v>
      </c>
      <c r="C15" s="55">
        <f>(624380/438912)*206</f>
        <v>293.04799139690874</v>
      </c>
    </row>
    <row r="16" spans="1:5" ht="32.25" thickBot="1">
      <c r="A16" s="32" t="s">
        <v>217</v>
      </c>
      <c r="B16" s="35" t="s">
        <v>219</v>
      </c>
      <c r="C16" s="55">
        <f>(500471/438912)*206</f>
        <v>234.89224719305921</v>
      </c>
    </row>
    <row r="17" spans="1:7" ht="32.25" thickBot="1">
      <c r="A17" s="32" t="s">
        <v>138</v>
      </c>
      <c r="B17" s="62" t="s">
        <v>229</v>
      </c>
      <c r="C17" s="63">
        <f>11.45*206</f>
        <v>2358.6999999999998</v>
      </c>
    </row>
    <row r="18" spans="1:7" ht="16.5" thickBot="1">
      <c r="A18" s="32"/>
      <c r="B18" s="36" t="s">
        <v>122</v>
      </c>
      <c r="C18" s="37">
        <f>SUM(C9:C17)</f>
        <v>11788.052565095946</v>
      </c>
    </row>
    <row r="19" spans="1:7" ht="16.5" thickBot="1">
      <c r="A19" s="32"/>
      <c r="B19" s="36" t="s">
        <v>123</v>
      </c>
      <c r="C19" s="38"/>
    </row>
    <row r="20" spans="1:7" ht="19.5" customHeight="1" thickBot="1">
      <c r="A20" s="32" t="s">
        <v>141</v>
      </c>
      <c r="B20" s="39" t="s">
        <v>197</v>
      </c>
      <c r="C20" s="55">
        <f>(C9+C10)*0.15</f>
        <v>766.01099999999997</v>
      </c>
    </row>
    <row r="21" spans="1:7" ht="18.75" customHeight="1" thickBot="1">
      <c r="A21" s="32" t="s">
        <v>133</v>
      </c>
      <c r="B21" s="91" t="s">
        <v>131</v>
      </c>
      <c r="C21" s="55">
        <f>C20*0.2409</f>
        <v>184.5320499</v>
      </c>
    </row>
    <row r="22" spans="1:7" ht="32.25" thickBot="1">
      <c r="A22" s="32" t="s">
        <v>145</v>
      </c>
      <c r="B22" s="34" t="s">
        <v>208</v>
      </c>
      <c r="C22" s="55">
        <f>(39708/438912)*206</f>
        <v>18.636646981627297</v>
      </c>
      <c r="E22" s="41"/>
    </row>
    <row r="23" spans="1:7" ht="32.25" thickBot="1">
      <c r="A23" s="32" t="s">
        <v>142</v>
      </c>
      <c r="B23" s="35" t="s">
        <v>210</v>
      </c>
      <c r="C23" s="55">
        <f>1.85*206</f>
        <v>381.1</v>
      </c>
    </row>
    <row r="24" spans="1:7" ht="32.25" thickBot="1">
      <c r="A24" s="32" t="s">
        <v>143</v>
      </c>
      <c r="B24" s="94" t="s">
        <v>207</v>
      </c>
      <c r="C24" s="55">
        <f>ROUND((234731/438912)*206,2)</f>
        <v>110.17</v>
      </c>
    </row>
    <row r="25" spans="1:7" ht="32.25" thickBot="1">
      <c r="A25" s="32" t="s">
        <v>139</v>
      </c>
      <c r="B25" s="40" t="s">
        <v>209</v>
      </c>
      <c r="C25" s="55">
        <f>ROUND((561364/438912)*206,2)</f>
        <v>263.47000000000003</v>
      </c>
    </row>
    <row r="26" spans="1:7" ht="32.25" thickBot="1">
      <c r="A26" s="32" t="s">
        <v>135</v>
      </c>
      <c r="B26" s="91" t="s">
        <v>213</v>
      </c>
      <c r="C26" s="55">
        <f>ROUNDUP((627676/438912)*206,2)</f>
        <v>294.59999999999997</v>
      </c>
    </row>
    <row r="27" spans="1:7" ht="19.5" customHeight="1" thickBot="1">
      <c r="A27" s="32" t="s">
        <v>184</v>
      </c>
      <c r="B27" s="91" t="s">
        <v>211</v>
      </c>
      <c r="C27" s="55">
        <f>(286606/438912)*206</f>
        <v>134.51634040536601</v>
      </c>
    </row>
    <row r="28" spans="1:7" ht="32.25" thickBot="1">
      <c r="A28" s="32" t="s">
        <v>182</v>
      </c>
      <c r="B28" s="35" t="s">
        <v>301</v>
      </c>
      <c r="C28" s="55">
        <f>ROUNDUP((157571/438912)*206,2)</f>
        <v>73.960000000000008</v>
      </c>
    </row>
    <row r="29" spans="1:7" ht="32.25" thickBot="1">
      <c r="A29" s="32" t="s">
        <v>144</v>
      </c>
      <c r="B29" s="35" t="s">
        <v>202</v>
      </c>
      <c r="C29" s="55">
        <f>(46423/438912)*206</f>
        <v>21.788281022163897</v>
      </c>
    </row>
    <row r="30" spans="1:7" ht="32.25" thickBot="1">
      <c r="A30" s="32" t="s">
        <v>140</v>
      </c>
      <c r="B30" s="35" t="s">
        <v>212</v>
      </c>
      <c r="C30" s="55">
        <f>0.05*206</f>
        <v>10.3</v>
      </c>
    </row>
    <row r="31" spans="1:7" ht="32.25" thickBot="1">
      <c r="A31" s="32" t="s">
        <v>222</v>
      </c>
      <c r="B31" s="35" t="s">
        <v>223</v>
      </c>
      <c r="C31" s="55">
        <f>3.55*206</f>
        <v>731.3</v>
      </c>
      <c r="G31" s="9"/>
    </row>
    <row r="32" spans="1:7" ht="16.5" thickBot="1">
      <c r="A32" s="32"/>
      <c r="B32" s="33" t="s">
        <v>124</v>
      </c>
      <c r="C32" s="37">
        <f>SUM(C20:C31)</f>
        <v>2990.3843183091576</v>
      </c>
    </row>
    <row r="33" spans="1:6" ht="16.5" thickBot="1">
      <c r="A33" s="32"/>
      <c r="B33" s="42" t="s">
        <v>125</v>
      </c>
      <c r="C33" s="37">
        <f>C32+C18</f>
        <v>14778.436883405104</v>
      </c>
    </row>
    <row r="34" spans="1:6">
      <c r="C34" s="9"/>
    </row>
    <row r="35" spans="1:6" ht="16.5" thickBot="1">
      <c r="C35" s="9"/>
    </row>
    <row r="36" spans="1:6" ht="16.5" thickBot="1">
      <c r="A36" s="142" t="s">
        <v>126</v>
      </c>
      <c r="B36" s="143"/>
      <c r="C36" s="43">
        <v>206</v>
      </c>
    </row>
    <row r="37" spans="1:6" ht="16.5" thickBot="1">
      <c r="A37" s="142" t="s">
        <v>127</v>
      </c>
      <c r="B37" s="143"/>
      <c r="C37" s="44">
        <f>C33/C36</f>
        <v>71.739984870898567</v>
      </c>
    </row>
    <row r="39" spans="1:6">
      <c r="A39" s="13"/>
      <c r="B39" s="13"/>
      <c r="C39" s="61"/>
      <c r="D39" s="13"/>
      <c r="E39" s="13"/>
      <c r="F39" s="13"/>
    </row>
    <row r="40" spans="1:6">
      <c r="A40" s="144"/>
      <c r="B40" s="144"/>
      <c r="C40" s="45"/>
      <c r="D40" s="45"/>
      <c r="E40" s="45"/>
      <c r="F40" s="45"/>
    </row>
    <row r="41" spans="1:6" ht="18.75">
      <c r="A41" s="145"/>
      <c r="B41" s="145"/>
      <c r="C41" s="46"/>
      <c r="D41" s="46"/>
      <c r="E41" s="13"/>
      <c r="F41" s="13"/>
    </row>
  </sheetData>
  <mergeCells count="10">
    <mergeCell ref="A36:B36"/>
    <mergeCell ref="A37:B37"/>
    <mergeCell ref="A40:B40"/>
    <mergeCell ref="A41:B41"/>
    <mergeCell ref="A1:C1"/>
    <mergeCell ref="A3:C3"/>
    <mergeCell ref="A4:C4"/>
    <mergeCell ref="A5:C5"/>
    <mergeCell ref="A6:B6"/>
    <mergeCell ref="A9:A10"/>
  </mergeCell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zoomScaleNormal="100" workbookViewId="0">
      <selection activeCell="B11" sqref="B11"/>
    </sheetView>
  </sheetViews>
  <sheetFormatPr defaultColWidth="8.85546875" defaultRowHeight="15.75"/>
  <cols>
    <col min="1" max="1" width="15" style="1" customWidth="1"/>
    <col min="2" max="2" width="106.710937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1.5" customHeight="1">
      <c r="A4" s="146" t="s">
        <v>147</v>
      </c>
      <c r="B4" s="146"/>
      <c r="C4" s="146"/>
    </row>
    <row r="5" spans="1:5">
      <c r="A5" s="146" t="s">
        <v>117</v>
      </c>
      <c r="B5" s="146"/>
      <c r="C5" s="146"/>
    </row>
    <row r="6" spans="1:5" ht="16.5" thickBot="1">
      <c r="A6" s="147" t="s">
        <v>306</v>
      </c>
      <c r="B6" s="147"/>
    </row>
    <row r="7" spans="1:5" ht="84.75" customHeight="1" thickBot="1">
      <c r="A7" s="30" t="s">
        <v>118</v>
      </c>
      <c r="B7" s="31" t="s">
        <v>119</v>
      </c>
      <c r="C7" s="31" t="s">
        <v>120</v>
      </c>
    </row>
    <row r="8" spans="1:5" ht="16.5" thickBot="1">
      <c r="A8" s="47"/>
      <c r="B8" s="48" t="s">
        <v>121</v>
      </c>
      <c r="C8" s="49"/>
    </row>
    <row r="9" spans="1:5">
      <c r="A9" s="148" t="s">
        <v>132</v>
      </c>
      <c r="B9" s="88" t="s">
        <v>339</v>
      </c>
      <c r="C9" s="56">
        <f>17.21*1010</f>
        <v>17382.100000000002</v>
      </c>
      <c r="D9" s="9"/>
    </row>
    <row r="10" spans="1:5">
      <c r="A10" s="149"/>
      <c r="B10" s="89" t="s">
        <v>340</v>
      </c>
      <c r="C10" s="57">
        <f>11.08*1010</f>
        <v>11190.8</v>
      </c>
    </row>
    <row r="11" spans="1:5" ht="16.5" thickBot="1">
      <c r="A11" s="150"/>
      <c r="B11" s="90" t="s">
        <v>341</v>
      </c>
      <c r="C11" s="58">
        <f>7.58*1010</f>
        <v>7655.8</v>
      </c>
    </row>
    <row r="12" spans="1:5" ht="36.75" customHeight="1" thickBot="1">
      <c r="A12" s="32" t="s">
        <v>133</v>
      </c>
      <c r="B12" s="91" t="s">
        <v>131</v>
      </c>
      <c r="C12" s="55">
        <f>(C9+C10+C11)*0.2409</f>
        <v>8727.4938300000013</v>
      </c>
    </row>
    <row r="13" spans="1:5" ht="32.25" thickBot="1">
      <c r="A13" s="32" t="s">
        <v>134</v>
      </c>
      <c r="B13" s="91" t="s">
        <v>214</v>
      </c>
      <c r="C13" s="55">
        <f>ROUNDUP((367899/438912)*1010,1)</f>
        <v>846.6</v>
      </c>
    </row>
    <row r="14" spans="1:5" ht="32.25" thickBot="1">
      <c r="A14" s="32" t="s">
        <v>136</v>
      </c>
      <c r="B14" s="92" t="s">
        <v>227</v>
      </c>
      <c r="C14" s="63">
        <f>ROUNDUP(((596554/438912)+11.52)*1010,1)</f>
        <v>13008</v>
      </c>
    </row>
    <row r="15" spans="1:5" ht="32.25" thickBot="1">
      <c r="A15" s="32" t="s">
        <v>137</v>
      </c>
      <c r="B15" s="91" t="s">
        <v>216</v>
      </c>
      <c r="C15" s="55">
        <f>ROUNDUP((452717/438912)*1010,1)</f>
        <v>1041.8</v>
      </c>
    </row>
    <row r="16" spans="1:5" ht="32.25" thickBot="1">
      <c r="A16" s="32" t="s">
        <v>139</v>
      </c>
      <c r="B16" s="91" t="s">
        <v>218</v>
      </c>
      <c r="C16" s="55">
        <f>ROUNDUP((624380/438912)*1010,1)</f>
        <v>1436.8</v>
      </c>
    </row>
    <row r="17" spans="1:5" ht="32.25" thickBot="1">
      <c r="A17" s="32" t="s">
        <v>217</v>
      </c>
      <c r="B17" s="91" t="s">
        <v>219</v>
      </c>
      <c r="C17" s="55">
        <f>ROUNDUP((500471/438912)*1010,1)</f>
        <v>1151.6999999999998</v>
      </c>
    </row>
    <row r="18" spans="1:5" ht="32.25" thickBot="1">
      <c r="A18" s="32" t="s">
        <v>138</v>
      </c>
      <c r="B18" s="91" t="s">
        <v>226</v>
      </c>
      <c r="C18" s="55">
        <f>ROUNDUP(((15/100)*37*1.06)*1010,1)</f>
        <v>5941.9000000000005</v>
      </c>
    </row>
    <row r="19" spans="1:5" ht="16.5" thickBot="1">
      <c r="A19" s="32"/>
      <c r="B19" s="93" t="s">
        <v>122</v>
      </c>
      <c r="C19" s="37">
        <f>SUM(C9:C18)</f>
        <v>68382.993830000007</v>
      </c>
    </row>
    <row r="20" spans="1:5" ht="16.5" thickBot="1">
      <c r="A20" s="32"/>
      <c r="B20" s="93" t="s">
        <v>123</v>
      </c>
      <c r="C20" s="38"/>
    </row>
    <row r="21" spans="1:5" ht="36.75" customHeight="1" thickBot="1">
      <c r="A21" s="32" t="s">
        <v>141</v>
      </c>
      <c r="B21" s="39" t="s">
        <v>198</v>
      </c>
      <c r="C21" s="55">
        <f>(C9+C10+C11)*0.25</f>
        <v>9057.1750000000011</v>
      </c>
    </row>
    <row r="22" spans="1:5" ht="35.25" customHeight="1" thickBot="1">
      <c r="A22" s="32" t="s">
        <v>133</v>
      </c>
      <c r="B22" s="35" t="s">
        <v>131</v>
      </c>
      <c r="C22" s="55">
        <f>ROUNDUP(C21*0.2409,1)</f>
        <v>2181.9</v>
      </c>
    </row>
    <row r="23" spans="1:5" ht="32.25" thickBot="1">
      <c r="A23" s="32" t="s">
        <v>145</v>
      </c>
      <c r="B23" s="94" t="s">
        <v>208</v>
      </c>
      <c r="C23" s="55">
        <f>ROUNDUP((39708/438912)*1010,0)</f>
        <v>92</v>
      </c>
      <c r="E23" s="41"/>
    </row>
    <row r="24" spans="1:5" ht="32.25" thickBot="1">
      <c r="A24" s="32" t="s">
        <v>142</v>
      </c>
      <c r="B24" s="91" t="s">
        <v>210</v>
      </c>
      <c r="C24" s="55">
        <f>ROUNDUP((813902/438912)*1010,1)</f>
        <v>1873</v>
      </c>
    </row>
    <row r="25" spans="1:5" ht="32.25" thickBot="1">
      <c r="A25" s="32" t="s">
        <v>143</v>
      </c>
      <c r="B25" s="94" t="s">
        <v>207</v>
      </c>
      <c r="C25" s="55">
        <f>ROUNDUP((234731/438912)*1010,1)</f>
        <v>540.20000000000005</v>
      </c>
    </row>
    <row r="26" spans="1:5" ht="32.25" thickBot="1">
      <c r="A26" s="32" t="s">
        <v>139</v>
      </c>
      <c r="B26" s="95" t="s">
        <v>209</v>
      </c>
      <c r="C26" s="55">
        <f>ROUNDUP((561364/438912)*1010,1)</f>
        <v>1291.8</v>
      </c>
    </row>
    <row r="27" spans="1:5" ht="32.25" thickBot="1">
      <c r="A27" s="32" t="s">
        <v>135</v>
      </c>
      <c r="B27" s="91" t="s">
        <v>213</v>
      </c>
      <c r="C27" s="55">
        <f>ROUNDUP((627676/438912)*1010,0)</f>
        <v>1445</v>
      </c>
    </row>
    <row r="28" spans="1:5" ht="39" customHeight="1" thickBot="1">
      <c r="A28" s="32" t="s">
        <v>184</v>
      </c>
      <c r="B28" s="91" t="s">
        <v>211</v>
      </c>
      <c r="C28" s="55">
        <f>ROUNDUP((286606/438912)*1010,0)</f>
        <v>660</v>
      </c>
    </row>
    <row r="29" spans="1:5" ht="38.25" customHeight="1" thickBot="1">
      <c r="A29" s="32" t="s">
        <v>182</v>
      </c>
      <c r="B29" s="91" t="s">
        <v>220</v>
      </c>
      <c r="C29" s="55">
        <f>ROUNDUP((157571/438912)*1010,1)</f>
        <v>362.6</v>
      </c>
    </row>
    <row r="30" spans="1:5" ht="32.25" thickBot="1">
      <c r="A30" s="32" t="s">
        <v>144</v>
      </c>
      <c r="B30" s="91" t="s">
        <v>202</v>
      </c>
      <c r="C30" s="55">
        <f>ROUNDUP((46423/438912)*1010,1)</f>
        <v>106.89999999999999</v>
      </c>
    </row>
    <row r="31" spans="1:5" ht="32.25" thickBot="1">
      <c r="A31" s="32" t="s">
        <v>200</v>
      </c>
      <c r="B31" s="92" t="s">
        <v>201</v>
      </c>
      <c r="C31" s="63">
        <f>44.65*1010</f>
        <v>45096.5</v>
      </c>
    </row>
    <row r="32" spans="1:5" ht="32.25" thickBot="1">
      <c r="A32" s="32" t="s">
        <v>140</v>
      </c>
      <c r="B32" s="91" t="s">
        <v>212</v>
      </c>
      <c r="C32" s="55">
        <f>ROUNDUP((21000/438912)*1010,2)</f>
        <v>48.33</v>
      </c>
    </row>
    <row r="33" spans="1:7" ht="32.25" thickBot="1">
      <c r="A33" s="32" t="s">
        <v>222</v>
      </c>
      <c r="B33" s="91" t="s">
        <v>223</v>
      </c>
      <c r="C33" s="55">
        <f>3.55*1010</f>
        <v>3585.5</v>
      </c>
      <c r="G33" s="9"/>
    </row>
    <row r="34" spans="1:7" ht="16.5" thickBot="1">
      <c r="A34" s="32"/>
      <c r="B34" s="33" t="s">
        <v>124</v>
      </c>
      <c r="C34" s="37">
        <f>SUM(C21:C33)</f>
        <v>66340.904999999999</v>
      </c>
    </row>
    <row r="35" spans="1:7" ht="16.5" thickBot="1">
      <c r="A35" s="32"/>
      <c r="B35" s="42" t="s">
        <v>125</v>
      </c>
      <c r="C35" s="37">
        <f>C34+C19</f>
        <v>134723.89883000002</v>
      </c>
    </row>
    <row r="36" spans="1:7">
      <c r="C36" s="9"/>
    </row>
    <row r="37" spans="1:7" ht="16.5" thickBot="1">
      <c r="C37" s="9"/>
    </row>
    <row r="38" spans="1:7" ht="16.5" thickBot="1">
      <c r="A38" s="142" t="s">
        <v>126</v>
      </c>
      <c r="B38" s="143"/>
      <c r="C38" s="43">
        <v>1010</v>
      </c>
    </row>
    <row r="39" spans="1:7" ht="16.5" thickBot="1">
      <c r="A39" s="142" t="s">
        <v>127</v>
      </c>
      <c r="B39" s="143"/>
      <c r="C39" s="44">
        <f>C35/C38</f>
        <v>133.38999884158417</v>
      </c>
    </row>
    <row r="41" spans="1:7">
      <c r="A41" s="13"/>
      <c r="B41" s="13"/>
      <c r="C41" s="13"/>
      <c r="D41" s="13"/>
      <c r="E41" s="13"/>
      <c r="F41" s="13"/>
    </row>
    <row r="42" spans="1:7">
      <c r="A42" s="144"/>
      <c r="B42" s="144"/>
      <c r="C42" s="59"/>
      <c r="D42" s="45"/>
      <c r="E42" s="45"/>
      <c r="F42" s="45"/>
    </row>
    <row r="43" spans="1:7" ht="18.75" hidden="1">
      <c r="A43" s="145"/>
      <c r="B43" s="145"/>
      <c r="C43" s="46"/>
      <c r="D43" s="46"/>
      <c r="E43" s="13"/>
      <c r="F43" s="13"/>
    </row>
    <row r="44" spans="1:7">
      <c r="C44" s="9"/>
    </row>
    <row r="45" spans="1:7">
      <c r="C45" s="9"/>
    </row>
    <row r="46" spans="1:7">
      <c r="C46" s="9"/>
    </row>
  </sheetData>
  <mergeCells count="10">
    <mergeCell ref="A38:B38"/>
    <mergeCell ref="A39:B39"/>
    <mergeCell ref="A42:B42"/>
    <mergeCell ref="A43:B43"/>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37"/>
  <sheetViews>
    <sheetView zoomScaleNormal="100" workbookViewId="0">
      <selection activeCell="B9" sqref="B9"/>
    </sheetView>
  </sheetViews>
  <sheetFormatPr defaultColWidth="8.85546875" defaultRowHeight="15.75"/>
  <cols>
    <col min="1" max="1" width="16.28515625" style="1" customWidth="1"/>
    <col min="2" max="2" width="98.28515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176</v>
      </c>
      <c r="B4" s="146"/>
      <c r="C4" s="146"/>
    </row>
    <row r="5" spans="1:5">
      <c r="A5" s="146" t="s">
        <v>117</v>
      </c>
      <c r="B5" s="146"/>
      <c r="C5" s="146"/>
    </row>
    <row r="6" spans="1:5" ht="16.5" thickBot="1">
      <c r="A6" s="147" t="s">
        <v>177</v>
      </c>
      <c r="B6" s="147"/>
    </row>
    <row r="7" spans="1:5" ht="79.5" thickBot="1">
      <c r="A7" s="30" t="s">
        <v>118</v>
      </c>
      <c r="B7" s="31" t="s">
        <v>119</v>
      </c>
      <c r="C7" s="31" t="s">
        <v>120</v>
      </c>
    </row>
    <row r="8" spans="1:5" ht="16.5" thickBot="1">
      <c r="A8" s="47"/>
      <c r="B8" s="48" t="s">
        <v>121</v>
      </c>
      <c r="C8" s="49"/>
    </row>
    <row r="9" spans="1:5">
      <c r="A9" s="54" t="s">
        <v>132</v>
      </c>
      <c r="B9" s="51" t="s">
        <v>392</v>
      </c>
      <c r="C9" s="56">
        <f>17.21*270</f>
        <v>4646.7</v>
      </c>
      <c r="D9" s="9"/>
    </row>
    <row r="10" spans="1:5" ht="32.25" thickBot="1">
      <c r="A10" s="32" t="s">
        <v>133</v>
      </c>
      <c r="B10" s="91" t="s">
        <v>131</v>
      </c>
      <c r="C10" s="55">
        <f>C9*0.2409</f>
        <v>1119.39003</v>
      </c>
    </row>
    <row r="11" spans="1:5" ht="32.25" thickBot="1">
      <c r="A11" s="32" t="s">
        <v>134</v>
      </c>
      <c r="B11" s="35" t="s">
        <v>214</v>
      </c>
      <c r="C11" s="55">
        <f>ROUNDUP((367899/438912)*270,2)</f>
        <v>226.32</v>
      </c>
    </row>
    <row r="12" spans="1:5" ht="32.25" thickBot="1">
      <c r="A12" s="32" t="s">
        <v>136</v>
      </c>
      <c r="B12" s="62" t="s">
        <v>230</v>
      </c>
      <c r="C12" s="63">
        <f>ROUNDUP(((596554/438912)+9.22)*270,2)</f>
        <v>2856.38</v>
      </c>
    </row>
    <row r="13" spans="1:5" ht="32.25" thickBot="1">
      <c r="A13" s="32" t="s">
        <v>137</v>
      </c>
      <c r="B13" s="91" t="s">
        <v>216</v>
      </c>
      <c r="C13" s="55">
        <f>ROUNDUP((452717/438912)*270,2)</f>
        <v>278.5</v>
      </c>
    </row>
    <row r="14" spans="1:5" ht="16.5" thickBot="1">
      <c r="A14" s="32"/>
      <c r="B14" s="36" t="s">
        <v>122</v>
      </c>
      <c r="C14" s="37">
        <f>SUM(C9:C13)</f>
        <v>9127.2900300000001</v>
      </c>
    </row>
    <row r="15" spans="1:5" ht="16.5" thickBot="1">
      <c r="A15" s="32"/>
      <c r="B15" s="36" t="s">
        <v>123</v>
      </c>
      <c r="C15" s="38"/>
    </row>
    <row r="16" spans="1:5" ht="32.25" thickBot="1">
      <c r="A16" s="32" t="s">
        <v>141</v>
      </c>
      <c r="B16" s="39" t="s">
        <v>197</v>
      </c>
      <c r="C16" s="55">
        <f>C9*0.15</f>
        <v>697.005</v>
      </c>
    </row>
    <row r="17" spans="1:7" ht="32.25" thickBot="1">
      <c r="A17" s="32" t="s">
        <v>133</v>
      </c>
      <c r="B17" s="91" t="s">
        <v>131</v>
      </c>
      <c r="C17" s="55">
        <f>C16*0.2409</f>
        <v>167.90850449999999</v>
      </c>
    </row>
    <row r="18" spans="1:7" ht="32.25" thickBot="1">
      <c r="A18" s="32" t="s">
        <v>145</v>
      </c>
      <c r="B18" s="34" t="s">
        <v>208</v>
      </c>
      <c r="C18" s="55">
        <f>ROUNDUP((39708/438912)*270,2)</f>
        <v>24.430000000000003</v>
      </c>
      <c r="E18" s="41"/>
    </row>
    <row r="19" spans="1:7" ht="32.25" thickBot="1">
      <c r="A19" s="32" t="s">
        <v>142</v>
      </c>
      <c r="B19" s="35" t="s">
        <v>210</v>
      </c>
      <c r="C19" s="55">
        <f>ROUNDUP((813902/438912)*270,2)</f>
        <v>500.68</v>
      </c>
    </row>
    <row r="20" spans="1:7" ht="32.25" thickBot="1">
      <c r="A20" s="32" t="s">
        <v>143</v>
      </c>
      <c r="B20" s="94" t="s">
        <v>207</v>
      </c>
      <c r="C20" s="55">
        <f>0.53*270</f>
        <v>143.1</v>
      </c>
    </row>
    <row r="21" spans="1:7" ht="32.25" thickBot="1">
      <c r="A21" s="32" t="s">
        <v>139</v>
      </c>
      <c r="B21" s="40" t="s">
        <v>209</v>
      </c>
      <c r="C21" s="55">
        <f>ROUNDUP((561364/438912)*270,2)</f>
        <v>345.33</v>
      </c>
    </row>
    <row r="22" spans="1:7" ht="32.25" thickBot="1">
      <c r="A22" s="32" t="s">
        <v>135</v>
      </c>
      <c r="B22" s="91" t="s">
        <v>213</v>
      </c>
      <c r="C22" s="55">
        <f>ROUNDUP((627676/438912)*270,2)</f>
        <v>386.12</v>
      </c>
    </row>
    <row r="23" spans="1:7" ht="32.25" thickBot="1">
      <c r="A23" s="32" t="s">
        <v>184</v>
      </c>
      <c r="B23" s="91" t="s">
        <v>211</v>
      </c>
      <c r="C23" s="55">
        <f>ROUNDUP((286606/438912)*270,2)</f>
        <v>176.31</v>
      </c>
    </row>
    <row r="24" spans="1:7" ht="32.25" thickBot="1">
      <c r="A24" s="32" t="s">
        <v>182</v>
      </c>
      <c r="B24" s="35" t="s">
        <v>301</v>
      </c>
      <c r="C24" s="55">
        <f>ROUND((157571/438912)*270,2)</f>
        <v>96.93</v>
      </c>
    </row>
    <row r="25" spans="1:7" ht="32.25" thickBot="1">
      <c r="A25" s="32" t="s">
        <v>144</v>
      </c>
      <c r="B25" s="35" t="s">
        <v>202</v>
      </c>
      <c r="C25" s="55">
        <f>ROUNDUP((46423/438912)*270,1)</f>
        <v>28.6</v>
      </c>
    </row>
    <row r="26" spans="1:7" ht="32.25" thickBot="1">
      <c r="A26" s="32" t="s">
        <v>140</v>
      </c>
      <c r="B26" s="35" t="s">
        <v>212</v>
      </c>
      <c r="C26" s="55">
        <f>0.05*270</f>
        <v>13.5</v>
      </c>
    </row>
    <row r="27" spans="1:7" ht="16.5" thickBot="1">
      <c r="A27" s="32" t="s">
        <v>222</v>
      </c>
      <c r="B27" s="35" t="s">
        <v>224</v>
      </c>
      <c r="C27" s="55">
        <f>1.8*270</f>
        <v>486</v>
      </c>
      <c r="G27" s="9"/>
    </row>
    <row r="28" spans="1:7" ht="16.5" thickBot="1">
      <c r="A28" s="32"/>
      <c r="B28" s="33" t="s">
        <v>124</v>
      </c>
      <c r="C28" s="37">
        <f>SUM(C16:C27)</f>
        <v>3065.9135044999994</v>
      </c>
    </row>
    <row r="29" spans="1:7" ht="16.5" thickBot="1">
      <c r="A29" s="32"/>
      <c r="B29" s="42" t="s">
        <v>125</v>
      </c>
      <c r="C29" s="37">
        <f>C28+C14</f>
        <v>12193.2035345</v>
      </c>
    </row>
    <row r="30" spans="1:7">
      <c r="C30" s="9"/>
    </row>
    <row r="31" spans="1:7" ht="16.5" thickBot="1">
      <c r="C31" s="9"/>
    </row>
    <row r="32" spans="1:7" ht="16.5" thickBot="1">
      <c r="A32" s="142" t="s">
        <v>126</v>
      </c>
      <c r="B32" s="143"/>
      <c r="C32" s="43">
        <v>270</v>
      </c>
    </row>
    <row r="33" spans="1:6" ht="16.5" thickBot="1">
      <c r="A33" s="142" t="s">
        <v>127</v>
      </c>
      <c r="B33" s="143"/>
      <c r="C33" s="44">
        <f>C29/C32</f>
        <v>45.16001309074074</v>
      </c>
    </row>
    <row r="35" spans="1:6">
      <c r="A35" s="13"/>
      <c r="B35" s="13"/>
      <c r="C35" s="61"/>
      <c r="D35" s="13"/>
      <c r="E35" s="13"/>
      <c r="F35" s="13"/>
    </row>
    <row r="36" spans="1:6">
      <c r="A36" s="144"/>
      <c r="B36" s="144"/>
      <c r="C36" s="45"/>
      <c r="D36" s="45"/>
      <c r="E36" s="45"/>
      <c r="F36" s="45"/>
    </row>
    <row r="37" spans="1:6" ht="18.75">
      <c r="A37" s="145"/>
      <c r="B37" s="145"/>
      <c r="C37" s="46"/>
      <c r="D37" s="46"/>
      <c r="E37" s="13"/>
      <c r="F37" s="13"/>
    </row>
  </sheetData>
  <mergeCells count="9">
    <mergeCell ref="A32:B32"/>
    <mergeCell ref="A33:B33"/>
    <mergeCell ref="A36:B36"/>
    <mergeCell ref="A37:B37"/>
    <mergeCell ref="A1:C1"/>
    <mergeCell ref="A3:C3"/>
    <mergeCell ref="A4:C4"/>
    <mergeCell ref="A5:C5"/>
    <mergeCell ref="A6:B6"/>
  </mergeCells>
  <pageMargins left="0.7" right="0.7" top="0.75" bottom="0.75" header="0.3" footer="0.3"/>
  <pageSetup paperSize="9" scale="6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42"/>
  <sheetViews>
    <sheetView zoomScaleNormal="100" workbookViewId="0">
      <selection activeCell="B11" sqref="B11"/>
    </sheetView>
  </sheetViews>
  <sheetFormatPr defaultColWidth="8.85546875" defaultRowHeight="15.75"/>
  <cols>
    <col min="1" max="1" width="14.5703125" style="1" customWidth="1"/>
    <col min="2" max="2" width="95.140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2.25" customHeight="1">
      <c r="A4" s="146" t="s">
        <v>160</v>
      </c>
      <c r="B4" s="146"/>
      <c r="C4" s="146"/>
    </row>
    <row r="5" spans="1:5">
      <c r="A5" s="146" t="s">
        <v>117</v>
      </c>
      <c r="B5" s="146"/>
      <c r="C5" s="146"/>
    </row>
    <row r="6" spans="1:5" ht="16.5" thickBot="1">
      <c r="A6" s="147" t="s">
        <v>178</v>
      </c>
      <c r="B6" s="147"/>
    </row>
    <row r="7" spans="1:5" ht="79.5" thickBot="1">
      <c r="A7" s="30" t="s">
        <v>118</v>
      </c>
      <c r="B7" s="31" t="s">
        <v>119</v>
      </c>
      <c r="C7" s="31" t="s">
        <v>120</v>
      </c>
    </row>
    <row r="8" spans="1:5" ht="16.5" thickBot="1">
      <c r="A8" s="47"/>
      <c r="B8" s="48" t="s">
        <v>121</v>
      </c>
      <c r="C8" s="49"/>
    </row>
    <row r="9" spans="1:5" ht="16.5" thickBot="1">
      <c r="A9" s="148" t="s">
        <v>132</v>
      </c>
      <c r="B9" s="51" t="s">
        <v>388</v>
      </c>
      <c r="C9" s="56">
        <f>9.48*8</f>
        <v>75.84</v>
      </c>
      <c r="D9" s="9"/>
    </row>
    <row r="10" spans="1:5">
      <c r="A10" s="149"/>
      <c r="B10" s="51" t="s">
        <v>389</v>
      </c>
      <c r="C10" s="57">
        <f>6.64*8</f>
        <v>53.12</v>
      </c>
    </row>
    <row r="11" spans="1:5" ht="16.5" thickBot="1">
      <c r="A11" s="150"/>
      <c r="B11" s="52" t="s">
        <v>390</v>
      </c>
      <c r="C11" s="58">
        <f>4.55*8</f>
        <v>36.4</v>
      </c>
    </row>
    <row r="12" spans="1:5" ht="38.25" customHeight="1" thickBot="1">
      <c r="A12" s="32" t="s">
        <v>133</v>
      </c>
      <c r="B12" s="35" t="s">
        <v>131</v>
      </c>
      <c r="C12" s="55">
        <f>(C9+C10+C11)*0.2409</f>
        <v>39.835224000000004</v>
      </c>
    </row>
    <row r="13" spans="1:5" ht="32.25" thickBot="1">
      <c r="A13" s="32" t="s">
        <v>134</v>
      </c>
      <c r="B13" s="35" t="s">
        <v>214</v>
      </c>
      <c r="C13" s="55">
        <f>0.84*8</f>
        <v>6.72</v>
      </c>
    </row>
    <row r="14" spans="1:5" ht="32.25" thickBot="1">
      <c r="A14" s="32" t="s">
        <v>136</v>
      </c>
      <c r="B14" s="62" t="s">
        <v>228</v>
      </c>
      <c r="C14" s="63">
        <f>(1.36+6.91)*8</f>
        <v>66.16</v>
      </c>
    </row>
    <row r="15" spans="1:5" ht="32.25" thickBot="1">
      <c r="A15" s="32" t="s">
        <v>137</v>
      </c>
      <c r="B15" s="91" t="s">
        <v>216</v>
      </c>
      <c r="C15" s="55">
        <f>1.03*8</f>
        <v>8.24</v>
      </c>
    </row>
    <row r="16" spans="1:5" ht="36" customHeight="1" thickBot="1">
      <c r="A16" s="32" t="s">
        <v>139</v>
      </c>
      <c r="B16" s="35" t="s">
        <v>218</v>
      </c>
      <c r="C16" s="55">
        <f>1.42*8</f>
        <v>11.36</v>
      </c>
    </row>
    <row r="17" spans="1:7" ht="38.25" customHeight="1" thickBot="1">
      <c r="A17" s="32" t="s">
        <v>217</v>
      </c>
      <c r="B17" s="35" t="s">
        <v>219</v>
      </c>
      <c r="C17" s="55">
        <f>1.14*8</f>
        <v>9.1199999999999992</v>
      </c>
    </row>
    <row r="18" spans="1:7" ht="32.25" thickBot="1">
      <c r="A18" s="32" t="s">
        <v>138</v>
      </c>
      <c r="B18" s="62" t="s">
        <v>229</v>
      </c>
      <c r="C18" s="55">
        <f>11.45*8</f>
        <v>91.6</v>
      </c>
    </row>
    <row r="19" spans="1:7" ht="16.5" thickBot="1">
      <c r="A19" s="32"/>
      <c r="B19" s="36" t="s">
        <v>122</v>
      </c>
      <c r="C19" s="37">
        <f>SUM(C9:C18)</f>
        <v>398.3952240000001</v>
      </c>
    </row>
    <row r="20" spans="1:7" ht="16.5" thickBot="1">
      <c r="A20" s="32"/>
      <c r="B20" s="36" t="s">
        <v>123</v>
      </c>
      <c r="C20" s="38"/>
    </row>
    <row r="21" spans="1:7" ht="32.25" thickBot="1">
      <c r="A21" s="32" t="s">
        <v>141</v>
      </c>
      <c r="B21" s="39" t="s">
        <v>198</v>
      </c>
      <c r="C21" s="55">
        <f>(C9+C10+C11)*0.25</f>
        <v>41.34</v>
      </c>
    </row>
    <row r="22" spans="1:7" ht="32.25" thickBot="1">
      <c r="A22" s="32" t="s">
        <v>133</v>
      </c>
      <c r="B22" s="91" t="s">
        <v>131</v>
      </c>
      <c r="C22" s="55">
        <f>C21*0.2409</f>
        <v>9.9588060000000009</v>
      </c>
    </row>
    <row r="23" spans="1:7" ht="34.5" customHeight="1" thickBot="1">
      <c r="A23" s="32" t="s">
        <v>145</v>
      </c>
      <c r="B23" s="34" t="s">
        <v>208</v>
      </c>
      <c r="C23" s="55">
        <f>0.09*8</f>
        <v>0.72</v>
      </c>
      <c r="E23" s="41"/>
    </row>
    <row r="24" spans="1:7" ht="32.25" thickBot="1">
      <c r="A24" s="32" t="s">
        <v>142</v>
      </c>
      <c r="B24" s="35" t="s">
        <v>210</v>
      </c>
      <c r="C24" s="55">
        <f>1.85*8</f>
        <v>14.8</v>
      </c>
    </row>
    <row r="25" spans="1:7" ht="36" customHeight="1" thickBot="1">
      <c r="A25" s="32" t="s">
        <v>143</v>
      </c>
      <c r="B25" s="94" t="s">
        <v>207</v>
      </c>
      <c r="C25" s="55">
        <f>(234731/438912)*8</f>
        <v>4.2784157188684748</v>
      </c>
    </row>
    <row r="26" spans="1:7" ht="32.25" thickBot="1">
      <c r="A26" s="32" t="s">
        <v>139</v>
      </c>
      <c r="B26" s="40" t="s">
        <v>209</v>
      </c>
      <c r="C26" s="55">
        <f>(561364/438912)*8</f>
        <v>10.231918926800816</v>
      </c>
    </row>
    <row r="27" spans="1:7" ht="32.25" thickBot="1">
      <c r="A27" s="32" t="s">
        <v>135</v>
      </c>
      <c r="B27" s="91" t="s">
        <v>213</v>
      </c>
      <c r="C27" s="55">
        <f>(627676/438912)*8</f>
        <v>11.440580344123651</v>
      </c>
    </row>
    <row r="28" spans="1:7" ht="32.25" thickBot="1">
      <c r="A28" s="32" t="s">
        <v>184</v>
      </c>
      <c r="B28" s="91" t="s">
        <v>211</v>
      </c>
      <c r="C28" s="55">
        <f>0.65*8</f>
        <v>5.2</v>
      </c>
    </row>
    <row r="29" spans="1:7" ht="38.25" customHeight="1" thickBot="1">
      <c r="A29" s="32" t="s">
        <v>182</v>
      </c>
      <c r="B29" s="35" t="s">
        <v>220</v>
      </c>
      <c r="C29" s="55">
        <f>(157571/438912)*8</f>
        <v>2.8720290172061826</v>
      </c>
    </row>
    <row r="30" spans="1:7" ht="32.25" thickBot="1">
      <c r="A30" s="32" t="s">
        <v>144</v>
      </c>
      <c r="B30" s="35" t="s">
        <v>202</v>
      </c>
      <c r="C30" s="55">
        <f>(46423/438912)*8</f>
        <v>0.84614683581219019</v>
      </c>
    </row>
    <row r="31" spans="1:7" ht="32.25" thickBot="1">
      <c r="A31" s="32" t="s">
        <v>140</v>
      </c>
      <c r="B31" s="35" t="s">
        <v>212</v>
      </c>
      <c r="C31" s="55">
        <f>0.05*8</f>
        <v>0.4</v>
      </c>
    </row>
    <row r="32" spans="1:7" ht="32.25" thickBot="1">
      <c r="A32" s="32" t="s">
        <v>222</v>
      </c>
      <c r="B32" s="35" t="s">
        <v>223</v>
      </c>
      <c r="C32" s="55">
        <f>3.55*8</f>
        <v>28.4</v>
      </c>
      <c r="G32" s="9"/>
    </row>
    <row r="33" spans="1:6" ht="16.5" thickBot="1">
      <c r="A33" s="32"/>
      <c r="B33" s="33" t="s">
        <v>124</v>
      </c>
      <c r="C33" s="37">
        <f>SUM(C21:C32)</f>
        <v>130.48789684281132</v>
      </c>
    </row>
    <row r="34" spans="1:6" ht="16.5" thickBot="1">
      <c r="A34" s="32"/>
      <c r="B34" s="42" t="s">
        <v>125</v>
      </c>
      <c r="C34" s="37">
        <f>C33+C19</f>
        <v>528.88312084281142</v>
      </c>
    </row>
    <row r="35" spans="1:6">
      <c r="C35" s="9"/>
    </row>
    <row r="36" spans="1:6" ht="16.5" thickBot="1">
      <c r="C36" s="9"/>
    </row>
    <row r="37" spans="1:6" ht="16.5" thickBot="1">
      <c r="A37" s="142" t="s">
        <v>126</v>
      </c>
      <c r="B37" s="143"/>
      <c r="C37" s="43">
        <v>8</v>
      </c>
    </row>
    <row r="38" spans="1:6" ht="16.5" thickBot="1">
      <c r="A38" s="142" t="s">
        <v>127</v>
      </c>
      <c r="B38" s="143"/>
      <c r="C38" s="44">
        <f>C34/C37</f>
        <v>66.110390105351428</v>
      </c>
    </row>
    <row r="40" spans="1:6">
      <c r="A40" s="13"/>
      <c r="B40" s="13"/>
      <c r="C40" s="61"/>
      <c r="D40" s="13"/>
      <c r="E40" s="13"/>
      <c r="F40" s="13"/>
    </row>
    <row r="41" spans="1:6">
      <c r="A41" s="144"/>
      <c r="B41" s="144"/>
      <c r="C41" s="45"/>
      <c r="D41" s="45"/>
      <c r="E41" s="45"/>
      <c r="F41" s="45"/>
    </row>
    <row r="42" spans="1:6" ht="18.75">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23"/>
  <sheetViews>
    <sheetView zoomScaleNormal="100" workbookViewId="0">
      <selection activeCell="B9" sqref="B9"/>
    </sheetView>
  </sheetViews>
  <sheetFormatPr defaultColWidth="8.85546875" defaultRowHeight="15.75"/>
  <cols>
    <col min="1" max="1" width="16" style="1" customWidth="1"/>
    <col min="2" max="2" width="86"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329</v>
      </c>
      <c r="B4" s="146"/>
      <c r="C4" s="146"/>
    </row>
    <row r="5" spans="1:5">
      <c r="A5" s="146" t="s">
        <v>117</v>
      </c>
      <c r="B5" s="146"/>
      <c r="C5" s="146"/>
    </row>
    <row r="6" spans="1:5" ht="16.5" thickBot="1">
      <c r="A6" s="147" t="s">
        <v>179</v>
      </c>
      <c r="B6" s="147"/>
    </row>
    <row r="7" spans="1:5" ht="92.25" customHeight="1" thickBot="1">
      <c r="A7" s="30" t="s">
        <v>118</v>
      </c>
      <c r="B7" s="31" t="s">
        <v>119</v>
      </c>
      <c r="C7" s="31" t="s">
        <v>120</v>
      </c>
    </row>
    <row r="8" spans="1:5" ht="16.5" thickBot="1">
      <c r="A8" s="47"/>
      <c r="B8" s="48" t="s">
        <v>121</v>
      </c>
      <c r="C8" s="49"/>
    </row>
    <row r="9" spans="1:5">
      <c r="A9" s="54" t="s">
        <v>132</v>
      </c>
      <c r="B9" s="51" t="s">
        <v>391</v>
      </c>
      <c r="C9" s="56">
        <f>17.21*12</f>
        <v>206.52</v>
      </c>
      <c r="D9" s="9"/>
    </row>
    <row r="10" spans="1:5" ht="32.25" thickBot="1">
      <c r="A10" s="32" t="s">
        <v>133</v>
      </c>
      <c r="B10" s="91" t="s">
        <v>131</v>
      </c>
      <c r="C10" s="55">
        <f>ROUNDUP(C9*0.2409,1)</f>
        <v>49.800000000000004</v>
      </c>
    </row>
    <row r="11" spans="1:5" ht="32.25" thickBot="1">
      <c r="A11" s="32" t="s">
        <v>134</v>
      </c>
      <c r="B11" s="91" t="s">
        <v>215</v>
      </c>
      <c r="C11" s="55">
        <f>4.32*12</f>
        <v>51.84</v>
      </c>
    </row>
    <row r="12" spans="1:5" ht="16.5" thickBot="1">
      <c r="A12" s="32"/>
      <c r="B12" s="36" t="s">
        <v>122</v>
      </c>
      <c r="C12" s="37">
        <f>SUM(C9:C11)</f>
        <v>308.15999999999997</v>
      </c>
    </row>
    <row r="13" spans="1:5" ht="16.5" thickBot="1">
      <c r="A13" s="32"/>
      <c r="B13" s="36" t="s">
        <v>123</v>
      </c>
      <c r="C13" s="38"/>
    </row>
    <row r="14" spans="1:5" ht="16.5" thickBot="1">
      <c r="A14" s="32"/>
      <c r="B14" s="33" t="s">
        <v>124</v>
      </c>
      <c r="C14" s="37">
        <v>0</v>
      </c>
    </row>
    <row r="15" spans="1:5" ht="16.5" thickBot="1">
      <c r="A15" s="32"/>
      <c r="B15" s="42" t="s">
        <v>125</v>
      </c>
      <c r="C15" s="37">
        <f>C14+C12</f>
        <v>308.15999999999997</v>
      </c>
    </row>
    <row r="16" spans="1:5">
      <c r="C16" s="9"/>
    </row>
    <row r="17" spans="1:6" ht="16.5" thickBot="1">
      <c r="C17" s="9"/>
    </row>
    <row r="18" spans="1:6" ht="16.5" thickBot="1">
      <c r="A18" s="142" t="s">
        <v>126</v>
      </c>
      <c r="B18" s="143"/>
      <c r="C18" s="43">
        <v>12</v>
      </c>
    </row>
    <row r="19" spans="1:6" ht="16.5" thickBot="1">
      <c r="A19" s="142" t="s">
        <v>127</v>
      </c>
      <c r="B19" s="143"/>
      <c r="C19" s="44">
        <f>C15/C18</f>
        <v>25.679999999999996</v>
      </c>
    </row>
    <row r="21" spans="1:6">
      <c r="A21" s="13"/>
      <c r="B21" s="13"/>
      <c r="C21" s="61"/>
      <c r="D21" s="13"/>
      <c r="E21" s="13"/>
      <c r="F21" s="13"/>
    </row>
    <row r="22" spans="1:6">
      <c r="A22" s="144"/>
      <c r="B22" s="144"/>
      <c r="C22" s="45"/>
      <c r="D22" s="45"/>
      <c r="E22" s="45"/>
      <c r="F22" s="45"/>
    </row>
    <row r="23" spans="1:6" ht="18.75">
      <c r="A23" s="145"/>
      <c r="B23" s="145"/>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2"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4.9989318521683403E-2"/>
  </sheetPr>
  <dimension ref="A1:F23"/>
  <sheetViews>
    <sheetView zoomScaleNormal="100" workbookViewId="0">
      <selection activeCell="C10" sqref="C10"/>
    </sheetView>
  </sheetViews>
  <sheetFormatPr defaultColWidth="8.85546875" defaultRowHeight="15.75"/>
  <cols>
    <col min="1" max="1" width="14.140625" style="1" customWidth="1"/>
    <col min="2" max="2" width="82.5703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4.5" customHeight="1">
      <c r="A4" s="146" t="s">
        <v>330</v>
      </c>
      <c r="B4" s="146"/>
      <c r="C4" s="146"/>
    </row>
    <row r="5" spans="1:5">
      <c r="A5" s="146" t="s">
        <v>117</v>
      </c>
      <c r="B5" s="146"/>
      <c r="C5" s="146"/>
    </row>
    <row r="6" spans="1:5" ht="16.5" thickBot="1">
      <c r="A6" s="147" t="s">
        <v>180</v>
      </c>
      <c r="B6" s="147"/>
    </row>
    <row r="7" spans="1:5" ht="84.75" customHeight="1" thickBot="1">
      <c r="A7" s="30" t="s">
        <v>118</v>
      </c>
      <c r="B7" s="31" t="s">
        <v>119</v>
      </c>
      <c r="C7" s="31" t="s">
        <v>120</v>
      </c>
    </row>
    <row r="8" spans="1:5" ht="16.5" thickBot="1">
      <c r="A8" s="47"/>
      <c r="B8" s="48" t="s">
        <v>121</v>
      </c>
      <c r="C8" s="49"/>
    </row>
    <row r="9" spans="1:5">
      <c r="A9" s="54" t="s">
        <v>132</v>
      </c>
      <c r="B9" s="51" t="s">
        <v>204</v>
      </c>
      <c r="C9" s="56">
        <f>(1.35*64)</f>
        <v>86.4</v>
      </c>
      <c r="D9" s="9"/>
    </row>
    <row r="10" spans="1:5" ht="32.25" thickBot="1">
      <c r="A10" s="32" t="s">
        <v>133</v>
      </c>
      <c r="B10" s="91" t="s">
        <v>131</v>
      </c>
      <c r="C10" s="55">
        <f>C9*0.2409</f>
        <v>20.813760000000002</v>
      </c>
    </row>
    <row r="11" spans="1:5" ht="16.5" thickBot="1">
      <c r="A11" s="32"/>
      <c r="B11" s="36" t="s">
        <v>122</v>
      </c>
      <c r="C11" s="37">
        <f>SUM(C9:C10)</f>
        <v>107.21376000000001</v>
      </c>
    </row>
    <row r="12" spans="1:5" ht="16.5" thickBot="1">
      <c r="A12" s="32"/>
      <c r="B12" s="36" t="s">
        <v>123</v>
      </c>
      <c r="C12" s="38"/>
    </row>
    <row r="13" spans="1:5" ht="16.5" thickBot="1">
      <c r="A13" s="32" t="s">
        <v>143</v>
      </c>
      <c r="B13" s="34" t="s">
        <v>146</v>
      </c>
      <c r="C13" s="55">
        <f>(0.12*64)+0.31</f>
        <v>7.9899999999999993</v>
      </c>
    </row>
    <row r="14" spans="1:5" ht="16.5" thickBot="1">
      <c r="A14" s="32"/>
      <c r="B14" s="33" t="s">
        <v>124</v>
      </c>
      <c r="C14" s="37">
        <f>SUM(C13:C13)</f>
        <v>7.9899999999999993</v>
      </c>
    </row>
    <row r="15" spans="1:5" ht="16.5" thickBot="1">
      <c r="A15" s="32"/>
      <c r="B15" s="42" t="s">
        <v>125</v>
      </c>
      <c r="C15" s="37">
        <f>C14+C11</f>
        <v>115.20376</v>
      </c>
    </row>
    <row r="16" spans="1:5">
      <c r="C16" s="9"/>
    </row>
    <row r="17" spans="1:6" ht="16.5" thickBot="1">
      <c r="C17" s="9"/>
    </row>
    <row r="18" spans="1:6" ht="16.5" thickBot="1">
      <c r="A18" s="142" t="s">
        <v>126</v>
      </c>
      <c r="B18" s="143"/>
      <c r="C18" s="43">
        <v>64</v>
      </c>
    </row>
    <row r="19" spans="1:6" ht="16.5" thickBot="1">
      <c r="A19" s="142" t="s">
        <v>127</v>
      </c>
      <c r="B19" s="143"/>
      <c r="C19" s="44">
        <f>C15/C18</f>
        <v>1.80005875</v>
      </c>
    </row>
    <row r="21" spans="1:6">
      <c r="A21" s="13"/>
      <c r="B21" s="13"/>
      <c r="C21" s="61"/>
      <c r="D21" s="13"/>
      <c r="E21" s="13"/>
      <c r="F21" s="13"/>
    </row>
    <row r="22" spans="1:6">
      <c r="A22" s="144"/>
      <c r="B22" s="144"/>
      <c r="C22" s="45"/>
      <c r="D22" s="45"/>
      <c r="E22" s="45"/>
      <c r="F22" s="45"/>
    </row>
    <row r="23" spans="1:6" ht="18.75">
      <c r="A23" s="145"/>
      <c r="B23" s="145"/>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4.9989318521683403E-2"/>
  </sheetPr>
  <dimension ref="A1:F23"/>
  <sheetViews>
    <sheetView zoomScaleNormal="100" workbookViewId="0">
      <selection activeCell="C10" sqref="C10"/>
    </sheetView>
  </sheetViews>
  <sheetFormatPr defaultColWidth="8.85546875" defaultRowHeight="15.75"/>
  <cols>
    <col min="1" max="1" width="13.42578125" style="1" customWidth="1"/>
    <col min="2" max="2" width="92.140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4.5" customHeight="1">
      <c r="A4" s="146" t="s">
        <v>289</v>
      </c>
      <c r="B4" s="146"/>
      <c r="C4" s="146"/>
    </row>
    <row r="5" spans="1:5">
      <c r="A5" s="146" t="s">
        <v>117</v>
      </c>
      <c r="B5" s="146"/>
      <c r="C5" s="146"/>
    </row>
    <row r="6" spans="1:5" ht="16.5" thickBot="1">
      <c r="A6" s="147" t="s">
        <v>311</v>
      </c>
      <c r="B6" s="147"/>
    </row>
    <row r="7" spans="1:5" ht="85.5" customHeight="1" thickBot="1">
      <c r="A7" s="30" t="s">
        <v>118</v>
      </c>
      <c r="B7" s="31" t="s">
        <v>119</v>
      </c>
      <c r="C7" s="31" t="s">
        <v>120</v>
      </c>
    </row>
    <row r="8" spans="1:5" ht="16.5" thickBot="1">
      <c r="A8" s="47"/>
      <c r="B8" s="48" t="s">
        <v>121</v>
      </c>
      <c r="C8" s="49"/>
    </row>
    <row r="9" spans="1:5">
      <c r="A9" s="54" t="s">
        <v>132</v>
      </c>
      <c r="B9" s="51" t="s">
        <v>205</v>
      </c>
      <c r="C9" s="56">
        <f>ROUND(0.85*835,2)</f>
        <v>709.75</v>
      </c>
      <c r="D9" s="9"/>
    </row>
    <row r="10" spans="1:5" ht="32.25" thickBot="1">
      <c r="A10" s="32" t="s">
        <v>133</v>
      </c>
      <c r="B10" s="91" t="s">
        <v>131</v>
      </c>
      <c r="C10" s="55">
        <f>ROUND(C9*0.2409,2)</f>
        <v>170.98</v>
      </c>
    </row>
    <row r="11" spans="1:5" ht="16.5" thickBot="1">
      <c r="A11" s="32"/>
      <c r="B11" s="36" t="s">
        <v>122</v>
      </c>
      <c r="C11" s="37">
        <f>SUM(C9:C10)</f>
        <v>880.73</v>
      </c>
    </row>
    <row r="12" spans="1:5" ht="16.5" thickBot="1">
      <c r="A12" s="32"/>
      <c r="B12" s="36" t="s">
        <v>123</v>
      </c>
      <c r="C12" s="38"/>
    </row>
    <row r="13" spans="1:5" ht="16.5" thickBot="1">
      <c r="A13" s="32" t="s">
        <v>143</v>
      </c>
      <c r="B13" s="34" t="s">
        <v>146</v>
      </c>
      <c r="C13" s="55">
        <f>ROUND(0.12*835,2)-3.98</f>
        <v>96.22</v>
      </c>
    </row>
    <row r="14" spans="1:5" ht="16.5" thickBot="1">
      <c r="A14" s="32"/>
      <c r="B14" s="33" t="s">
        <v>124</v>
      </c>
      <c r="C14" s="37">
        <f>SUM(C13:C13)</f>
        <v>96.22</v>
      </c>
    </row>
    <row r="15" spans="1:5" ht="16.5" thickBot="1">
      <c r="A15" s="32"/>
      <c r="B15" s="42" t="s">
        <v>125</v>
      </c>
      <c r="C15" s="37">
        <f>C14+C11</f>
        <v>976.95</v>
      </c>
    </row>
    <row r="16" spans="1:5">
      <c r="C16" s="9"/>
    </row>
    <row r="17" spans="1:6" ht="16.5" thickBot="1">
      <c r="C17" s="9"/>
    </row>
    <row r="18" spans="1:6" ht="16.5" thickBot="1">
      <c r="A18" s="142" t="s">
        <v>126</v>
      </c>
      <c r="B18" s="143"/>
      <c r="C18" s="43">
        <v>835</v>
      </c>
    </row>
    <row r="19" spans="1:6" ht="16.5" thickBot="1">
      <c r="A19" s="142" t="s">
        <v>127</v>
      </c>
      <c r="B19" s="143"/>
      <c r="C19" s="44">
        <f>C15/C18</f>
        <v>1.1700000000000002</v>
      </c>
    </row>
    <row r="21" spans="1:6">
      <c r="A21" s="13"/>
      <c r="B21" s="13"/>
      <c r="C21" s="61"/>
      <c r="D21" s="13"/>
      <c r="E21" s="13"/>
      <c r="F21" s="13"/>
    </row>
    <row r="22" spans="1:6">
      <c r="A22" s="144"/>
      <c r="B22" s="144"/>
      <c r="C22" s="45"/>
      <c r="D22" s="45"/>
      <c r="E22" s="45"/>
      <c r="F22" s="45"/>
    </row>
    <row r="23" spans="1:6" ht="18.75">
      <c r="A23" s="145"/>
      <c r="B23" s="145"/>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0"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4.9989318521683403E-2"/>
  </sheetPr>
  <dimension ref="A1:F23"/>
  <sheetViews>
    <sheetView zoomScaleNormal="100" workbookViewId="0">
      <selection activeCell="J23" sqref="J23"/>
    </sheetView>
  </sheetViews>
  <sheetFormatPr defaultColWidth="8.85546875" defaultRowHeight="15.75"/>
  <cols>
    <col min="1" max="1" width="15" style="1" customWidth="1"/>
    <col min="2" max="2" width="71.8554687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52.5" customHeight="1">
      <c r="A4" s="151" t="s">
        <v>290</v>
      </c>
      <c r="B4" s="151"/>
      <c r="C4" s="151"/>
    </row>
    <row r="5" spans="1:5">
      <c r="A5" s="146" t="s">
        <v>117</v>
      </c>
      <c r="B5" s="146"/>
      <c r="C5" s="146"/>
    </row>
    <row r="6" spans="1:5" ht="16.5" thickBot="1">
      <c r="A6" s="147" t="s">
        <v>312</v>
      </c>
      <c r="B6" s="147"/>
    </row>
    <row r="7" spans="1:5" ht="79.5" thickBot="1">
      <c r="A7" s="30" t="s">
        <v>118</v>
      </c>
      <c r="B7" s="31" t="s">
        <v>119</v>
      </c>
      <c r="C7" s="31" t="s">
        <v>120</v>
      </c>
    </row>
    <row r="8" spans="1:5" ht="16.5" thickBot="1">
      <c r="A8" s="47"/>
      <c r="B8" s="48" t="s">
        <v>121</v>
      </c>
      <c r="C8" s="49"/>
    </row>
    <row r="9" spans="1:5">
      <c r="A9" s="54" t="s">
        <v>132</v>
      </c>
      <c r="B9" s="51" t="s">
        <v>206</v>
      </c>
      <c r="C9" s="56">
        <f>0.73*6747</f>
        <v>4925.3099999999995</v>
      </c>
      <c r="D9" s="9"/>
    </row>
    <row r="10" spans="1:5" ht="32.25" thickBot="1">
      <c r="A10" s="32" t="s">
        <v>133</v>
      </c>
      <c r="B10" s="91" t="s">
        <v>131</v>
      </c>
      <c r="C10" s="55">
        <f>C9*0.2409</f>
        <v>1186.507179</v>
      </c>
    </row>
    <row r="11" spans="1:5" ht="16.5" thickBot="1">
      <c r="A11" s="32"/>
      <c r="B11" s="36" t="s">
        <v>122</v>
      </c>
      <c r="C11" s="37">
        <f>SUM(C9:C10)</f>
        <v>6111.8171789999997</v>
      </c>
    </row>
    <row r="12" spans="1:5" ht="16.5" thickBot="1">
      <c r="A12" s="32"/>
      <c r="B12" s="36" t="s">
        <v>123</v>
      </c>
      <c r="C12" s="38"/>
    </row>
    <row r="13" spans="1:5" ht="16.5" thickBot="1">
      <c r="A13" s="32" t="s">
        <v>143</v>
      </c>
      <c r="B13" s="34" t="s">
        <v>146</v>
      </c>
      <c r="C13" s="55">
        <f>(0.12*6747)+27.95</f>
        <v>837.59</v>
      </c>
    </row>
    <row r="14" spans="1:5" ht="16.5" thickBot="1">
      <c r="A14" s="32"/>
      <c r="B14" s="33" t="s">
        <v>124</v>
      </c>
      <c r="C14" s="37">
        <f>SUM(C13:C13)</f>
        <v>837.59</v>
      </c>
    </row>
    <row r="15" spans="1:5" ht="16.5" thickBot="1">
      <c r="A15" s="32"/>
      <c r="B15" s="42" t="s">
        <v>125</v>
      </c>
      <c r="C15" s="37">
        <f>C14+C11</f>
        <v>6949.4071789999998</v>
      </c>
    </row>
    <row r="16" spans="1:5">
      <c r="C16" s="9"/>
    </row>
    <row r="17" spans="1:6" ht="16.5" thickBot="1">
      <c r="C17" s="9"/>
    </row>
    <row r="18" spans="1:6" ht="16.5" thickBot="1">
      <c r="A18" s="142" t="s">
        <v>126</v>
      </c>
      <c r="B18" s="143"/>
      <c r="C18" s="43">
        <v>6747</v>
      </c>
    </row>
    <row r="19" spans="1:6" ht="16.5" thickBot="1">
      <c r="A19" s="142" t="s">
        <v>127</v>
      </c>
      <c r="B19" s="143"/>
      <c r="C19" s="44">
        <f>C15/C18</f>
        <v>1.0299995818882466</v>
      </c>
    </row>
    <row r="21" spans="1:6">
      <c r="A21" s="13"/>
      <c r="B21" s="13"/>
      <c r="C21" s="61"/>
      <c r="D21" s="13"/>
      <c r="E21" s="13"/>
      <c r="F21" s="13"/>
    </row>
    <row r="22" spans="1:6">
      <c r="A22" s="144"/>
      <c r="B22" s="144"/>
      <c r="C22" s="45"/>
      <c r="D22" s="45"/>
      <c r="E22" s="45"/>
      <c r="F22" s="45"/>
    </row>
    <row r="23" spans="1:6" ht="18.75">
      <c r="A23" s="145"/>
      <c r="B23" s="145"/>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82"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23"/>
  <sheetViews>
    <sheetView zoomScaleNormal="100" workbookViewId="0">
      <selection activeCell="C11" sqref="C11"/>
    </sheetView>
  </sheetViews>
  <sheetFormatPr defaultColWidth="8.85546875" defaultRowHeight="15.75"/>
  <cols>
    <col min="1" max="1" width="14.85546875" style="1" customWidth="1"/>
    <col min="2" max="2" width="79.5703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21" customHeight="1">
      <c r="A4" s="151" t="s">
        <v>291</v>
      </c>
      <c r="B4" s="151"/>
      <c r="C4" s="151"/>
    </row>
    <row r="5" spans="1:5">
      <c r="A5" s="146" t="s">
        <v>117</v>
      </c>
      <c r="B5" s="146"/>
      <c r="C5" s="146"/>
    </row>
    <row r="6" spans="1:5" ht="16.5" thickBot="1">
      <c r="A6" s="147" t="s">
        <v>181</v>
      </c>
      <c r="B6" s="147"/>
    </row>
    <row r="7" spans="1:5" ht="98.25" customHeight="1" thickBot="1">
      <c r="A7" s="30" t="s">
        <v>118</v>
      </c>
      <c r="B7" s="31" t="s">
        <v>119</v>
      </c>
      <c r="C7" s="31" t="s">
        <v>120</v>
      </c>
    </row>
    <row r="8" spans="1:5" ht="16.5" thickBot="1">
      <c r="A8" s="47"/>
      <c r="B8" s="48" t="s">
        <v>121</v>
      </c>
      <c r="C8" s="49"/>
    </row>
    <row r="9" spans="1:5">
      <c r="A9" s="54" t="s">
        <v>132</v>
      </c>
      <c r="B9" s="51" t="s">
        <v>304</v>
      </c>
      <c r="C9" s="56">
        <v>35</v>
      </c>
      <c r="D9" s="9"/>
    </row>
    <row r="10" spans="1:5" ht="32.25" thickBot="1">
      <c r="A10" s="32" t="s">
        <v>133</v>
      </c>
      <c r="B10" s="91" t="s">
        <v>131</v>
      </c>
      <c r="C10" s="55">
        <f>ROUND(C9*0.2409,1)</f>
        <v>8.4</v>
      </c>
    </row>
    <row r="11" spans="1:5" ht="16.5" thickBot="1">
      <c r="A11" s="32" t="s">
        <v>182</v>
      </c>
      <c r="B11" s="35" t="s">
        <v>183</v>
      </c>
      <c r="C11" s="55">
        <v>23.5</v>
      </c>
    </row>
    <row r="12" spans="1:5" ht="16.5" thickBot="1">
      <c r="A12" s="32"/>
      <c r="B12" s="36" t="s">
        <v>122</v>
      </c>
      <c r="C12" s="37">
        <f>SUM(C9:C11)</f>
        <v>66.900000000000006</v>
      </c>
    </row>
    <row r="13" spans="1:5" ht="16.5" thickBot="1">
      <c r="A13" s="32"/>
      <c r="B13" s="36" t="s">
        <v>123</v>
      </c>
      <c r="C13" s="38"/>
    </row>
    <row r="14" spans="1:5" ht="16.5" thickBot="1">
      <c r="A14" s="32"/>
      <c r="B14" s="33" t="s">
        <v>124</v>
      </c>
      <c r="C14" s="37">
        <v>0</v>
      </c>
    </row>
    <row r="15" spans="1:5" ht="16.5" thickBot="1">
      <c r="A15" s="32"/>
      <c r="B15" s="42" t="s">
        <v>125</v>
      </c>
      <c r="C15" s="37">
        <f>C14+C12</f>
        <v>66.900000000000006</v>
      </c>
    </row>
    <row r="16" spans="1:5">
      <c r="C16" s="9"/>
    </row>
    <row r="17" spans="1:6" ht="16.5" thickBot="1">
      <c r="C17" s="9"/>
    </row>
    <row r="18" spans="1:6" ht="16.5" thickBot="1">
      <c r="A18" s="142" t="s">
        <v>126</v>
      </c>
      <c r="B18" s="143"/>
      <c r="C18" s="43">
        <v>10</v>
      </c>
    </row>
    <row r="19" spans="1:6" ht="16.5" thickBot="1">
      <c r="A19" s="142" t="s">
        <v>127</v>
      </c>
      <c r="B19" s="143"/>
      <c r="C19" s="44">
        <f>C15/C18</f>
        <v>6.69</v>
      </c>
    </row>
    <row r="21" spans="1:6">
      <c r="A21" s="13"/>
      <c r="B21" s="13"/>
      <c r="C21" s="13"/>
      <c r="D21" s="13"/>
      <c r="E21" s="13"/>
      <c r="F21" s="13"/>
    </row>
    <row r="22" spans="1:6">
      <c r="A22" s="144"/>
      <c r="B22" s="144"/>
      <c r="C22" s="45"/>
      <c r="D22" s="45"/>
      <c r="E22" s="45"/>
      <c r="F22" s="45"/>
    </row>
    <row r="23" spans="1:6" ht="18.75">
      <c r="A23" s="145"/>
      <c r="B23" s="145"/>
      <c r="C23" s="46"/>
      <c r="D23" s="46"/>
      <c r="E23" s="13"/>
      <c r="F23" s="13"/>
    </row>
  </sheetData>
  <mergeCells count="9">
    <mergeCell ref="A19:B19"/>
    <mergeCell ref="A22:B22"/>
    <mergeCell ref="A23:B23"/>
    <mergeCell ref="A1:C1"/>
    <mergeCell ref="A3:C3"/>
    <mergeCell ref="A4:C4"/>
    <mergeCell ref="A5:C5"/>
    <mergeCell ref="A6:B6"/>
    <mergeCell ref="A18:B18"/>
  </mergeCells>
  <pageMargins left="0.7" right="0.7" top="0.75" bottom="0.75" header="0.3" footer="0.3"/>
  <pageSetup paperSize="9" scale="77"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31"/>
  <sheetViews>
    <sheetView zoomScaleNormal="100" workbookViewId="0">
      <selection activeCell="C20" sqref="C20"/>
    </sheetView>
  </sheetViews>
  <sheetFormatPr defaultColWidth="8.85546875" defaultRowHeight="15.75"/>
  <cols>
    <col min="1" max="1" width="15" style="1" customWidth="1"/>
    <col min="2" max="2" width="82.8554687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292</v>
      </c>
      <c r="B4" s="146"/>
      <c r="C4" s="146"/>
    </row>
    <row r="5" spans="1:5">
      <c r="A5" s="146" t="s">
        <v>117</v>
      </c>
      <c r="B5" s="146"/>
      <c r="C5" s="146"/>
    </row>
    <row r="6" spans="1:5" ht="16.5" thickBot="1">
      <c r="A6" s="153" t="s">
        <v>179</v>
      </c>
      <c r="B6" s="153"/>
    </row>
    <row r="7" spans="1:5" ht="79.5" thickBot="1">
      <c r="A7" s="30" t="s">
        <v>118</v>
      </c>
      <c r="B7" s="31" t="s">
        <v>119</v>
      </c>
      <c r="C7" s="31" t="s">
        <v>120</v>
      </c>
    </row>
    <row r="8" spans="1:5" ht="16.5" thickBot="1">
      <c r="A8" s="47"/>
      <c r="B8" s="48" t="s">
        <v>121</v>
      </c>
      <c r="C8" s="49"/>
    </row>
    <row r="9" spans="1:5" ht="31.5">
      <c r="A9" s="66" t="s">
        <v>132</v>
      </c>
      <c r="B9" s="105" t="s">
        <v>235</v>
      </c>
      <c r="C9" s="68">
        <f>92.73*12</f>
        <v>1112.76</v>
      </c>
      <c r="D9" s="9"/>
    </row>
    <row r="10" spans="1:5" ht="31.5">
      <c r="A10" s="71" t="s">
        <v>132</v>
      </c>
      <c r="B10" s="106" t="s">
        <v>236</v>
      </c>
      <c r="C10" s="72">
        <f>61.82*12</f>
        <v>741.84</v>
      </c>
      <c r="D10" s="9"/>
    </row>
    <row r="11" spans="1:5" ht="31.5">
      <c r="A11" s="71" t="s">
        <v>132</v>
      </c>
      <c r="B11" s="106" t="s">
        <v>237</v>
      </c>
      <c r="C11" s="72">
        <f>32.73*12</f>
        <v>392.76</v>
      </c>
      <c r="D11" s="9"/>
    </row>
    <row r="12" spans="1:5" ht="32.25" thickBot="1">
      <c r="A12" s="73" t="s">
        <v>132</v>
      </c>
      <c r="B12" s="107" t="s">
        <v>238</v>
      </c>
      <c r="C12" s="74">
        <f>13.64*12</f>
        <v>163.68</v>
      </c>
      <c r="D12" s="9"/>
    </row>
    <row r="13" spans="1:5" ht="36" customHeight="1" thickBot="1">
      <c r="A13" s="32" t="s">
        <v>133</v>
      </c>
      <c r="B13" s="96" t="s">
        <v>131</v>
      </c>
      <c r="C13" s="55">
        <f>(C9+C10+C11+C12)*0.2409</f>
        <v>580.81953599999986</v>
      </c>
      <c r="D13" s="9"/>
    </row>
    <row r="14" spans="1:5" ht="16.5" thickBot="1">
      <c r="A14" s="32"/>
      <c r="B14" s="97" t="s">
        <v>122</v>
      </c>
      <c r="C14" s="37">
        <f>SUM(C9:C13)</f>
        <v>2991.8595359999995</v>
      </c>
      <c r="D14" s="9"/>
    </row>
    <row r="15" spans="1:5" ht="16.5" thickBot="1">
      <c r="A15" s="32"/>
      <c r="B15" s="97" t="s">
        <v>123</v>
      </c>
      <c r="C15" s="38"/>
    </row>
    <row r="16" spans="1:5" ht="32.25" thickBot="1">
      <c r="A16" s="32" t="s">
        <v>143</v>
      </c>
      <c r="B16" s="108" t="s">
        <v>239</v>
      </c>
      <c r="C16" s="55">
        <f>30.55*12</f>
        <v>366.6</v>
      </c>
    </row>
    <row r="17" spans="1:6" ht="32.25" thickBot="1">
      <c r="A17" s="32" t="s">
        <v>184</v>
      </c>
      <c r="B17" s="108" t="s">
        <v>240</v>
      </c>
      <c r="C17" s="55">
        <f>(680/11)*12</f>
        <v>741.81818181818187</v>
      </c>
    </row>
    <row r="18" spans="1:6" ht="32.25" thickBot="1">
      <c r="A18" s="32" t="s">
        <v>185</v>
      </c>
      <c r="B18" s="98" t="s">
        <v>241</v>
      </c>
      <c r="C18" s="55">
        <f>(30/11)*12</f>
        <v>32.727272727272727</v>
      </c>
    </row>
    <row r="19" spans="1:6" ht="54" customHeight="1" thickBot="1">
      <c r="A19" s="32" t="s">
        <v>186</v>
      </c>
      <c r="B19" s="94" t="s">
        <v>242</v>
      </c>
      <c r="C19" s="55">
        <f>(113/11)*12</f>
        <v>123.27272727272728</v>
      </c>
    </row>
    <row r="20" spans="1:6" ht="57.75" customHeight="1" thickBot="1">
      <c r="A20" s="32" t="s">
        <v>234</v>
      </c>
      <c r="B20" s="94" t="s">
        <v>243</v>
      </c>
      <c r="C20" s="55">
        <f>13.64*12</f>
        <v>163.68</v>
      </c>
    </row>
    <row r="21" spans="1:6" ht="32.25" thickBot="1">
      <c r="A21" s="32" t="s">
        <v>187</v>
      </c>
      <c r="B21" s="104" t="s">
        <v>244</v>
      </c>
      <c r="C21" s="55">
        <f>0.1*68*12</f>
        <v>81.600000000000009</v>
      </c>
    </row>
    <row r="22" spans="1:6" ht="16.5" thickBot="1">
      <c r="A22" s="32"/>
      <c r="B22" s="33" t="s">
        <v>124</v>
      </c>
      <c r="C22" s="37">
        <f>SUM(C16:C21)</f>
        <v>1509.6981818181819</v>
      </c>
    </row>
    <row r="23" spans="1:6" ht="16.5" thickBot="1">
      <c r="A23" s="32"/>
      <c r="B23" s="42" t="s">
        <v>125</v>
      </c>
      <c r="C23" s="37">
        <f>C22+C14</f>
        <v>4501.5577178181811</v>
      </c>
    </row>
    <row r="24" spans="1:6">
      <c r="C24" s="9"/>
    </row>
    <row r="25" spans="1:6" ht="16.5" thickBot="1">
      <c r="C25" s="9"/>
    </row>
    <row r="26" spans="1:6" ht="16.5" thickBot="1">
      <c r="A26" s="142" t="s">
        <v>126</v>
      </c>
      <c r="B26" s="143"/>
      <c r="C26" s="69">
        <v>12</v>
      </c>
    </row>
    <row r="27" spans="1:6" ht="16.5" thickBot="1">
      <c r="A27" s="142" t="s">
        <v>127</v>
      </c>
      <c r="B27" s="143"/>
      <c r="C27" s="76">
        <f>C23/C26</f>
        <v>375.12980981818174</v>
      </c>
      <c r="E27" s="60"/>
    </row>
    <row r="29" spans="1:6">
      <c r="A29" s="13"/>
      <c r="B29" s="14"/>
      <c r="C29" s="46"/>
      <c r="D29" s="13"/>
      <c r="E29" s="13"/>
      <c r="F29" s="13"/>
    </row>
    <row r="30" spans="1:6">
      <c r="A30" s="144"/>
      <c r="B30" s="144"/>
      <c r="C30" s="70"/>
      <c r="D30" s="45"/>
      <c r="E30" s="45"/>
      <c r="F30" s="45"/>
    </row>
    <row r="31" spans="1:6" ht="18.75">
      <c r="A31" s="145"/>
      <c r="B31" s="145"/>
      <c r="C31" s="46"/>
      <c r="D31" s="46"/>
      <c r="E31" s="13"/>
      <c r="F31" s="13"/>
    </row>
  </sheetData>
  <mergeCells count="9">
    <mergeCell ref="A27:B27"/>
    <mergeCell ref="A30:B30"/>
    <mergeCell ref="A31:B31"/>
    <mergeCell ref="A1:C1"/>
    <mergeCell ref="A3:C3"/>
    <mergeCell ref="A4:C4"/>
    <mergeCell ref="A5:C5"/>
    <mergeCell ref="A6:B6"/>
    <mergeCell ref="A26:B26"/>
  </mergeCells>
  <pageMargins left="0.7" right="0.7" top="0.75" bottom="0.75" header="0.3" footer="0.3"/>
  <pageSetup paperSize="9" scale="74"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4.9989318521683403E-2"/>
  </sheetPr>
  <dimension ref="A1:F30"/>
  <sheetViews>
    <sheetView zoomScaleNormal="100" workbookViewId="0">
      <selection activeCell="F19" sqref="F19"/>
    </sheetView>
  </sheetViews>
  <sheetFormatPr defaultColWidth="8.85546875" defaultRowHeight="15.75"/>
  <cols>
    <col min="1" max="1" width="16.7109375" style="1" customWidth="1"/>
    <col min="2" max="2" width="90"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293</v>
      </c>
      <c r="B4" s="146"/>
      <c r="C4" s="146"/>
    </row>
    <row r="5" spans="1:5">
      <c r="A5" s="146" t="s">
        <v>117</v>
      </c>
      <c r="B5" s="146"/>
      <c r="C5" s="146"/>
    </row>
    <row r="6" spans="1:5" ht="16.5" thickBot="1">
      <c r="A6" s="153" t="s">
        <v>188</v>
      </c>
      <c r="B6" s="153"/>
    </row>
    <row r="7" spans="1:5" ht="79.5" thickBot="1">
      <c r="A7" s="30" t="s">
        <v>118</v>
      </c>
      <c r="B7" s="31" t="s">
        <v>119</v>
      </c>
      <c r="C7" s="31" t="s">
        <v>120</v>
      </c>
    </row>
    <row r="8" spans="1:5" ht="16.5" thickBot="1">
      <c r="A8" s="47"/>
      <c r="B8" s="48" t="s">
        <v>121</v>
      </c>
      <c r="C8" s="49"/>
    </row>
    <row r="9" spans="1:5" ht="31.5">
      <c r="A9" s="66" t="s">
        <v>132</v>
      </c>
      <c r="B9" s="101" t="s">
        <v>245</v>
      </c>
      <c r="C9" s="68">
        <f>4.8*120</f>
        <v>576</v>
      </c>
      <c r="D9" s="9"/>
    </row>
    <row r="10" spans="1:5" ht="31.5">
      <c r="A10" s="71" t="s">
        <v>132</v>
      </c>
      <c r="B10" s="102" t="s">
        <v>246</v>
      </c>
      <c r="C10" s="72">
        <f>(15*(8/25))*120</f>
        <v>576</v>
      </c>
      <c r="D10" s="9"/>
    </row>
    <row r="11" spans="1:5" ht="32.25" thickBot="1">
      <c r="A11" s="73" t="s">
        <v>132</v>
      </c>
      <c r="B11" s="103" t="s">
        <v>247</v>
      </c>
      <c r="C11" s="74">
        <f>4.8*120</f>
        <v>576</v>
      </c>
      <c r="D11" s="9"/>
    </row>
    <row r="12" spans="1:5" ht="32.25" thickBot="1">
      <c r="A12" s="32" t="s">
        <v>133</v>
      </c>
      <c r="B12" s="91" t="s">
        <v>131</v>
      </c>
      <c r="C12" s="55">
        <f>(C9+C10+C11)*0.2409</f>
        <v>416.27519999999998</v>
      </c>
      <c r="D12" s="9"/>
    </row>
    <row r="13" spans="1:5" ht="16.5" thickBot="1">
      <c r="A13" s="32"/>
      <c r="B13" s="93" t="s">
        <v>122</v>
      </c>
      <c r="C13" s="37">
        <f>SUM(C9:C12)</f>
        <v>2144.2752</v>
      </c>
      <c r="D13" s="9"/>
    </row>
    <row r="14" spans="1:5" ht="16.5" thickBot="1">
      <c r="A14" s="32"/>
      <c r="B14" s="93" t="s">
        <v>123</v>
      </c>
      <c r="C14" s="38"/>
    </row>
    <row r="15" spans="1:5" ht="32.25" thickBot="1">
      <c r="A15" s="32" t="s">
        <v>143</v>
      </c>
      <c r="B15" s="94" t="s">
        <v>248</v>
      </c>
      <c r="C15" s="55">
        <f>(84/25*120)+0.12</f>
        <v>403.32</v>
      </c>
    </row>
    <row r="16" spans="1:5" ht="37.5" customHeight="1" thickBot="1">
      <c r="A16" s="32" t="s">
        <v>184</v>
      </c>
      <c r="B16" s="104" t="s">
        <v>252</v>
      </c>
      <c r="C16" s="55">
        <f>80/25*120</f>
        <v>384</v>
      </c>
    </row>
    <row r="17" spans="1:6" ht="35.25" customHeight="1" thickBot="1">
      <c r="A17" s="32" t="s">
        <v>185</v>
      </c>
      <c r="B17" s="94" t="s">
        <v>249</v>
      </c>
      <c r="C17" s="55">
        <f>30/25*120</f>
        <v>144</v>
      </c>
    </row>
    <row r="18" spans="1:6" ht="51" customHeight="1" thickBot="1">
      <c r="A18" s="32" t="s">
        <v>186</v>
      </c>
      <c r="B18" s="94" t="s">
        <v>250</v>
      </c>
      <c r="C18" s="55">
        <f>(97/25)*120</f>
        <v>465.59999999999997</v>
      </c>
      <c r="E18" s="60"/>
    </row>
    <row r="19" spans="1:6" ht="53.25" customHeight="1" thickBot="1">
      <c r="A19" s="32" t="s">
        <v>234</v>
      </c>
      <c r="B19" s="94" t="s">
        <v>251</v>
      </c>
      <c r="C19" s="55">
        <f>90/25*120</f>
        <v>432</v>
      </c>
    </row>
    <row r="20" spans="1:6" ht="37.5" customHeight="1" thickBot="1">
      <c r="A20" s="77" t="s">
        <v>187</v>
      </c>
      <c r="B20" s="104" t="s">
        <v>244</v>
      </c>
      <c r="C20" s="123">
        <f>0.1*8*120</f>
        <v>96</v>
      </c>
    </row>
    <row r="21" spans="1:6" ht="16.5" thickBot="1">
      <c r="A21" s="32"/>
      <c r="B21" s="33" t="s">
        <v>124</v>
      </c>
      <c r="C21" s="37">
        <f>SUM(C15:C20)</f>
        <v>1924.9199999999998</v>
      </c>
    </row>
    <row r="22" spans="1:6" ht="16.5" thickBot="1">
      <c r="A22" s="32"/>
      <c r="B22" s="42" t="s">
        <v>125</v>
      </c>
      <c r="C22" s="37">
        <f>C21+C13</f>
        <v>4069.1952000000001</v>
      </c>
    </row>
    <row r="23" spans="1:6">
      <c r="C23" s="9"/>
    </row>
    <row r="24" spans="1:6" ht="16.5" thickBot="1">
      <c r="C24" s="9"/>
    </row>
    <row r="25" spans="1:6" ht="16.5" thickBot="1">
      <c r="A25" s="142" t="s">
        <v>126</v>
      </c>
      <c r="B25" s="143"/>
      <c r="C25" s="69">
        <v>120</v>
      </c>
    </row>
    <row r="26" spans="1:6" ht="16.5" thickBot="1">
      <c r="A26" s="142" t="s">
        <v>127</v>
      </c>
      <c r="B26" s="143"/>
      <c r="C26" s="78">
        <f>C22/C25</f>
        <v>33.909959999999998</v>
      </c>
      <c r="E26" s="60"/>
    </row>
    <row r="28" spans="1:6">
      <c r="A28" s="13"/>
      <c r="B28" s="14"/>
      <c r="C28" s="46"/>
      <c r="D28" s="13"/>
      <c r="E28" s="13"/>
      <c r="F28" s="13"/>
    </row>
    <row r="29" spans="1:6">
      <c r="A29" s="144"/>
      <c r="B29" s="144"/>
      <c r="C29" s="70"/>
      <c r="D29" s="45"/>
      <c r="E29" s="45"/>
      <c r="F29" s="45"/>
    </row>
    <row r="30" spans="1:6" ht="18.75">
      <c r="A30" s="145"/>
      <c r="B30" s="145"/>
      <c r="C30" s="46"/>
      <c r="D30" s="46"/>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70"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30"/>
  <sheetViews>
    <sheetView zoomScaleNormal="100" workbookViewId="0">
      <selection activeCell="C13" sqref="C13"/>
    </sheetView>
  </sheetViews>
  <sheetFormatPr defaultColWidth="8.85546875" defaultRowHeight="15.75"/>
  <cols>
    <col min="1" max="1" width="14.28515625" style="1" customWidth="1"/>
    <col min="2" max="2" width="100"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294</v>
      </c>
      <c r="B4" s="146"/>
      <c r="C4" s="146"/>
    </row>
    <row r="5" spans="1:5">
      <c r="A5" s="146" t="s">
        <v>117</v>
      </c>
      <c r="B5" s="146"/>
      <c r="C5" s="146"/>
    </row>
    <row r="6" spans="1:5" ht="16.5" thickBot="1">
      <c r="A6" s="153" t="s">
        <v>179</v>
      </c>
      <c r="B6" s="153"/>
    </row>
    <row r="7" spans="1:5" ht="92.25" customHeight="1" thickBot="1">
      <c r="A7" s="30" t="s">
        <v>118</v>
      </c>
      <c r="B7" s="31" t="s">
        <v>119</v>
      </c>
      <c r="C7" s="31" t="s">
        <v>120</v>
      </c>
    </row>
    <row r="8" spans="1:5" ht="16.5" thickBot="1">
      <c r="A8" s="47"/>
      <c r="B8" s="48" t="s">
        <v>121</v>
      </c>
      <c r="C8" s="49"/>
    </row>
    <row r="9" spans="1:5" ht="31.5">
      <c r="A9" s="66" t="s">
        <v>132</v>
      </c>
      <c r="B9" s="101" t="s">
        <v>253</v>
      </c>
      <c r="C9" s="68">
        <f>20*12</f>
        <v>240</v>
      </c>
      <c r="D9" s="9"/>
    </row>
    <row r="10" spans="1:5" ht="31.5">
      <c r="A10" s="71" t="s">
        <v>132</v>
      </c>
      <c r="B10" s="102" t="s">
        <v>254</v>
      </c>
      <c r="C10" s="72">
        <f>20*12</f>
        <v>240</v>
      </c>
      <c r="D10" s="9"/>
    </row>
    <row r="11" spans="1:5" ht="32.25" thickBot="1">
      <c r="A11" s="73" t="s">
        <v>132</v>
      </c>
      <c r="B11" s="103" t="s">
        <v>255</v>
      </c>
      <c r="C11" s="74">
        <f>12.5*12</f>
        <v>150</v>
      </c>
      <c r="D11" s="9"/>
    </row>
    <row r="12" spans="1:5" ht="32.25" thickBot="1">
      <c r="A12" s="32" t="s">
        <v>133</v>
      </c>
      <c r="B12" s="91" t="s">
        <v>131</v>
      </c>
      <c r="C12" s="55">
        <f>ROUNDUP((C9+C10+C11)*0.2409,1)</f>
        <v>151.79999999999998</v>
      </c>
      <c r="D12" s="9"/>
    </row>
    <row r="13" spans="1:5" ht="16.5" thickBot="1">
      <c r="A13" s="32"/>
      <c r="B13" s="93" t="s">
        <v>122</v>
      </c>
      <c r="C13" s="37">
        <f>SUM(C9:C12)</f>
        <v>781.8</v>
      </c>
      <c r="D13" s="9"/>
    </row>
    <row r="14" spans="1:5" ht="16.5" thickBot="1">
      <c r="A14" s="32"/>
      <c r="B14" s="93" t="s">
        <v>123</v>
      </c>
      <c r="C14" s="38"/>
    </row>
    <row r="15" spans="1:5" ht="34.5" customHeight="1" thickBot="1">
      <c r="A15" s="32" t="s">
        <v>143</v>
      </c>
      <c r="B15" s="94" t="s">
        <v>256</v>
      </c>
      <c r="C15" s="55">
        <f>90/12*12</f>
        <v>90</v>
      </c>
    </row>
    <row r="16" spans="1:5" ht="21.75" customHeight="1" thickBot="1">
      <c r="A16" s="32" t="s">
        <v>184</v>
      </c>
      <c r="B16" s="104" t="s">
        <v>257</v>
      </c>
      <c r="C16" s="55">
        <f>ROUND((160/12)*12,1)</f>
        <v>160</v>
      </c>
    </row>
    <row r="17" spans="1:6" ht="20.25" customHeight="1" thickBot="1">
      <c r="A17" s="32" t="s">
        <v>185</v>
      </c>
      <c r="B17" s="94" t="s">
        <v>258</v>
      </c>
      <c r="C17" s="55">
        <f>(30/12)*12</f>
        <v>30</v>
      </c>
    </row>
    <row r="18" spans="1:6" ht="55.5" customHeight="1" thickBot="1">
      <c r="A18" s="32" t="s">
        <v>186</v>
      </c>
      <c r="B18" s="94" t="s">
        <v>259</v>
      </c>
      <c r="C18" s="55">
        <f>(107/12)*12</f>
        <v>107</v>
      </c>
    </row>
    <row r="19" spans="1:6" ht="37.5" customHeight="1" thickBot="1">
      <c r="A19" s="32" t="s">
        <v>234</v>
      </c>
      <c r="B19" s="94" t="s">
        <v>260</v>
      </c>
      <c r="C19" s="55">
        <f>ROUNDUP(6.67*12,2)</f>
        <v>80.040000000000006</v>
      </c>
    </row>
    <row r="20" spans="1:6" ht="32.25" thickBot="1">
      <c r="A20" s="77" t="s">
        <v>187</v>
      </c>
      <c r="B20" s="104" t="s">
        <v>244</v>
      </c>
      <c r="C20" s="55">
        <f>0.1*16*12</f>
        <v>19.200000000000003</v>
      </c>
    </row>
    <row r="21" spans="1:6" ht="16.5" thickBot="1">
      <c r="A21" s="32"/>
      <c r="B21" s="33" t="s">
        <v>124</v>
      </c>
      <c r="C21" s="37">
        <f>SUM(C15:C20)</f>
        <v>486.24</v>
      </c>
    </row>
    <row r="22" spans="1:6" ht="16.5" thickBot="1">
      <c r="A22" s="32"/>
      <c r="B22" s="42" t="s">
        <v>125</v>
      </c>
      <c r="C22" s="37">
        <f>C21+C13</f>
        <v>1268.04</v>
      </c>
    </row>
    <row r="23" spans="1:6">
      <c r="C23" s="9"/>
    </row>
    <row r="24" spans="1:6" ht="16.5" thickBot="1">
      <c r="C24" s="9"/>
    </row>
    <row r="25" spans="1:6" ht="16.5" thickBot="1">
      <c r="A25" s="142" t="s">
        <v>126</v>
      </c>
      <c r="B25" s="143"/>
      <c r="C25" s="69">
        <v>12</v>
      </c>
    </row>
    <row r="26" spans="1:6" ht="16.5" thickBot="1">
      <c r="A26" s="142" t="s">
        <v>127</v>
      </c>
      <c r="B26" s="143"/>
      <c r="C26" s="44">
        <f>C22/C25</f>
        <v>105.67</v>
      </c>
    </row>
    <row r="28" spans="1:6">
      <c r="A28" s="13"/>
      <c r="B28" s="14"/>
      <c r="C28" s="46"/>
      <c r="D28" s="13"/>
      <c r="E28" s="13"/>
      <c r="F28" s="13"/>
    </row>
    <row r="29" spans="1:6">
      <c r="A29" s="144"/>
      <c r="B29" s="144"/>
      <c r="C29" s="70"/>
      <c r="D29" s="45"/>
      <c r="E29" s="45"/>
      <c r="F29" s="45"/>
    </row>
    <row r="30" spans="1:6" ht="18.75">
      <c r="A30" s="145"/>
      <c r="B30" s="145"/>
      <c r="C30" s="46"/>
      <c r="D30" s="46"/>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6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1"/>
  <sheetViews>
    <sheetView zoomScaleNormal="100" workbookViewId="0">
      <selection activeCell="B11" sqref="B11"/>
    </sheetView>
  </sheetViews>
  <sheetFormatPr defaultColWidth="8.85546875" defaultRowHeight="15.75"/>
  <cols>
    <col min="1" max="1" width="15.7109375" style="1" customWidth="1"/>
    <col min="2" max="2" width="105.5703125" style="1" customWidth="1"/>
    <col min="3" max="3" width="19.85546875" style="1" customWidth="1"/>
    <col min="4" max="4" width="14.85546875" style="1" customWidth="1"/>
    <col min="5" max="5" width="9.5703125" style="1" bestFit="1" customWidth="1"/>
    <col min="6" max="16384" width="8.85546875" style="1"/>
  </cols>
  <sheetData>
    <row r="1" spans="1:5">
      <c r="A1" s="140" t="s">
        <v>116</v>
      </c>
      <c r="B1" s="140"/>
      <c r="C1" s="140"/>
      <c r="D1" s="29"/>
      <c r="E1" s="29"/>
    </row>
    <row r="3" spans="1:5">
      <c r="A3" s="146" t="s">
        <v>128</v>
      </c>
      <c r="B3" s="146"/>
      <c r="C3" s="146"/>
    </row>
    <row r="4" spans="1:5" ht="33.75" customHeight="1">
      <c r="A4" s="146" t="s">
        <v>148</v>
      </c>
      <c r="B4" s="146"/>
      <c r="C4" s="146"/>
    </row>
    <row r="5" spans="1:5">
      <c r="A5" s="146" t="s">
        <v>117</v>
      </c>
      <c r="B5" s="146"/>
      <c r="C5" s="146"/>
    </row>
    <row r="6" spans="1:5" ht="16.5" thickBot="1">
      <c r="A6" s="147" t="s">
        <v>307</v>
      </c>
      <c r="B6" s="147"/>
    </row>
    <row r="7" spans="1:5" ht="92.25" customHeight="1" thickBot="1">
      <c r="A7" s="30" t="s">
        <v>118</v>
      </c>
      <c r="B7" s="31" t="s">
        <v>119</v>
      </c>
      <c r="C7" s="31" t="s">
        <v>120</v>
      </c>
    </row>
    <row r="8" spans="1:5" ht="16.5" thickBot="1">
      <c r="A8" s="47"/>
      <c r="B8" s="48" t="s">
        <v>121</v>
      </c>
      <c r="C8" s="49"/>
    </row>
    <row r="9" spans="1:5" ht="16.5" thickBot="1">
      <c r="A9" s="148" t="s">
        <v>132</v>
      </c>
      <c r="B9" s="51" t="s">
        <v>342</v>
      </c>
      <c r="C9" s="56">
        <f>6.64*460</f>
        <v>3054.3999999999996</v>
      </c>
      <c r="D9" s="9"/>
    </row>
    <row r="10" spans="1:5">
      <c r="A10" s="149"/>
      <c r="B10" s="51" t="s">
        <v>342</v>
      </c>
      <c r="C10" s="57">
        <f>6.64*460</f>
        <v>3054.3999999999996</v>
      </c>
    </row>
    <row r="11" spans="1:5" ht="16.5" thickBot="1">
      <c r="A11" s="150"/>
      <c r="B11" s="52" t="s">
        <v>343</v>
      </c>
      <c r="C11" s="58">
        <f>4.55*460</f>
        <v>2093</v>
      </c>
    </row>
    <row r="12" spans="1:5" ht="35.25" customHeight="1" thickBot="1">
      <c r="A12" s="32" t="s">
        <v>133</v>
      </c>
      <c r="B12" s="91" t="s">
        <v>131</v>
      </c>
      <c r="C12" s="55">
        <f>(C9+C10+C11)*0.2409</f>
        <v>1975.8136199999999</v>
      </c>
    </row>
    <row r="13" spans="1:5" ht="32.25" thickBot="1">
      <c r="A13" s="32" t="s">
        <v>134</v>
      </c>
      <c r="B13" s="91" t="s">
        <v>214</v>
      </c>
      <c r="C13" s="55">
        <f>ROUNDUP((367899/438912)*460,0)</f>
        <v>386</v>
      </c>
    </row>
    <row r="14" spans="1:5" ht="32.25" thickBot="1">
      <c r="A14" s="32" t="s">
        <v>137</v>
      </c>
      <c r="B14" s="91" t="s">
        <v>216</v>
      </c>
      <c r="C14" s="55">
        <f>(452717/438912)*460</f>
        <v>474.46827610090412</v>
      </c>
    </row>
    <row r="15" spans="1:5" ht="32.25" thickBot="1">
      <c r="A15" s="32" t="s">
        <v>139</v>
      </c>
      <c r="B15" s="91" t="s">
        <v>218</v>
      </c>
      <c r="C15" s="55">
        <f>ROUNDUP((624380/438912)*460,2)</f>
        <v>654.38</v>
      </c>
    </row>
    <row r="16" spans="1:5" ht="32.25" thickBot="1">
      <c r="A16" s="32" t="s">
        <v>217</v>
      </c>
      <c r="B16" s="91" t="s">
        <v>219</v>
      </c>
      <c r="C16" s="55">
        <f>(500471/438912)*460</f>
        <v>524.51666848935554</v>
      </c>
    </row>
    <row r="17" spans="1:7" ht="38.25" customHeight="1" thickBot="1">
      <c r="A17" s="32" t="s">
        <v>138</v>
      </c>
      <c r="B17" s="92" t="s">
        <v>229</v>
      </c>
      <c r="C17" s="63">
        <f>ROUNDUP((15/100*72*1.06)*460,1)</f>
        <v>5266.1</v>
      </c>
      <c r="E17" s="9"/>
    </row>
    <row r="18" spans="1:7" ht="16.5" thickBot="1">
      <c r="A18" s="32"/>
      <c r="B18" s="93" t="s">
        <v>122</v>
      </c>
      <c r="C18" s="37">
        <f>SUM(C9:C17)</f>
        <v>17483.078564590258</v>
      </c>
    </row>
    <row r="19" spans="1:7" ht="16.5" thickBot="1">
      <c r="A19" s="32"/>
      <c r="B19" s="93" t="s">
        <v>123</v>
      </c>
      <c r="C19" s="38"/>
      <c r="D19" s="60"/>
      <c r="E19" s="60"/>
      <c r="F19" s="60"/>
      <c r="G19" s="60"/>
    </row>
    <row r="20" spans="1:7" ht="40.5" customHeight="1" thickBot="1">
      <c r="A20" s="32" t="s">
        <v>141</v>
      </c>
      <c r="B20" s="39" t="s">
        <v>197</v>
      </c>
      <c r="C20" s="55">
        <f>(C9+C10+C11)*0.15</f>
        <v>1230.2699999999998</v>
      </c>
      <c r="D20" s="60"/>
      <c r="E20" s="60"/>
      <c r="F20" s="60"/>
      <c r="G20" s="60"/>
    </row>
    <row r="21" spans="1:7" ht="36.75" customHeight="1" thickBot="1">
      <c r="A21" s="32" t="s">
        <v>133</v>
      </c>
      <c r="B21" s="91" t="s">
        <v>131</v>
      </c>
      <c r="C21" s="55">
        <f>C20*0.2409</f>
        <v>296.37204299999996</v>
      </c>
      <c r="D21" s="60"/>
      <c r="E21" s="60"/>
      <c r="F21" s="60"/>
      <c r="G21" s="60"/>
    </row>
    <row r="22" spans="1:7" ht="37.5" customHeight="1" thickBot="1">
      <c r="A22" s="32" t="s">
        <v>145</v>
      </c>
      <c r="B22" s="94" t="s">
        <v>208</v>
      </c>
      <c r="C22" s="55">
        <f>(39708/438912)*460</f>
        <v>41.615813648293958</v>
      </c>
      <c r="D22" s="60"/>
      <c r="E22" s="60"/>
      <c r="F22" s="60"/>
      <c r="G22" s="60"/>
    </row>
    <row r="23" spans="1:7" ht="34.5" customHeight="1" thickBot="1">
      <c r="A23" s="32" t="s">
        <v>142</v>
      </c>
      <c r="B23" s="91" t="s">
        <v>210</v>
      </c>
      <c r="C23" s="55">
        <f>(813902/438912)*460</f>
        <v>853.00679862933794</v>
      </c>
      <c r="D23" s="60"/>
      <c r="E23" s="60"/>
      <c r="F23" s="60"/>
      <c r="G23" s="60"/>
    </row>
    <row r="24" spans="1:7" ht="37.5" customHeight="1" thickBot="1">
      <c r="A24" s="32" t="s">
        <v>143</v>
      </c>
      <c r="B24" s="94" t="s">
        <v>207</v>
      </c>
      <c r="C24" s="55">
        <f>(234731/438912)*460</f>
        <v>246.00890383493731</v>
      </c>
      <c r="D24" s="60"/>
      <c r="E24" s="60"/>
      <c r="F24" s="60"/>
      <c r="G24" s="60"/>
    </row>
    <row r="25" spans="1:7" ht="38.25" customHeight="1" thickBot="1">
      <c r="A25" s="32" t="s">
        <v>139</v>
      </c>
      <c r="B25" s="95" t="s">
        <v>209</v>
      </c>
      <c r="C25" s="55">
        <f>(561364/438912)*460</f>
        <v>588.33533829104692</v>
      </c>
    </row>
    <row r="26" spans="1:7" ht="36.75" customHeight="1" thickBot="1">
      <c r="A26" s="32" t="s">
        <v>135</v>
      </c>
      <c r="B26" s="91" t="s">
        <v>213</v>
      </c>
      <c r="C26" s="55">
        <f>(627676/438912)*460</f>
        <v>657.83336978710997</v>
      </c>
    </row>
    <row r="27" spans="1:7" ht="35.25" customHeight="1" thickBot="1">
      <c r="A27" s="32" t="s">
        <v>184</v>
      </c>
      <c r="B27" s="91" t="s">
        <v>211</v>
      </c>
      <c r="C27" s="55">
        <f>ROUNDUP((286606/438912)*460,2)</f>
        <v>300.38</v>
      </c>
    </row>
    <row r="28" spans="1:7" ht="32.25" thickBot="1">
      <c r="A28" s="32" t="s">
        <v>182</v>
      </c>
      <c r="B28" s="91" t="s">
        <v>301</v>
      </c>
      <c r="C28" s="55">
        <f>ROUNDUP((157571/438912)*460,2)</f>
        <v>165.14999999999998</v>
      </c>
    </row>
    <row r="29" spans="1:7" ht="32.25" thickBot="1">
      <c r="A29" s="32" t="s">
        <v>144</v>
      </c>
      <c r="B29" s="91" t="s">
        <v>202</v>
      </c>
      <c r="C29" s="55">
        <f>ROUND((46423/438912)*460,2)</f>
        <v>48.65</v>
      </c>
    </row>
    <row r="30" spans="1:7" ht="32.25" thickBot="1">
      <c r="A30" s="32" t="s">
        <v>140</v>
      </c>
      <c r="B30" s="91" t="s">
        <v>212</v>
      </c>
      <c r="C30" s="55">
        <f>ROUNDUP((21000/438912)*460,1)</f>
        <v>22.1</v>
      </c>
    </row>
    <row r="31" spans="1:7" ht="32.25" thickBot="1">
      <c r="A31" s="32" t="s">
        <v>222</v>
      </c>
      <c r="B31" s="91" t="s">
        <v>223</v>
      </c>
      <c r="C31" s="55">
        <f>3.55*460</f>
        <v>1633</v>
      </c>
      <c r="G31" s="9"/>
    </row>
    <row r="32" spans="1:7" ht="16.5" thickBot="1">
      <c r="A32" s="32"/>
      <c r="B32" s="33" t="s">
        <v>124</v>
      </c>
      <c r="C32" s="37">
        <f>SUM(C20:C31)</f>
        <v>6082.7222671907248</v>
      </c>
    </row>
    <row r="33" spans="1:6" ht="16.5" thickBot="1">
      <c r="A33" s="32"/>
      <c r="B33" s="42" t="s">
        <v>125</v>
      </c>
      <c r="C33" s="37">
        <f>C32+C18</f>
        <v>23565.800831780984</v>
      </c>
    </row>
    <row r="34" spans="1:6">
      <c r="C34" s="9"/>
    </row>
    <row r="35" spans="1:6" ht="16.5" thickBot="1">
      <c r="C35" s="9"/>
    </row>
    <row r="36" spans="1:6" ht="16.5" thickBot="1">
      <c r="A36" s="142" t="s">
        <v>126</v>
      </c>
      <c r="B36" s="143"/>
      <c r="C36" s="43">
        <v>460</v>
      </c>
    </row>
    <row r="37" spans="1:6" ht="16.5" thickBot="1">
      <c r="A37" s="142" t="s">
        <v>127</v>
      </c>
      <c r="B37" s="143"/>
      <c r="C37" s="44">
        <f>C33/C36</f>
        <v>51.230001808219527</v>
      </c>
    </row>
    <row r="39" spans="1:6">
      <c r="A39" s="13"/>
      <c r="B39" s="13"/>
      <c r="C39" s="13"/>
      <c r="D39" s="13"/>
      <c r="E39" s="13"/>
      <c r="F39" s="13"/>
    </row>
    <row r="40" spans="1:6">
      <c r="A40" s="144"/>
      <c r="B40" s="144"/>
      <c r="C40" s="45"/>
      <c r="D40" s="45"/>
      <c r="E40" s="45"/>
      <c r="F40" s="45"/>
    </row>
    <row r="41" spans="1:6" ht="18.75" hidden="1">
      <c r="A41" s="145"/>
      <c r="B41" s="145"/>
      <c r="C41" s="46"/>
      <c r="D41" s="46"/>
      <c r="E41" s="13"/>
      <c r="F41" s="13"/>
    </row>
  </sheetData>
  <mergeCells count="10">
    <mergeCell ref="A36:B36"/>
    <mergeCell ref="A37:B37"/>
    <mergeCell ref="A40:B40"/>
    <mergeCell ref="A41:B41"/>
    <mergeCell ref="A1:C1"/>
    <mergeCell ref="A3:C3"/>
    <mergeCell ref="A4:C4"/>
    <mergeCell ref="A5:C5"/>
    <mergeCell ref="A6:B6"/>
    <mergeCell ref="A9:A11"/>
  </mergeCells>
  <pageMargins left="0.7" right="0.7" top="0.75" bottom="0.75" header="0.3" footer="0.3"/>
  <pageSetup paperSize="9" scale="62"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25"/>
  <sheetViews>
    <sheetView zoomScaleNormal="100" workbookViewId="0">
      <selection activeCell="A4" sqref="A4:C4"/>
    </sheetView>
  </sheetViews>
  <sheetFormatPr defaultColWidth="8.85546875" defaultRowHeight="15.75"/>
  <cols>
    <col min="1" max="1" width="14.5703125" style="1" customWidth="1"/>
    <col min="2" max="2" width="90.42578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325</v>
      </c>
      <c r="B4" s="146"/>
      <c r="C4" s="146"/>
    </row>
    <row r="5" spans="1:5">
      <c r="A5" s="146" t="s">
        <v>117</v>
      </c>
      <c r="B5" s="146"/>
      <c r="C5" s="146"/>
    </row>
    <row r="6" spans="1:5" ht="16.5" thickBot="1">
      <c r="A6" s="147" t="s">
        <v>189</v>
      </c>
      <c r="B6" s="147"/>
    </row>
    <row r="7" spans="1:5" ht="79.5" thickBot="1">
      <c r="A7" s="30" t="s">
        <v>118</v>
      </c>
      <c r="B7" s="31" t="s">
        <v>119</v>
      </c>
      <c r="C7" s="31" t="s">
        <v>120</v>
      </c>
    </row>
    <row r="8" spans="1:5" ht="16.5" thickBot="1">
      <c r="A8" s="47"/>
      <c r="B8" s="48" t="s">
        <v>121</v>
      </c>
      <c r="C8" s="49"/>
    </row>
    <row r="9" spans="1:5" ht="31.5">
      <c r="A9" s="66" t="s">
        <v>132</v>
      </c>
      <c r="B9" s="101" t="s">
        <v>261</v>
      </c>
      <c r="C9" s="68">
        <f>600*1</f>
        <v>600</v>
      </c>
      <c r="D9" s="9"/>
    </row>
    <row r="10" spans="1:5" ht="32.25" thickBot="1">
      <c r="A10" s="32" t="s">
        <v>133</v>
      </c>
      <c r="B10" s="91" t="s">
        <v>131</v>
      </c>
      <c r="C10" s="55">
        <f>C9*0.2409</f>
        <v>144.54</v>
      </c>
      <c r="D10" s="9"/>
    </row>
    <row r="11" spans="1:5" ht="16.5" thickBot="1">
      <c r="A11" s="79" t="s">
        <v>138</v>
      </c>
      <c r="B11" s="34" t="s">
        <v>262</v>
      </c>
      <c r="C11" s="55">
        <f>15.9*1</f>
        <v>15.9</v>
      </c>
      <c r="D11" s="9"/>
    </row>
    <row r="12" spans="1:5" ht="16.5" thickBot="1">
      <c r="A12" s="32"/>
      <c r="B12" s="36" t="s">
        <v>122</v>
      </c>
      <c r="C12" s="37">
        <f>SUM(C9:C11)</f>
        <v>760.43999999999994</v>
      </c>
    </row>
    <row r="13" spans="1:5" ht="16.5" thickBot="1">
      <c r="A13" s="32"/>
      <c r="B13" s="36" t="s">
        <v>123</v>
      </c>
      <c r="C13" s="38"/>
    </row>
    <row r="14" spans="1:5" ht="16.5" thickBot="1">
      <c r="A14" s="79" t="s">
        <v>184</v>
      </c>
      <c r="B14" s="75" t="s">
        <v>263</v>
      </c>
      <c r="C14" s="38">
        <f>40*1</f>
        <v>40</v>
      </c>
      <c r="D14" s="60"/>
    </row>
    <row r="15" spans="1:5" ht="35.25" customHeight="1" thickBot="1">
      <c r="A15" s="77" t="s">
        <v>187</v>
      </c>
      <c r="B15" s="104" t="s">
        <v>264</v>
      </c>
      <c r="C15" s="55">
        <f>0.1*4</f>
        <v>0.4</v>
      </c>
    </row>
    <row r="16" spans="1:5" ht="16.5" thickBot="1">
      <c r="A16" s="32"/>
      <c r="B16" s="33" t="s">
        <v>124</v>
      </c>
      <c r="C16" s="37">
        <f>SUM(C14:C15)</f>
        <v>40.4</v>
      </c>
    </row>
    <row r="17" spans="1:6" ht="16.5" thickBot="1">
      <c r="A17" s="32"/>
      <c r="B17" s="42" t="s">
        <v>125</v>
      </c>
      <c r="C17" s="37">
        <f>C16+C12</f>
        <v>800.83999999999992</v>
      </c>
    </row>
    <row r="18" spans="1:6">
      <c r="C18" s="9"/>
    </row>
    <row r="19" spans="1:6" ht="16.5" thickBot="1">
      <c r="C19" s="9"/>
    </row>
    <row r="20" spans="1:6" ht="16.5" thickBot="1">
      <c r="A20" s="142" t="s">
        <v>126</v>
      </c>
      <c r="B20" s="143"/>
      <c r="C20" s="69">
        <v>1</v>
      </c>
    </row>
    <row r="21" spans="1:6" ht="16.5" thickBot="1">
      <c r="A21" s="142" t="s">
        <v>127</v>
      </c>
      <c r="B21" s="143"/>
      <c r="C21" s="44">
        <f>C17/C20</f>
        <v>800.83999999999992</v>
      </c>
    </row>
    <row r="23" spans="1:6">
      <c r="A23" s="13"/>
      <c r="B23" s="14"/>
      <c r="C23" s="46"/>
      <c r="D23" s="13"/>
      <c r="E23" s="13"/>
      <c r="F23" s="13"/>
    </row>
    <row r="24" spans="1:6">
      <c r="A24" s="144"/>
      <c r="B24" s="144"/>
      <c r="C24" s="70"/>
      <c r="D24" s="45"/>
      <c r="E24" s="45"/>
      <c r="F24" s="45"/>
    </row>
    <row r="25" spans="1:6" ht="18.75">
      <c r="A25" s="145"/>
      <c r="B25" s="145"/>
      <c r="C25" s="46"/>
      <c r="D25" s="46"/>
      <c r="E25" s="13"/>
      <c r="F25" s="13"/>
    </row>
  </sheetData>
  <mergeCells count="9">
    <mergeCell ref="A21:B21"/>
    <mergeCell ref="A24:B24"/>
    <mergeCell ref="A25:B25"/>
    <mergeCell ref="A1:C1"/>
    <mergeCell ref="A3:C3"/>
    <mergeCell ref="A4:C4"/>
    <mergeCell ref="A5:C5"/>
    <mergeCell ref="A6:B6"/>
    <mergeCell ref="A20:B20"/>
  </mergeCells>
  <pageMargins left="0.7" right="0.7" top="0.75" bottom="0.75" header="0.3" footer="0.3"/>
  <pageSetup paperSize="9" scale="70"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25"/>
  <sheetViews>
    <sheetView zoomScaleNormal="100" workbookViewId="0">
      <selection activeCell="A4" sqref="A4:C4"/>
    </sheetView>
  </sheetViews>
  <sheetFormatPr defaultColWidth="8.85546875" defaultRowHeight="15.75"/>
  <cols>
    <col min="1" max="1" width="14.5703125" style="1" customWidth="1"/>
    <col min="2" max="2" width="87.8554687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4.5" customHeight="1">
      <c r="A4" s="146" t="s">
        <v>326</v>
      </c>
      <c r="B4" s="146"/>
      <c r="C4" s="146"/>
    </row>
    <row r="5" spans="1:5">
      <c r="A5" s="146" t="s">
        <v>117</v>
      </c>
      <c r="B5" s="146"/>
      <c r="C5" s="146"/>
    </row>
    <row r="6" spans="1:5" ht="16.5" thickBot="1">
      <c r="A6" s="147" t="s">
        <v>189</v>
      </c>
      <c r="B6" s="147"/>
    </row>
    <row r="7" spans="1:5" ht="92.25" customHeight="1" thickBot="1">
      <c r="A7" s="30" t="s">
        <v>118</v>
      </c>
      <c r="B7" s="31" t="s">
        <v>119</v>
      </c>
      <c r="C7" s="31" t="s">
        <v>120</v>
      </c>
    </row>
    <row r="8" spans="1:5" ht="16.5" thickBot="1">
      <c r="A8" s="47"/>
      <c r="B8" s="48" t="s">
        <v>121</v>
      </c>
      <c r="C8" s="49"/>
    </row>
    <row r="9" spans="1:5" ht="31.5">
      <c r="A9" s="66" t="s">
        <v>132</v>
      </c>
      <c r="B9" s="101" t="s">
        <v>265</v>
      </c>
      <c r="C9" s="68">
        <f>300*1</f>
        <v>300</v>
      </c>
      <c r="D9" s="80"/>
    </row>
    <row r="10" spans="1:5" ht="32.25" thickBot="1">
      <c r="A10" s="32" t="s">
        <v>133</v>
      </c>
      <c r="B10" s="91" t="s">
        <v>131</v>
      </c>
      <c r="C10" s="55">
        <f>C9*0.2409</f>
        <v>72.27</v>
      </c>
      <c r="D10" s="80"/>
    </row>
    <row r="11" spans="1:5" ht="16.5" thickBot="1">
      <c r="A11" s="79" t="s">
        <v>138</v>
      </c>
      <c r="B11" s="34" t="s">
        <v>266</v>
      </c>
      <c r="C11" s="55">
        <f>7.95*1</f>
        <v>7.95</v>
      </c>
      <c r="D11" s="80"/>
    </row>
    <row r="12" spans="1:5" ht="16.5" thickBot="1">
      <c r="A12" s="32"/>
      <c r="B12" s="36" t="s">
        <v>122</v>
      </c>
      <c r="C12" s="37">
        <f>SUM(C9:C11)</f>
        <v>380.21999999999997</v>
      </c>
      <c r="D12" s="60"/>
    </row>
    <row r="13" spans="1:5" ht="16.5" thickBot="1">
      <c r="A13" s="32"/>
      <c r="B13" s="36" t="s">
        <v>123</v>
      </c>
      <c r="C13" s="38"/>
      <c r="D13" s="60"/>
    </row>
    <row r="14" spans="1:5" ht="16.5" thickBot="1">
      <c r="A14" s="79" t="s">
        <v>184</v>
      </c>
      <c r="B14" s="104" t="s">
        <v>267</v>
      </c>
      <c r="C14" s="38">
        <f>20*1</f>
        <v>20</v>
      </c>
      <c r="D14" s="60"/>
    </row>
    <row r="15" spans="1:5" ht="32.25" thickBot="1">
      <c r="A15" s="77" t="s">
        <v>187</v>
      </c>
      <c r="B15" s="104" t="s">
        <v>264</v>
      </c>
      <c r="C15" s="55">
        <f>0.1*2</f>
        <v>0.2</v>
      </c>
      <c r="D15" s="60"/>
    </row>
    <row r="16" spans="1:5" ht="16.5" thickBot="1">
      <c r="A16" s="32"/>
      <c r="B16" s="33" t="s">
        <v>124</v>
      </c>
      <c r="C16" s="37">
        <f>SUM(C14:C15)</f>
        <v>20.2</v>
      </c>
      <c r="D16" s="60"/>
    </row>
    <row r="17" spans="1:6" ht="16.5" thickBot="1">
      <c r="A17" s="32"/>
      <c r="B17" s="42" t="s">
        <v>125</v>
      </c>
      <c r="C17" s="37">
        <f>C16+C12</f>
        <v>400.41999999999996</v>
      </c>
    </row>
    <row r="18" spans="1:6">
      <c r="C18" s="9"/>
    </row>
    <row r="19" spans="1:6" ht="16.5" thickBot="1">
      <c r="C19" s="9"/>
    </row>
    <row r="20" spans="1:6" ht="16.5" thickBot="1">
      <c r="A20" s="142" t="s">
        <v>126</v>
      </c>
      <c r="B20" s="143"/>
      <c r="C20" s="69">
        <v>1</v>
      </c>
    </row>
    <row r="21" spans="1:6" ht="16.5" thickBot="1">
      <c r="A21" s="142" t="s">
        <v>127</v>
      </c>
      <c r="B21" s="143"/>
      <c r="C21" s="44">
        <f>C17/C20</f>
        <v>400.41999999999996</v>
      </c>
    </row>
    <row r="23" spans="1:6">
      <c r="A23" s="13"/>
      <c r="B23" s="14"/>
      <c r="C23" s="46"/>
      <c r="D23" s="13"/>
      <c r="E23" s="13"/>
      <c r="F23" s="13"/>
    </row>
    <row r="24" spans="1:6">
      <c r="A24" s="144"/>
      <c r="B24" s="144"/>
      <c r="C24" s="70"/>
      <c r="D24" s="45"/>
      <c r="E24" s="45"/>
      <c r="F24" s="45"/>
    </row>
    <row r="25" spans="1:6" ht="18.75">
      <c r="A25" s="145"/>
      <c r="B25" s="145"/>
      <c r="C25" s="46"/>
      <c r="D25" s="46"/>
      <c r="E25" s="13"/>
      <c r="F25" s="13"/>
    </row>
  </sheetData>
  <mergeCells count="9">
    <mergeCell ref="A21:B21"/>
    <mergeCell ref="A24:B24"/>
    <mergeCell ref="A25:B25"/>
    <mergeCell ref="A1:C1"/>
    <mergeCell ref="A3:C3"/>
    <mergeCell ref="A4:C4"/>
    <mergeCell ref="A5:C5"/>
    <mergeCell ref="A6:B6"/>
    <mergeCell ref="A20:B20"/>
  </mergeCells>
  <pageMargins left="0.7" right="0.7" top="0.75" bottom="0.75" header="0.3" footer="0.3"/>
  <pageSetup paperSize="9" scale="72"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30"/>
  <sheetViews>
    <sheetView zoomScaleNormal="100" workbookViewId="0">
      <selection activeCell="G14" sqref="G14"/>
    </sheetView>
  </sheetViews>
  <sheetFormatPr defaultColWidth="8.85546875" defaultRowHeight="15.75"/>
  <cols>
    <col min="1" max="1" width="16.28515625" style="1" customWidth="1"/>
    <col min="2" max="2" width="92.140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190</v>
      </c>
      <c r="B4" s="146"/>
      <c r="C4" s="146"/>
    </row>
    <row r="5" spans="1:5">
      <c r="A5" s="146" t="s">
        <v>117</v>
      </c>
      <c r="B5" s="146"/>
      <c r="C5" s="146"/>
    </row>
    <row r="6" spans="1:5" ht="16.5" thickBot="1">
      <c r="A6" s="147" t="s">
        <v>191</v>
      </c>
      <c r="B6" s="147"/>
    </row>
    <row r="7" spans="1:5" ht="88.5" customHeight="1" thickBot="1">
      <c r="A7" s="30" t="s">
        <v>118</v>
      </c>
      <c r="B7" s="31" t="s">
        <v>119</v>
      </c>
      <c r="C7" s="31" t="s">
        <v>120</v>
      </c>
    </row>
    <row r="8" spans="1:5" ht="16.5" thickBot="1">
      <c r="A8" s="47"/>
      <c r="B8" s="48" t="s">
        <v>121</v>
      </c>
      <c r="C8" s="49"/>
    </row>
    <row r="9" spans="1:5" ht="33" customHeight="1">
      <c r="A9" s="66" t="s">
        <v>132</v>
      </c>
      <c r="B9" s="101" t="s">
        <v>268</v>
      </c>
      <c r="C9" s="68">
        <f>92.31*11</f>
        <v>1015.4100000000001</v>
      </c>
      <c r="D9" s="9"/>
    </row>
    <row r="10" spans="1:5" ht="34.5" customHeight="1">
      <c r="A10" s="81" t="s">
        <v>132</v>
      </c>
      <c r="B10" s="109" t="s">
        <v>269</v>
      </c>
      <c r="C10" s="72">
        <f>2.31*11</f>
        <v>25.41</v>
      </c>
      <c r="D10" s="9"/>
    </row>
    <row r="11" spans="1:5" ht="39" customHeight="1">
      <c r="A11" s="81" t="s">
        <v>132</v>
      </c>
      <c r="B11" s="109" t="s">
        <v>270</v>
      </c>
      <c r="C11" s="72">
        <f>4.62*11</f>
        <v>50.82</v>
      </c>
      <c r="D11" s="9"/>
    </row>
    <row r="12" spans="1:5" ht="36" customHeight="1" thickBot="1">
      <c r="A12" s="32" t="s">
        <v>133</v>
      </c>
      <c r="B12" s="110" t="s">
        <v>131</v>
      </c>
      <c r="C12" s="82">
        <f>ROUNDUP((C9+C10+C11)*0.2409,2)</f>
        <v>262.98</v>
      </c>
      <c r="D12" s="9"/>
    </row>
    <row r="13" spans="1:5" ht="16.5" thickBot="1">
      <c r="A13" s="32"/>
      <c r="B13" s="111" t="s">
        <v>122</v>
      </c>
      <c r="C13" s="83">
        <f>SUM(C9:C12)</f>
        <v>1354.6200000000001</v>
      </c>
    </row>
    <row r="14" spans="1:5" ht="16.5" thickBot="1">
      <c r="A14" s="32"/>
      <c r="B14" s="111" t="s">
        <v>123</v>
      </c>
      <c r="C14" s="84"/>
    </row>
    <row r="15" spans="1:5" ht="32.25" thickBot="1">
      <c r="A15" s="32" t="s">
        <v>143</v>
      </c>
      <c r="B15" s="85" t="s">
        <v>271</v>
      </c>
      <c r="C15" s="84">
        <f>5.31*11</f>
        <v>58.41</v>
      </c>
    </row>
    <row r="16" spans="1:5" ht="37.5" customHeight="1" thickBot="1">
      <c r="A16" s="32" t="s">
        <v>184</v>
      </c>
      <c r="B16" s="112" t="s">
        <v>272</v>
      </c>
      <c r="C16" s="84">
        <f>6.15*11</f>
        <v>67.650000000000006</v>
      </c>
    </row>
    <row r="17" spans="1:6" ht="20.25" customHeight="1" thickBot="1">
      <c r="A17" s="32" t="s">
        <v>185</v>
      </c>
      <c r="B17" s="85" t="s">
        <v>273</v>
      </c>
      <c r="C17" s="84">
        <f>30/13*11</f>
        <v>25.384615384615383</v>
      </c>
    </row>
    <row r="18" spans="1:6" ht="53.25" customHeight="1" thickBot="1">
      <c r="A18" s="32" t="s">
        <v>186</v>
      </c>
      <c r="B18" s="85" t="s">
        <v>274</v>
      </c>
      <c r="C18" s="84">
        <f>97/13*11</f>
        <v>82.07692307692308</v>
      </c>
    </row>
    <row r="19" spans="1:6" ht="53.25" customHeight="1" thickBot="1">
      <c r="A19" s="32" t="s">
        <v>234</v>
      </c>
      <c r="B19" s="85" t="s">
        <v>275</v>
      </c>
      <c r="C19" s="86">
        <f>106/13*11</f>
        <v>89.692307692307679</v>
      </c>
    </row>
    <row r="20" spans="1:6" ht="38.25" customHeight="1" thickBot="1">
      <c r="A20" s="77" t="s">
        <v>187</v>
      </c>
      <c r="B20" s="75" t="s">
        <v>244</v>
      </c>
      <c r="C20" s="38">
        <f>0.1*8*11</f>
        <v>8.8000000000000007</v>
      </c>
    </row>
    <row r="21" spans="1:6" ht="16.5" thickBot="1">
      <c r="A21" s="32"/>
      <c r="B21" s="33" t="s">
        <v>124</v>
      </c>
      <c r="C21" s="37">
        <f>SUM(C15:C20)</f>
        <v>332.01384615384615</v>
      </c>
    </row>
    <row r="22" spans="1:6" ht="16.5" thickBot="1">
      <c r="A22" s="32"/>
      <c r="B22" s="42" t="s">
        <v>125</v>
      </c>
      <c r="C22" s="37">
        <f>C21+C13</f>
        <v>1686.6338461538462</v>
      </c>
    </row>
    <row r="23" spans="1:6">
      <c r="C23" s="9"/>
    </row>
    <row r="24" spans="1:6" ht="16.5" thickBot="1">
      <c r="C24" s="9"/>
    </row>
    <row r="25" spans="1:6" ht="16.5" thickBot="1">
      <c r="A25" s="142" t="s">
        <v>126</v>
      </c>
      <c r="B25" s="143"/>
      <c r="C25" s="69">
        <v>11</v>
      </c>
    </row>
    <row r="26" spans="1:6" ht="16.5" thickBot="1">
      <c r="A26" s="142" t="s">
        <v>127</v>
      </c>
      <c r="B26" s="143"/>
      <c r="C26" s="44">
        <f>C22/C25</f>
        <v>153.33034965034966</v>
      </c>
    </row>
    <row r="28" spans="1:6">
      <c r="A28" s="13"/>
      <c r="B28" s="14"/>
      <c r="C28" s="46"/>
      <c r="D28" s="13"/>
      <c r="E28" s="13"/>
      <c r="F28" s="13"/>
    </row>
    <row r="29" spans="1:6">
      <c r="A29" s="144"/>
      <c r="B29" s="144"/>
      <c r="C29" s="70"/>
      <c r="D29" s="45"/>
      <c r="E29" s="45"/>
      <c r="F29" s="45"/>
    </row>
    <row r="30" spans="1:6" ht="18.75">
      <c r="A30" s="145"/>
      <c r="B30" s="145"/>
      <c r="C30" s="46"/>
      <c r="D30" s="46"/>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6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30"/>
  <sheetViews>
    <sheetView zoomScaleNormal="100" workbookViewId="0">
      <selection activeCell="C19" sqref="C19"/>
    </sheetView>
  </sheetViews>
  <sheetFormatPr defaultColWidth="8.85546875" defaultRowHeight="15.75"/>
  <cols>
    <col min="1" max="1" width="14.140625" style="1" customWidth="1"/>
    <col min="2" max="2" width="94.1406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192</v>
      </c>
      <c r="B4" s="146"/>
      <c r="C4" s="146"/>
    </row>
    <row r="5" spans="1:5">
      <c r="A5" s="146" t="s">
        <v>117</v>
      </c>
      <c r="B5" s="146"/>
      <c r="C5" s="146"/>
    </row>
    <row r="6" spans="1:5" ht="16.5" thickBot="1">
      <c r="A6" s="147" t="s">
        <v>191</v>
      </c>
      <c r="B6" s="147"/>
    </row>
    <row r="7" spans="1:5" ht="87" customHeight="1" thickBot="1">
      <c r="A7" s="30" t="s">
        <v>118</v>
      </c>
      <c r="B7" s="31" t="s">
        <v>119</v>
      </c>
      <c r="C7" s="31" t="s">
        <v>120</v>
      </c>
    </row>
    <row r="8" spans="1:5" ht="16.5" thickBot="1">
      <c r="A8" s="47"/>
      <c r="B8" s="48" t="s">
        <v>121</v>
      </c>
      <c r="C8" s="49"/>
    </row>
    <row r="9" spans="1:5" ht="35.25" customHeight="1" thickBot="1">
      <c r="A9" s="66" t="s">
        <v>132</v>
      </c>
      <c r="B9" s="67" t="s">
        <v>276</v>
      </c>
      <c r="C9" s="121">
        <f>600/13*11</f>
        <v>507.69230769230768</v>
      </c>
      <c r="D9" s="9"/>
    </row>
    <row r="10" spans="1:5" ht="37.5" customHeight="1" thickBot="1">
      <c r="A10" s="81" t="s">
        <v>132</v>
      </c>
      <c r="B10" s="109" t="s">
        <v>277</v>
      </c>
      <c r="C10" s="121">
        <f>30/13*11</f>
        <v>25.384615384615383</v>
      </c>
      <c r="D10" s="9"/>
    </row>
    <row r="11" spans="1:5" ht="33" customHeight="1" thickBot="1">
      <c r="A11" s="81" t="s">
        <v>132</v>
      </c>
      <c r="B11" s="109" t="s">
        <v>278</v>
      </c>
      <c r="C11" s="122">
        <f>60/13*11</f>
        <v>50.769230769230766</v>
      </c>
      <c r="D11" s="9"/>
    </row>
    <row r="12" spans="1:5" ht="32.25" thickBot="1">
      <c r="A12" s="32" t="s">
        <v>133</v>
      </c>
      <c r="B12" s="91" t="s">
        <v>131</v>
      </c>
      <c r="C12" s="55">
        <f>ROUND((C9+C10+C11)*0.2409,2)</f>
        <v>140.65</v>
      </c>
      <c r="D12" s="9"/>
    </row>
    <row r="13" spans="1:5" ht="16.5" thickBot="1">
      <c r="A13" s="32"/>
      <c r="B13" s="93" t="s">
        <v>122</v>
      </c>
      <c r="C13" s="37">
        <f>SUM(C9:C12)</f>
        <v>724.49615384615379</v>
      </c>
      <c r="D13" s="60"/>
    </row>
    <row r="14" spans="1:5" ht="16.5" thickBot="1">
      <c r="A14" s="32"/>
      <c r="B14" s="93" t="s">
        <v>123</v>
      </c>
      <c r="C14" s="38"/>
    </row>
    <row r="15" spans="1:5" ht="32.25" thickBot="1">
      <c r="A15" s="32" t="s">
        <v>143</v>
      </c>
      <c r="B15" s="87" t="s">
        <v>279</v>
      </c>
      <c r="C15" s="38">
        <f>34.5/13*11</f>
        <v>29.19230769230769</v>
      </c>
    </row>
    <row r="16" spans="1:5" ht="18.75" customHeight="1" thickBot="1">
      <c r="A16" s="32" t="s">
        <v>184</v>
      </c>
      <c r="B16" s="75" t="s">
        <v>280</v>
      </c>
      <c r="C16" s="38">
        <f>40/13*11</f>
        <v>33.846153846153847</v>
      </c>
    </row>
    <row r="17" spans="1:6" ht="20.25" customHeight="1" thickBot="1">
      <c r="A17" s="32" t="s">
        <v>185</v>
      </c>
      <c r="B17" s="87" t="s">
        <v>273</v>
      </c>
      <c r="C17" s="38">
        <f>30/13*11</f>
        <v>25.384615384615383</v>
      </c>
    </row>
    <row r="18" spans="1:6" ht="48" customHeight="1" thickBot="1">
      <c r="A18" s="32" t="s">
        <v>186</v>
      </c>
      <c r="B18" s="85" t="s">
        <v>274</v>
      </c>
      <c r="C18" s="84">
        <f>ROUNDUP(97/13*11,1)</f>
        <v>82.1</v>
      </c>
      <c r="D18" s="60"/>
      <c r="E18" s="60"/>
    </row>
    <row r="19" spans="1:6" ht="49.5" customHeight="1" thickBot="1">
      <c r="A19" s="32" t="s">
        <v>234</v>
      </c>
      <c r="B19" s="85" t="s">
        <v>275</v>
      </c>
      <c r="C19" s="86">
        <f>ROUNDUP(106/13*11,2)</f>
        <v>89.7</v>
      </c>
      <c r="D19" s="60"/>
      <c r="E19" s="60"/>
    </row>
    <row r="20" spans="1:6" ht="32.25" thickBot="1">
      <c r="A20" s="77" t="s">
        <v>187</v>
      </c>
      <c r="B20" s="75" t="s">
        <v>244</v>
      </c>
      <c r="C20" s="38">
        <f>0.1*4*11</f>
        <v>4.4000000000000004</v>
      </c>
    </row>
    <row r="21" spans="1:6" ht="16.5" thickBot="1">
      <c r="A21" s="32"/>
      <c r="B21" s="33" t="s">
        <v>124</v>
      </c>
      <c r="C21" s="37">
        <f>SUM(C15:C20)</f>
        <v>264.62307692307689</v>
      </c>
    </row>
    <row r="22" spans="1:6" ht="16.5" thickBot="1">
      <c r="A22" s="32"/>
      <c r="B22" s="42" t="s">
        <v>125</v>
      </c>
      <c r="C22" s="37">
        <f>C21+C13</f>
        <v>989.11923076923063</v>
      </c>
    </row>
    <row r="23" spans="1:6">
      <c r="C23" s="9"/>
    </row>
    <row r="24" spans="1:6" ht="16.5" thickBot="1">
      <c r="C24" s="9"/>
    </row>
    <row r="25" spans="1:6" ht="16.5" thickBot="1">
      <c r="A25" s="142" t="s">
        <v>126</v>
      </c>
      <c r="B25" s="143"/>
      <c r="C25" s="69">
        <v>11</v>
      </c>
    </row>
    <row r="26" spans="1:6" ht="16.5" thickBot="1">
      <c r="A26" s="142" t="s">
        <v>127</v>
      </c>
      <c r="B26" s="143"/>
      <c r="C26" s="44">
        <f>C22/C25</f>
        <v>89.919930069930061</v>
      </c>
    </row>
    <row r="28" spans="1:6">
      <c r="A28" s="13"/>
      <c r="B28" s="14"/>
      <c r="C28" s="46"/>
      <c r="D28" s="13"/>
      <c r="E28" s="13"/>
      <c r="F28" s="13"/>
    </row>
    <row r="29" spans="1:6">
      <c r="A29" s="144"/>
      <c r="B29" s="144"/>
      <c r="C29" s="70"/>
      <c r="D29" s="45"/>
      <c r="E29" s="45"/>
      <c r="F29" s="45"/>
    </row>
    <row r="30" spans="1:6" ht="18.75">
      <c r="A30" s="145"/>
      <c r="B30" s="145"/>
      <c r="C30" s="46"/>
      <c r="D30" s="46"/>
      <c r="E30" s="13"/>
      <c r="F30" s="13"/>
    </row>
  </sheetData>
  <mergeCells count="9">
    <mergeCell ref="A26:B26"/>
    <mergeCell ref="A29:B29"/>
    <mergeCell ref="A30:B30"/>
    <mergeCell ref="A1:C1"/>
    <mergeCell ref="A3:C3"/>
    <mergeCell ref="A4:C4"/>
    <mergeCell ref="A5:C5"/>
    <mergeCell ref="A6:B6"/>
    <mergeCell ref="A25:B25"/>
  </mergeCells>
  <pageMargins left="0.7" right="0.7" top="0.75" bottom="0.75" header="0.3" footer="0.3"/>
  <pageSetup paperSize="9" scale="70"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29"/>
  <sheetViews>
    <sheetView zoomScaleNormal="100" workbookViewId="0">
      <selection activeCell="A26" sqref="A26:B26"/>
    </sheetView>
  </sheetViews>
  <sheetFormatPr defaultColWidth="8.85546875" defaultRowHeight="15.75"/>
  <cols>
    <col min="1" max="1" width="15.5703125" style="1" customWidth="1"/>
    <col min="2" max="2" width="8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c r="A4" s="146" t="s">
        <v>295</v>
      </c>
      <c r="B4" s="146"/>
      <c r="C4" s="146"/>
    </row>
    <row r="5" spans="1:5">
      <c r="A5" s="146" t="s">
        <v>117</v>
      </c>
      <c r="B5" s="146"/>
      <c r="C5" s="146"/>
    </row>
    <row r="6" spans="1:5" ht="16.5" thickBot="1">
      <c r="A6" s="147" t="s">
        <v>193</v>
      </c>
      <c r="B6" s="147"/>
    </row>
    <row r="7" spans="1:5" ht="90.75" customHeight="1" thickBot="1">
      <c r="A7" s="30" t="s">
        <v>118</v>
      </c>
      <c r="B7" s="31" t="s">
        <v>119</v>
      </c>
      <c r="C7" s="31" t="s">
        <v>120</v>
      </c>
    </row>
    <row r="8" spans="1:5" ht="16.5" thickBot="1">
      <c r="A8" s="47"/>
      <c r="B8" s="48" t="s">
        <v>121</v>
      </c>
      <c r="C8" s="49"/>
    </row>
    <row r="9" spans="1:5" ht="31.5">
      <c r="A9" s="66" t="s">
        <v>143</v>
      </c>
      <c r="B9" s="67" t="s">
        <v>233</v>
      </c>
      <c r="C9" s="68">
        <f>1.15*40000</f>
        <v>46000</v>
      </c>
      <c r="D9" s="9"/>
    </row>
    <row r="10" spans="1:5" ht="16.5" thickBot="1">
      <c r="A10" s="32"/>
      <c r="B10" s="36" t="s">
        <v>122</v>
      </c>
      <c r="C10" s="37">
        <f>SUM(C9:C9)</f>
        <v>46000</v>
      </c>
    </row>
    <row r="11" spans="1:5" ht="16.5" thickBot="1">
      <c r="A11" s="32"/>
      <c r="B11" s="36" t="s">
        <v>123</v>
      </c>
      <c r="C11" s="38"/>
    </row>
    <row r="12" spans="1:5" ht="16.5" thickBot="1">
      <c r="A12" s="32"/>
      <c r="B12" s="34" t="s">
        <v>153</v>
      </c>
      <c r="C12" s="55"/>
    </row>
    <row r="13" spans="1:5" ht="16.5" thickBot="1">
      <c r="A13" s="32"/>
      <c r="B13" s="33" t="s">
        <v>124</v>
      </c>
      <c r="C13" s="37">
        <v>0</v>
      </c>
    </row>
    <row r="14" spans="1:5" ht="16.5" thickBot="1">
      <c r="A14" s="32"/>
      <c r="B14" s="42" t="s">
        <v>125</v>
      </c>
      <c r="C14" s="37">
        <f>C13+C10</f>
        <v>46000</v>
      </c>
    </row>
    <row r="15" spans="1:5">
      <c r="C15" s="9"/>
    </row>
    <row r="16" spans="1:5" ht="16.5" thickBot="1">
      <c r="C16" s="9"/>
    </row>
    <row r="17" spans="1:6" ht="16.5" thickBot="1">
      <c r="A17" s="142" t="s">
        <v>126</v>
      </c>
      <c r="B17" s="143"/>
      <c r="C17" s="69">
        <v>40000</v>
      </c>
    </row>
    <row r="18" spans="1:6" ht="16.5" thickBot="1">
      <c r="A18" s="142" t="s">
        <v>127</v>
      </c>
      <c r="B18" s="143"/>
      <c r="C18" s="44">
        <f>C14/C17</f>
        <v>1.1499999999999999</v>
      </c>
    </row>
    <row r="20" spans="1:6">
      <c r="A20" s="13"/>
      <c r="B20" s="14"/>
      <c r="C20" s="46"/>
      <c r="D20" s="13"/>
      <c r="E20" s="13"/>
      <c r="F20" s="13"/>
    </row>
    <row r="21" spans="1:6">
      <c r="A21" s="144"/>
      <c r="B21" s="144"/>
      <c r="C21" s="70"/>
      <c r="D21" s="45"/>
      <c r="E21" s="45"/>
      <c r="F21" s="45"/>
    </row>
    <row r="22" spans="1:6">
      <c r="A22" s="13" t="s">
        <v>315</v>
      </c>
      <c r="B22" s="13"/>
      <c r="C22" s="14" t="s">
        <v>316</v>
      </c>
      <c r="D22" s="46"/>
      <c r="E22" s="13"/>
      <c r="F22" s="13"/>
    </row>
    <row r="23" spans="1:6">
      <c r="A23" s="16"/>
      <c r="B23" s="17"/>
      <c r="C23" s="15"/>
    </row>
    <row r="24" spans="1:6">
      <c r="A24" s="16" t="s">
        <v>317</v>
      </c>
      <c r="B24" s="18"/>
      <c r="C24" s="19" t="s">
        <v>318</v>
      </c>
    </row>
    <row r="25" spans="1:6">
      <c r="A25" s="20"/>
      <c r="B25" s="20"/>
      <c r="C25" s="20"/>
    </row>
    <row r="26" spans="1:6">
      <c r="A26" s="127" t="s">
        <v>322</v>
      </c>
      <c r="B26" s="127"/>
      <c r="C26" s="20"/>
    </row>
    <row r="27" spans="1:6">
      <c r="A27" s="124" t="s">
        <v>321</v>
      </c>
      <c r="B27" s="22"/>
      <c r="C27" s="125"/>
    </row>
    <row r="28" spans="1:6">
      <c r="A28" s="25" t="s">
        <v>319</v>
      </c>
      <c r="B28" s="120"/>
      <c r="C28" s="26"/>
    </row>
    <row r="29" spans="1:6">
      <c r="A29" s="124" t="s">
        <v>320</v>
      </c>
      <c r="B29" s="21"/>
      <c r="C29" s="26"/>
    </row>
  </sheetData>
  <mergeCells count="9">
    <mergeCell ref="A26:B26"/>
    <mergeCell ref="A18:B18"/>
    <mergeCell ref="A21:B21"/>
    <mergeCell ref="A1:C1"/>
    <mergeCell ref="A3:C3"/>
    <mergeCell ref="A4:C4"/>
    <mergeCell ref="A5:C5"/>
    <mergeCell ref="A6:B6"/>
    <mergeCell ref="A17:B17"/>
  </mergeCells>
  <pageMargins left="0.7" right="0.7" top="0.75" bottom="0.75" header="0.3" footer="0.3"/>
  <pageSetup paperSize="9" scale="7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G42"/>
  <sheetViews>
    <sheetView zoomScaleNormal="100" workbookViewId="0">
      <selection activeCell="B11" sqref="B11"/>
    </sheetView>
  </sheetViews>
  <sheetFormatPr defaultColWidth="8.85546875" defaultRowHeight="15.75"/>
  <cols>
    <col min="1" max="1" width="14.140625" style="1" customWidth="1"/>
    <col min="2" max="2" width="103.42578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149</v>
      </c>
      <c r="B4" s="146"/>
      <c r="C4" s="146"/>
    </row>
    <row r="5" spans="1:5">
      <c r="A5" s="146" t="s">
        <v>117</v>
      </c>
      <c r="B5" s="146"/>
      <c r="C5" s="146"/>
    </row>
    <row r="6" spans="1:5" ht="16.5" thickBot="1">
      <c r="A6" s="147" t="s">
        <v>297</v>
      </c>
      <c r="B6" s="147"/>
    </row>
    <row r="7" spans="1:5" ht="79.5" thickBot="1">
      <c r="A7" s="30" t="s">
        <v>118</v>
      </c>
      <c r="B7" s="31" t="s">
        <v>119</v>
      </c>
      <c r="C7" s="31" t="s">
        <v>120</v>
      </c>
    </row>
    <row r="8" spans="1:5" ht="16.5" thickBot="1">
      <c r="A8" s="47"/>
      <c r="B8" s="99" t="s">
        <v>121</v>
      </c>
      <c r="C8" s="49"/>
    </row>
    <row r="9" spans="1:5" ht="16.5" thickBot="1">
      <c r="A9" s="148" t="s">
        <v>132</v>
      </c>
      <c r="B9" s="51" t="s">
        <v>344</v>
      </c>
      <c r="C9" s="56">
        <f>6.64*1121</f>
        <v>7443.44</v>
      </c>
      <c r="D9" s="9"/>
    </row>
    <row r="10" spans="1:5">
      <c r="A10" s="149"/>
      <c r="B10" s="51" t="s">
        <v>344</v>
      </c>
      <c r="C10" s="57">
        <f>6.64*1121</f>
        <v>7443.44</v>
      </c>
    </row>
    <row r="11" spans="1:5" ht="16.5" thickBot="1">
      <c r="A11" s="150"/>
      <c r="B11" s="52" t="s">
        <v>345</v>
      </c>
      <c r="C11" s="58">
        <f>4.55*1121</f>
        <v>5100.55</v>
      </c>
    </row>
    <row r="12" spans="1:5" ht="37.5" customHeight="1" thickBot="1">
      <c r="A12" s="32" t="s">
        <v>133</v>
      </c>
      <c r="B12" s="91" t="s">
        <v>131</v>
      </c>
      <c r="C12" s="55">
        <f>(C9+C10+C11)*0.2409</f>
        <v>4814.9718869999997</v>
      </c>
    </row>
    <row r="13" spans="1:5" ht="32.25" thickBot="1">
      <c r="A13" s="32" t="s">
        <v>134</v>
      </c>
      <c r="B13" s="91" t="s">
        <v>214</v>
      </c>
      <c r="C13" s="55">
        <f>(367899/438912)*1121</f>
        <v>939.62976405293091</v>
      </c>
    </row>
    <row r="14" spans="1:5" ht="32.25" thickBot="1">
      <c r="A14" s="32" t="s">
        <v>136</v>
      </c>
      <c r="B14" s="92" t="s">
        <v>313</v>
      </c>
      <c r="C14" s="63">
        <f>(596554/438912)*1121</f>
        <v>1523.6244030694079</v>
      </c>
    </row>
    <row r="15" spans="1:5" ht="32.25" thickBot="1">
      <c r="A15" s="32" t="s">
        <v>137</v>
      </c>
      <c r="B15" s="91" t="s">
        <v>216</v>
      </c>
      <c r="C15" s="55">
        <f>(452717/438912)*1121</f>
        <v>1156.2585598024207</v>
      </c>
    </row>
    <row r="16" spans="1:5" ht="32.25" thickBot="1">
      <c r="A16" s="32" t="s">
        <v>139</v>
      </c>
      <c r="B16" s="91" t="s">
        <v>218</v>
      </c>
      <c r="C16" s="55">
        <f>(624380/438912)*1121</f>
        <v>1594.6931959025956</v>
      </c>
    </row>
    <row r="17" spans="1:7" ht="32.25" thickBot="1">
      <c r="A17" s="32" t="s">
        <v>217</v>
      </c>
      <c r="B17" s="91" t="s">
        <v>219</v>
      </c>
      <c r="C17" s="55">
        <f>(500471/438912)*1121</f>
        <v>1278.2243160360163</v>
      </c>
    </row>
    <row r="18" spans="1:7" ht="32.25" thickBot="1">
      <c r="A18" s="32" t="s">
        <v>138</v>
      </c>
      <c r="B18" s="91" t="s">
        <v>226</v>
      </c>
      <c r="C18" s="63">
        <f>((15/100)*37*1.06)*1121</f>
        <v>6594.8429999999998</v>
      </c>
    </row>
    <row r="19" spans="1:7" ht="16.5" thickBot="1">
      <c r="A19" s="32"/>
      <c r="B19" s="93" t="s">
        <v>122</v>
      </c>
      <c r="C19" s="37">
        <f>SUM(C9:C18)</f>
        <v>37889.675125863367</v>
      </c>
    </row>
    <row r="20" spans="1:7" ht="16.5" thickBot="1">
      <c r="A20" s="32"/>
      <c r="B20" s="93" t="s">
        <v>123</v>
      </c>
      <c r="C20" s="38"/>
    </row>
    <row r="21" spans="1:7" ht="32.25" thickBot="1">
      <c r="A21" s="32" t="s">
        <v>141</v>
      </c>
      <c r="B21" s="39" t="s">
        <v>198</v>
      </c>
      <c r="C21" s="55">
        <f>(C9+C10+C11)*0.25</f>
        <v>4996.8575000000001</v>
      </c>
    </row>
    <row r="22" spans="1:7" ht="32.25" thickBot="1">
      <c r="A22" s="32" t="s">
        <v>133</v>
      </c>
      <c r="B22" s="91" t="s">
        <v>131</v>
      </c>
      <c r="C22" s="55">
        <f>C21*0.2409</f>
        <v>1203.7429717499999</v>
      </c>
    </row>
    <row r="23" spans="1:7" ht="32.25" thickBot="1">
      <c r="A23" s="32" t="s">
        <v>145</v>
      </c>
      <c r="B23" s="94" t="s">
        <v>208</v>
      </c>
      <c r="C23" s="55">
        <f>(39708/438912)*1121</f>
        <v>101.41592847769029</v>
      </c>
      <c r="E23" s="41"/>
    </row>
    <row r="24" spans="1:7" ht="32.25" thickBot="1">
      <c r="A24" s="32" t="s">
        <v>142</v>
      </c>
      <c r="B24" s="91" t="s">
        <v>210</v>
      </c>
      <c r="C24" s="55">
        <f>ROUNDUP((813902/438912)*1121,1)</f>
        <v>2078.7999999999997</v>
      </c>
    </row>
    <row r="25" spans="1:7" ht="32.25" thickBot="1">
      <c r="A25" s="32" t="s">
        <v>143</v>
      </c>
      <c r="B25" s="94" t="s">
        <v>207</v>
      </c>
      <c r="C25" s="55">
        <f>(234731/438912)*1121</f>
        <v>599.51300260644507</v>
      </c>
    </row>
    <row r="26" spans="1:7" ht="32.25" thickBot="1">
      <c r="A26" s="32" t="s">
        <v>139</v>
      </c>
      <c r="B26" s="95" t="s">
        <v>209</v>
      </c>
      <c r="C26" s="55">
        <f>ROUNDUP((561364/438912)*1121,1)</f>
        <v>1433.8</v>
      </c>
    </row>
    <row r="27" spans="1:7" ht="32.25" thickBot="1">
      <c r="A27" s="32" t="s">
        <v>135</v>
      </c>
      <c r="B27" s="91" t="s">
        <v>213</v>
      </c>
      <c r="C27" s="55">
        <f>1.43*1121</f>
        <v>1603.03</v>
      </c>
    </row>
    <row r="28" spans="1:7" ht="32.25" thickBot="1">
      <c r="A28" s="32" t="s">
        <v>184</v>
      </c>
      <c r="B28" s="91" t="s">
        <v>211</v>
      </c>
      <c r="C28" s="55">
        <f>ROUNDUP(0.65*1121,1)</f>
        <v>728.7</v>
      </c>
    </row>
    <row r="29" spans="1:7" ht="32.25" thickBot="1">
      <c r="A29" s="32" t="s">
        <v>182</v>
      </c>
      <c r="B29" s="91" t="s">
        <v>220</v>
      </c>
      <c r="C29" s="55">
        <f>ROUNDUP(0.36*1121,1)</f>
        <v>403.6</v>
      </c>
    </row>
    <row r="30" spans="1:7" ht="32.25" thickBot="1">
      <c r="A30" s="32" t="s">
        <v>144</v>
      </c>
      <c r="B30" s="91" t="s">
        <v>202</v>
      </c>
      <c r="C30" s="55">
        <f>0.11*1121</f>
        <v>123.31</v>
      </c>
    </row>
    <row r="31" spans="1:7" ht="32.25" thickBot="1">
      <c r="A31" s="32" t="s">
        <v>140</v>
      </c>
      <c r="B31" s="91" t="s">
        <v>212</v>
      </c>
      <c r="C31" s="55">
        <f>0.05*1121</f>
        <v>56.050000000000004</v>
      </c>
    </row>
    <row r="32" spans="1:7" ht="32.25" thickBot="1">
      <c r="A32" s="32" t="s">
        <v>222</v>
      </c>
      <c r="B32" s="91" t="s">
        <v>225</v>
      </c>
      <c r="C32" s="55">
        <f>2.31*1121</f>
        <v>2589.5100000000002</v>
      </c>
      <c r="G32" s="9"/>
    </row>
    <row r="33" spans="1:6" ht="16.5" thickBot="1">
      <c r="A33" s="32"/>
      <c r="B33" s="33" t="s">
        <v>124</v>
      </c>
      <c r="C33" s="37">
        <f>SUM(C21:C32)</f>
        <v>15918.329402834135</v>
      </c>
    </row>
    <row r="34" spans="1:6" ht="16.5" thickBot="1">
      <c r="A34" s="32"/>
      <c r="B34" s="42" t="s">
        <v>125</v>
      </c>
      <c r="C34" s="37">
        <f>C33+C19</f>
        <v>53808.0045286975</v>
      </c>
    </row>
    <row r="35" spans="1:6">
      <c r="C35" s="9"/>
    </row>
    <row r="36" spans="1:6" ht="16.5" thickBot="1">
      <c r="C36" s="9"/>
    </row>
    <row r="37" spans="1:6" ht="16.5" thickBot="1">
      <c r="A37" s="142" t="s">
        <v>126</v>
      </c>
      <c r="B37" s="143"/>
      <c r="C37" s="43">
        <v>1121</v>
      </c>
    </row>
    <row r="38" spans="1:6" ht="16.5" thickBot="1">
      <c r="A38" s="142" t="s">
        <v>127</v>
      </c>
      <c r="B38" s="143"/>
      <c r="C38" s="44">
        <f>C34/C37</f>
        <v>48.000004039872884</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G42"/>
  <sheetViews>
    <sheetView zoomScaleNormal="100" workbookViewId="0">
      <selection activeCell="B11" sqref="B11"/>
    </sheetView>
  </sheetViews>
  <sheetFormatPr defaultColWidth="8.85546875" defaultRowHeight="15.75"/>
  <cols>
    <col min="1" max="1" width="11.7109375" style="1" customWidth="1"/>
    <col min="2" max="2" width="98.570312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150</v>
      </c>
      <c r="B4" s="146"/>
      <c r="C4" s="146"/>
    </row>
    <row r="5" spans="1:5">
      <c r="A5" s="146" t="s">
        <v>117</v>
      </c>
      <c r="B5" s="146"/>
      <c r="C5" s="146"/>
    </row>
    <row r="6" spans="1:5" ht="16.5" thickBot="1">
      <c r="A6" s="147" t="s">
        <v>308</v>
      </c>
      <c r="B6" s="147"/>
    </row>
    <row r="7" spans="1:5" ht="79.5" thickBot="1">
      <c r="A7" s="30" t="s">
        <v>118</v>
      </c>
      <c r="B7" s="31" t="s">
        <v>119</v>
      </c>
      <c r="C7" s="31" t="s">
        <v>120</v>
      </c>
    </row>
    <row r="8" spans="1:5" ht="16.5" thickBot="1">
      <c r="A8" s="47"/>
      <c r="B8" s="48" t="s">
        <v>121</v>
      </c>
      <c r="C8" s="49"/>
    </row>
    <row r="9" spans="1:5">
      <c r="A9" s="148" t="s">
        <v>132</v>
      </c>
      <c r="B9" s="89" t="s">
        <v>346</v>
      </c>
      <c r="C9" s="56">
        <f>11.08*7</f>
        <v>77.56</v>
      </c>
      <c r="D9" s="9"/>
    </row>
    <row r="10" spans="1:5">
      <c r="A10" s="149"/>
      <c r="B10" s="89" t="s">
        <v>346</v>
      </c>
      <c r="C10" s="57">
        <f>11.08*7</f>
        <v>77.56</v>
      </c>
    </row>
    <row r="11" spans="1:5" ht="16.5" thickBot="1">
      <c r="A11" s="150"/>
      <c r="B11" s="90" t="s">
        <v>347</v>
      </c>
      <c r="C11" s="58">
        <f>7.58*7</f>
        <v>53.06</v>
      </c>
    </row>
    <row r="12" spans="1:5" ht="32.25" thickBot="1">
      <c r="A12" s="32" t="s">
        <v>133</v>
      </c>
      <c r="B12" s="91" t="s">
        <v>131</v>
      </c>
      <c r="C12" s="55">
        <f>(C9+C10+C11)*0.2409</f>
        <v>50.150562000000001</v>
      </c>
    </row>
    <row r="13" spans="1:5" ht="32.25" thickBot="1">
      <c r="A13" s="32" t="s">
        <v>134</v>
      </c>
      <c r="B13" s="35" t="s">
        <v>214</v>
      </c>
      <c r="C13" s="55">
        <f>0.84*7</f>
        <v>5.88</v>
      </c>
    </row>
    <row r="14" spans="1:5" ht="32.25" thickBot="1">
      <c r="A14" s="32" t="s">
        <v>136</v>
      </c>
      <c r="B14" s="92" t="s">
        <v>221</v>
      </c>
      <c r="C14" s="63">
        <f>1.36*7</f>
        <v>9.5200000000000014</v>
      </c>
    </row>
    <row r="15" spans="1:5" ht="32.25" thickBot="1">
      <c r="A15" s="32" t="s">
        <v>137</v>
      </c>
      <c r="B15" s="91" t="s">
        <v>216</v>
      </c>
      <c r="C15" s="55">
        <f>1.03*7</f>
        <v>7.21</v>
      </c>
    </row>
    <row r="16" spans="1:5" ht="32.25" thickBot="1">
      <c r="A16" s="32" t="s">
        <v>139</v>
      </c>
      <c r="B16" s="35" t="s">
        <v>218</v>
      </c>
      <c r="C16" s="55">
        <f>1.42*7</f>
        <v>9.94</v>
      </c>
    </row>
    <row r="17" spans="1:7" ht="32.25" thickBot="1">
      <c r="A17" s="32" t="s">
        <v>217</v>
      </c>
      <c r="B17" s="35" t="s">
        <v>219</v>
      </c>
      <c r="C17" s="55">
        <f>1.14*7</f>
        <v>7.9799999999999995</v>
      </c>
    </row>
    <row r="18" spans="1:7" ht="32.25" thickBot="1">
      <c r="A18" s="32" t="s">
        <v>138</v>
      </c>
      <c r="B18" s="62" t="s">
        <v>229</v>
      </c>
      <c r="C18" s="63">
        <f>11.45*7</f>
        <v>80.149999999999991</v>
      </c>
    </row>
    <row r="19" spans="1:7" ht="16.5" thickBot="1">
      <c r="A19" s="32"/>
      <c r="B19" s="36" t="s">
        <v>122</v>
      </c>
      <c r="C19" s="37">
        <f>SUM(C9:C18)</f>
        <v>379.01056199999994</v>
      </c>
    </row>
    <row r="20" spans="1:7" ht="16.5" thickBot="1">
      <c r="A20" s="32"/>
      <c r="B20" s="36" t="s">
        <v>123</v>
      </c>
      <c r="C20" s="38"/>
    </row>
    <row r="21" spans="1:7" ht="32.25" thickBot="1">
      <c r="A21" s="32" t="s">
        <v>141</v>
      </c>
      <c r="B21" s="39" t="s">
        <v>198</v>
      </c>
      <c r="C21" s="55">
        <f>(C9+C10+C11)*0.25</f>
        <v>52.045000000000002</v>
      </c>
    </row>
    <row r="22" spans="1:7" ht="32.25" thickBot="1">
      <c r="A22" s="32" t="s">
        <v>133</v>
      </c>
      <c r="B22" s="91" t="s">
        <v>131</v>
      </c>
      <c r="C22" s="55">
        <f>C21*0.2409</f>
        <v>12.5376405</v>
      </c>
    </row>
    <row r="23" spans="1:7" ht="32.25" thickBot="1">
      <c r="A23" s="32" t="s">
        <v>145</v>
      </c>
      <c r="B23" s="34" t="s">
        <v>208</v>
      </c>
      <c r="C23" s="55">
        <f>0.09*7</f>
        <v>0.63</v>
      </c>
      <c r="E23" s="41"/>
    </row>
    <row r="24" spans="1:7" ht="32.25" thickBot="1">
      <c r="A24" s="32" t="s">
        <v>142</v>
      </c>
      <c r="B24" s="35" t="s">
        <v>210</v>
      </c>
      <c r="C24" s="55">
        <f>1.85*7</f>
        <v>12.950000000000001</v>
      </c>
    </row>
    <row r="25" spans="1:7" ht="32.25" thickBot="1">
      <c r="A25" s="32" t="s">
        <v>143</v>
      </c>
      <c r="B25" s="94" t="s">
        <v>203</v>
      </c>
      <c r="C25" s="55">
        <f>0.53*7</f>
        <v>3.71</v>
      </c>
    </row>
    <row r="26" spans="1:7" ht="32.25" thickBot="1">
      <c r="A26" s="32" t="s">
        <v>139</v>
      </c>
      <c r="B26" s="40" t="s">
        <v>209</v>
      </c>
      <c r="C26" s="55">
        <f>1.28*7</f>
        <v>8.9600000000000009</v>
      </c>
    </row>
    <row r="27" spans="1:7" ht="32.25" thickBot="1">
      <c r="A27" s="32" t="s">
        <v>135</v>
      </c>
      <c r="B27" s="91" t="s">
        <v>213</v>
      </c>
      <c r="C27" s="55">
        <f>1.43*7</f>
        <v>10.01</v>
      </c>
    </row>
    <row r="28" spans="1:7" ht="32.25" thickBot="1">
      <c r="A28" s="32" t="s">
        <v>184</v>
      </c>
      <c r="B28" s="91" t="s">
        <v>211</v>
      </c>
      <c r="C28" s="55">
        <f>0.65*7</f>
        <v>4.55</v>
      </c>
    </row>
    <row r="29" spans="1:7" ht="32.25" thickBot="1">
      <c r="A29" s="32" t="s">
        <v>182</v>
      </c>
      <c r="B29" s="35" t="s">
        <v>220</v>
      </c>
      <c r="C29" s="55">
        <f>0.36*7</f>
        <v>2.52</v>
      </c>
    </row>
    <row r="30" spans="1:7" ht="32.25" thickBot="1">
      <c r="A30" s="32" t="s">
        <v>144</v>
      </c>
      <c r="B30" s="35" t="s">
        <v>202</v>
      </c>
      <c r="C30" s="55">
        <f>0.11*7</f>
        <v>0.77</v>
      </c>
    </row>
    <row r="31" spans="1:7" ht="32.25" thickBot="1">
      <c r="A31" s="32" t="s">
        <v>140</v>
      </c>
      <c r="B31" s="35" t="s">
        <v>212</v>
      </c>
      <c r="C31" s="55">
        <f>0.05*7</f>
        <v>0.35000000000000003</v>
      </c>
    </row>
    <row r="32" spans="1:7" ht="32.25" thickBot="1">
      <c r="A32" s="32" t="s">
        <v>222</v>
      </c>
      <c r="B32" s="35" t="s">
        <v>225</v>
      </c>
      <c r="C32" s="55">
        <f>2.31*7</f>
        <v>16.170000000000002</v>
      </c>
      <c r="G32" s="9"/>
    </row>
    <row r="33" spans="1:6" ht="16.5" thickBot="1">
      <c r="A33" s="32"/>
      <c r="B33" s="33" t="s">
        <v>124</v>
      </c>
      <c r="C33" s="37">
        <f>SUM(C21:C32)</f>
        <v>125.20264049999999</v>
      </c>
    </row>
    <row r="34" spans="1:6" ht="16.5" thickBot="1">
      <c r="A34" s="32"/>
      <c r="B34" s="42" t="s">
        <v>125</v>
      </c>
      <c r="C34" s="37">
        <f>C33+C19</f>
        <v>504.21320249999991</v>
      </c>
    </row>
    <row r="35" spans="1:6">
      <c r="C35" s="9"/>
    </row>
    <row r="36" spans="1:6" ht="16.5" thickBot="1">
      <c r="C36" s="9"/>
    </row>
    <row r="37" spans="1:6" ht="16.5" thickBot="1">
      <c r="A37" s="142" t="s">
        <v>126</v>
      </c>
      <c r="B37" s="143"/>
      <c r="C37" s="43">
        <v>7</v>
      </c>
    </row>
    <row r="38" spans="1:6" ht="16.5" thickBot="1">
      <c r="A38" s="142" t="s">
        <v>127</v>
      </c>
      <c r="B38" s="143"/>
      <c r="C38" s="44">
        <f>C34/C37</f>
        <v>72.030457499999983</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8" orientation="portrait" verticalDpi="0"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G42"/>
  <sheetViews>
    <sheetView zoomScaleNormal="100" workbookViewId="0">
      <selection activeCell="B11" sqref="B11"/>
    </sheetView>
  </sheetViews>
  <sheetFormatPr defaultColWidth="8.85546875" defaultRowHeight="15.75"/>
  <cols>
    <col min="1" max="1" width="14.140625" style="1" customWidth="1"/>
    <col min="2" max="2" width="102"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151</v>
      </c>
      <c r="B4" s="146"/>
      <c r="C4" s="146"/>
    </row>
    <row r="5" spans="1:5">
      <c r="A5" s="146" t="s">
        <v>117</v>
      </c>
      <c r="B5" s="146"/>
      <c r="C5" s="146"/>
    </row>
    <row r="6" spans="1:5" ht="16.5" thickBot="1">
      <c r="A6" s="147" t="s">
        <v>298</v>
      </c>
      <c r="B6" s="147"/>
    </row>
    <row r="7" spans="1:5" ht="79.5" thickBot="1">
      <c r="A7" s="30" t="s">
        <v>118</v>
      </c>
      <c r="B7" s="31" t="s">
        <v>119</v>
      </c>
      <c r="C7" s="31" t="s">
        <v>120</v>
      </c>
    </row>
    <row r="8" spans="1:5" ht="16.5" thickBot="1">
      <c r="A8" s="47"/>
      <c r="B8" s="48" t="s">
        <v>121</v>
      </c>
      <c r="C8" s="49"/>
    </row>
    <row r="9" spans="1:5" ht="16.5" thickBot="1">
      <c r="A9" s="148" t="s">
        <v>132</v>
      </c>
      <c r="B9" s="51" t="s">
        <v>348</v>
      </c>
      <c r="C9" s="56">
        <f>9.48*109</f>
        <v>1033.32</v>
      </c>
      <c r="D9" s="9"/>
    </row>
    <row r="10" spans="1:5">
      <c r="A10" s="149"/>
      <c r="B10" s="51" t="s">
        <v>349</v>
      </c>
      <c r="C10" s="57">
        <f>6.64*109</f>
        <v>723.76</v>
      </c>
    </row>
    <row r="11" spans="1:5" ht="16.5" thickBot="1">
      <c r="A11" s="150"/>
      <c r="B11" s="52" t="s">
        <v>350</v>
      </c>
      <c r="C11" s="58">
        <f>4.55*109</f>
        <v>495.95</v>
      </c>
    </row>
    <row r="12" spans="1:5" ht="32.25" thickBot="1">
      <c r="A12" s="32" t="s">
        <v>133</v>
      </c>
      <c r="B12" s="91" t="s">
        <v>131</v>
      </c>
      <c r="C12" s="55">
        <f>(C9+C10+C11)*0.2409</f>
        <v>542.75492699999995</v>
      </c>
    </row>
    <row r="13" spans="1:5" ht="32.25" thickBot="1">
      <c r="A13" s="32" t="s">
        <v>134</v>
      </c>
      <c r="B13" s="35" t="s">
        <v>214</v>
      </c>
      <c r="C13" s="55">
        <f>0.84*109</f>
        <v>91.56</v>
      </c>
    </row>
    <row r="14" spans="1:5" ht="32.25" thickBot="1">
      <c r="A14" s="32" t="s">
        <v>136</v>
      </c>
      <c r="B14" s="62" t="s">
        <v>228</v>
      </c>
      <c r="C14" s="63">
        <f>(1.36+6.91)*109</f>
        <v>901.43</v>
      </c>
    </row>
    <row r="15" spans="1:5" ht="32.25" thickBot="1">
      <c r="A15" s="32" t="s">
        <v>137</v>
      </c>
      <c r="B15" s="91" t="s">
        <v>216</v>
      </c>
      <c r="C15" s="55">
        <f>1.03*109</f>
        <v>112.27</v>
      </c>
    </row>
    <row r="16" spans="1:5" ht="32.25" thickBot="1">
      <c r="A16" s="32" t="s">
        <v>139</v>
      </c>
      <c r="B16" s="35" t="s">
        <v>218</v>
      </c>
      <c r="C16" s="55">
        <f>1.42*109</f>
        <v>154.78</v>
      </c>
    </row>
    <row r="17" spans="1:7" ht="32.25" thickBot="1">
      <c r="A17" s="32" t="s">
        <v>217</v>
      </c>
      <c r="B17" s="35" t="s">
        <v>219</v>
      </c>
      <c r="C17" s="55">
        <f>1.14*109</f>
        <v>124.25999999999999</v>
      </c>
    </row>
    <row r="18" spans="1:7" ht="32.25" thickBot="1">
      <c r="A18" s="32" t="s">
        <v>138</v>
      </c>
      <c r="B18" s="35" t="s">
        <v>226</v>
      </c>
      <c r="C18" s="63">
        <f>5.88*109</f>
        <v>640.91999999999996</v>
      </c>
    </row>
    <row r="19" spans="1:7" ht="16.5" thickBot="1">
      <c r="A19" s="32"/>
      <c r="B19" s="36" t="s">
        <v>122</v>
      </c>
      <c r="C19" s="37">
        <f>SUM(C9:C18)</f>
        <v>4821.004927</v>
      </c>
    </row>
    <row r="20" spans="1:7" ht="16.5" thickBot="1">
      <c r="A20" s="32"/>
      <c r="B20" s="36" t="s">
        <v>123</v>
      </c>
      <c r="C20" s="38"/>
    </row>
    <row r="21" spans="1:7" ht="32.25" thickBot="1">
      <c r="A21" s="32" t="s">
        <v>141</v>
      </c>
      <c r="B21" s="39" t="s">
        <v>198</v>
      </c>
      <c r="C21" s="55">
        <f>(C9+C10+C11)*0.25</f>
        <v>563.25749999999994</v>
      </c>
    </row>
    <row r="22" spans="1:7" ht="32.25" thickBot="1">
      <c r="A22" s="32" t="s">
        <v>133</v>
      </c>
      <c r="B22" s="91" t="s">
        <v>131</v>
      </c>
      <c r="C22" s="55">
        <f>C21*0.2409</f>
        <v>135.68873174999999</v>
      </c>
    </row>
    <row r="23" spans="1:7" ht="32.25" thickBot="1">
      <c r="A23" s="32" t="s">
        <v>145</v>
      </c>
      <c r="B23" s="34" t="s">
        <v>208</v>
      </c>
      <c r="C23" s="55">
        <f>(39708/438912)*109</f>
        <v>9.8611384514435692</v>
      </c>
      <c r="E23" s="41"/>
    </row>
    <row r="24" spans="1:7" ht="32.25" thickBot="1">
      <c r="A24" s="32" t="s">
        <v>142</v>
      </c>
      <c r="B24" s="35" t="s">
        <v>210</v>
      </c>
      <c r="C24" s="55">
        <f>1.85*109</f>
        <v>201.65</v>
      </c>
    </row>
    <row r="25" spans="1:7" ht="32.25" thickBot="1">
      <c r="A25" s="32" t="s">
        <v>143</v>
      </c>
      <c r="B25" s="94" t="s">
        <v>207</v>
      </c>
      <c r="C25" s="55">
        <f>0.53*109</f>
        <v>57.77</v>
      </c>
    </row>
    <row r="26" spans="1:7" ht="32.25" thickBot="1">
      <c r="A26" s="32" t="s">
        <v>139</v>
      </c>
      <c r="B26" s="40" t="s">
        <v>209</v>
      </c>
      <c r="C26" s="55">
        <f>(561364/438912)*109</f>
        <v>139.40989537766112</v>
      </c>
    </row>
    <row r="27" spans="1:7" ht="32.25" thickBot="1">
      <c r="A27" s="32" t="s">
        <v>135</v>
      </c>
      <c r="B27" s="91" t="s">
        <v>213</v>
      </c>
      <c r="C27" s="55">
        <f>(627676/438912)*109</f>
        <v>155.87790718868476</v>
      </c>
    </row>
    <row r="28" spans="1:7" ht="32.25" thickBot="1">
      <c r="A28" s="32" t="s">
        <v>184</v>
      </c>
      <c r="B28" s="91" t="s">
        <v>211</v>
      </c>
      <c r="C28" s="55">
        <f>(286606/438912)*109</f>
        <v>71.176121864975215</v>
      </c>
    </row>
    <row r="29" spans="1:7" ht="32.25" thickBot="1">
      <c r="A29" s="32" t="s">
        <v>182</v>
      </c>
      <c r="B29" s="35" t="s">
        <v>220</v>
      </c>
      <c r="C29" s="55">
        <f>0.36*109</f>
        <v>39.24</v>
      </c>
    </row>
    <row r="30" spans="1:7" ht="32.25" thickBot="1">
      <c r="A30" s="32" t="s">
        <v>144</v>
      </c>
      <c r="B30" s="35" t="s">
        <v>202</v>
      </c>
      <c r="C30" s="55">
        <f>(46423/438912)*109</f>
        <v>11.528750637941091</v>
      </c>
    </row>
    <row r="31" spans="1:7" ht="32.25" thickBot="1">
      <c r="A31" s="32" t="s">
        <v>140</v>
      </c>
      <c r="B31" s="35" t="s">
        <v>212</v>
      </c>
      <c r="C31" s="55">
        <f>0.05*109</f>
        <v>5.45</v>
      </c>
    </row>
    <row r="32" spans="1:7" ht="32.25" thickBot="1">
      <c r="A32" s="32" t="s">
        <v>222</v>
      </c>
      <c r="B32" s="35" t="s">
        <v>223</v>
      </c>
      <c r="C32" s="55">
        <f>3.55*109</f>
        <v>386.95</v>
      </c>
      <c r="G32" s="9"/>
    </row>
    <row r="33" spans="1:6" ht="16.5" thickBot="1">
      <c r="A33" s="32"/>
      <c r="B33" s="33" t="s">
        <v>124</v>
      </c>
      <c r="C33" s="37">
        <f>SUM(C21:C32)</f>
        <v>1777.8600452707058</v>
      </c>
    </row>
    <row r="34" spans="1:6" ht="16.5" thickBot="1">
      <c r="A34" s="32"/>
      <c r="B34" s="42" t="s">
        <v>125</v>
      </c>
      <c r="C34" s="37">
        <f>C33+C19</f>
        <v>6598.8649722707059</v>
      </c>
    </row>
    <row r="35" spans="1:6">
      <c r="C35" s="9"/>
    </row>
    <row r="36" spans="1:6" ht="16.5" thickBot="1">
      <c r="C36" s="9"/>
    </row>
    <row r="37" spans="1:6" ht="16.5" thickBot="1">
      <c r="A37" s="142" t="s">
        <v>126</v>
      </c>
      <c r="B37" s="143"/>
      <c r="C37" s="43">
        <v>109</v>
      </c>
    </row>
    <row r="38" spans="1:6" ht="16.5" thickBot="1">
      <c r="A38" s="142" t="s">
        <v>127</v>
      </c>
      <c r="B38" s="143"/>
      <c r="C38" s="44">
        <f>C34/C37</f>
        <v>60.540045617162441</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G42"/>
  <sheetViews>
    <sheetView zoomScaleNormal="100" workbookViewId="0">
      <selection activeCell="B11" sqref="B11"/>
    </sheetView>
  </sheetViews>
  <sheetFormatPr defaultColWidth="8.85546875" defaultRowHeight="15.75"/>
  <cols>
    <col min="1" max="1" width="14.85546875" style="1" customWidth="1"/>
    <col min="2" max="2" width="97"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7.5" customHeight="1">
      <c r="A4" s="151" t="s">
        <v>152</v>
      </c>
      <c r="B4" s="151"/>
      <c r="C4" s="151"/>
    </row>
    <row r="5" spans="1:5">
      <c r="A5" s="146" t="s">
        <v>117</v>
      </c>
      <c r="B5" s="146"/>
      <c r="C5" s="146"/>
    </row>
    <row r="6" spans="1:5" ht="16.5" thickBot="1">
      <c r="A6" s="147" t="s">
        <v>308</v>
      </c>
      <c r="B6" s="147"/>
    </row>
    <row r="7" spans="1:5" ht="79.5" thickBot="1">
      <c r="A7" s="30" t="s">
        <v>118</v>
      </c>
      <c r="B7" s="31" t="s">
        <v>119</v>
      </c>
      <c r="C7" s="31" t="s">
        <v>120</v>
      </c>
    </row>
    <row r="8" spans="1:5" ht="16.5" thickBot="1">
      <c r="A8" s="47"/>
      <c r="B8" s="48" t="s">
        <v>121</v>
      </c>
      <c r="C8" s="49"/>
    </row>
    <row r="9" spans="1:5">
      <c r="A9" s="148" t="s">
        <v>132</v>
      </c>
      <c r="B9" s="51" t="s">
        <v>351</v>
      </c>
      <c r="C9" s="56">
        <f>17.21*7</f>
        <v>120.47</v>
      </c>
      <c r="D9" s="9"/>
    </row>
    <row r="10" spans="1:5">
      <c r="A10" s="149"/>
      <c r="B10" s="89" t="s">
        <v>346</v>
      </c>
      <c r="C10" s="57">
        <f>11.08*7</f>
        <v>77.56</v>
      </c>
    </row>
    <row r="11" spans="1:5" ht="16.5" thickBot="1">
      <c r="A11" s="150"/>
      <c r="B11" s="90" t="s">
        <v>347</v>
      </c>
      <c r="C11" s="58">
        <f>7.58*7</f>
        <v>53.06</v>
      </c>
    </row>
    <row r="12" spans="1:5" ht="32.25" thickBot="1">
      <c r="A12" s="32" t="s">
        <v>133</v>
      </c>
      <c r="B12" s="91" t="s">
        <v>131</v>
      </c>
      <c r="C12" s="55">
        <f>(C9+C10+C11)*0.2409</f>
        <v>60.487580999999999</v>
      </c>
    </row>
    <row r="13" spans="1:5" ht="32.25" thickBot="1">
      <c r="A13" s="32" t="s">
        <v>134</v>
      </c>
      <c r="B13" s="35" t="s">
        <v>214</v>
      </c>
      <c r="C13" s="55">
        <f>0.84*7</f>
        <v>5.88</v>
      </c>
    </row>
    <row r="14" spans="1:5" ht="32.25" thickBot="1">
      <c r="A14" s="32" t="s">
        <v>136</v>
      </c>
      <c r="B14" s="62" t="s">
        <v>228</v>
      </c>
      <c r="C14" s="63">
        <f>(1.36+6.91)*7</f>
        <v>57.89</v>
      </c>
    </row>
    <row r="15" spans="1:5" ht="32.25" thickBot="1">
      <c r="A15" s="32" t="s">
        <v>137</v>
      </c>
      <c r="B15" s="91" t="s">
        <v>216</v>
      </c>
      <c r="C15" s="55">
        <f>1.03*7</f>
        <v>7.21</v>
      </c>
    </row>
    <row r="16" spans="1:5" ht="32.25" thickBot="1">
      <c r="A16" s="32" t="s">
        <v>139</v>
      </c>
      <c r="B16" s="35" t="s">
        <v>218</v>
      </c>
      <c r="C16" s="55">
        <f>1.42*7</f>
        <v>9.94</v>
      </c>
    </row>
    <row r="17" spans="1:7" ht="32.25" thickBot="1">
      <c r="A17" s="32" t="s">
        <v>217</v>
      </c>
      <c r="B17" s="35" t="s">
        <v>219</v>
      </c>
      <c r="C17" s="55">
        <f>1.14*7</f>
        <v>7.9799999999999995</v>
      </c>
    </row>
    <row r="18" spans="1:7" ht="32.25" thickBot="1">
      <c r="A18" s="32" t="s">
        <v>138</v>
      </c>
      <c r="B18" s="62" t="s">
        <v>229</v>
      </c>
      <c r="C18" s="63">
        <f>11.45*7</f>
        <v>80.149999999999991</v>
      </c>
    </row>
    <row r="19" spans="1:7" ht="16.5" thickBot="1">
      <c r="A19" s="32"/>
      <c r="B19" s="36" t="s">
        <v>122</v>
      </c>
      <c r="C19" s="37">
        <f>SUM(C9:C18)</f>
        <v>480.62758099999996</v>
      </c>
    </row>
    <row r="20" spans="1:7" ht="16.5" thickBot="1">
      <c r="A20" s="32"/>
      <c r="B20" s="36" t="s">
        <v>123</v>
      </c>
      <c r="C20" s="38"/>
    </row>
    <row r="21" spans="1:7" ht="32.25" thickBot="1">
      <c r="A21" s="32" t="s">
        <v>141</v>
      </c>
      <c r="B21" s="39" t="s">
        <v>198</v>
      </c>
      <c r="C21" s="55">
        <f>(C9+C10+C11)*0.25</f>
        <v>62.772500000000001</v>
      </c>
    </row>
    <row r="22" spans="1:7" ht="32.25" thickBot="1">
      <c r="A22" s="32" t="s">
        <v>133</v>
      </c>
      <c r="B22" s="35" t="s">
        <v>131</v>
      </c>
      <c r="C22" s="55">
        <f>C21*0.2409</f>
        <v>15.12189525</v>
      </c>
    </row>
    <row r="23" spans="1:7" ht="32.25" thickBot="1">
      <c r="A23" s="32" t="s">
        <v>145</v>
      </c>
      <c r="B23" s="34" t="s">
        <v>208</v>
      </c>
      <c r="C23" s="55">
        <f>(39708/438912)*7</f>
        <v>0.63328412073490814</v>
      </c>
      <c r="E23" s="41"/>
    </row>
    <row r="24" spans="1:7" ht="32.25" thickBot="1">
      <c r="A24" s="32" t="s">
        <v>142</v>
      </c>
      <c r="B24" s="35" t="s">
        <v>210</v>
      </c>
      <c r="C24" s="55">
        <f>1.85*7</f>
        <v>12.950000000000001</v>
      </c>
    </row>
    <row r="25" spans="1:7" ht="32.25" thickBot="1">
      <c r="A25" s="32" t="s">
        <v>143</v>
      </c>
      <c r="B25" s="94" t="s">
        <v>203</v>
      </c>
      <c r="C25" s="55">
        <f>0.53*7</f>
        <v>3.71</v>
      </c>
    </row>
    <row r="26" spans="1:7" ht="32.25" thickBot="1">
      <c r="A26" s="32" t="s">
        <v>139</v>
      </c>
      <c r="B26" s="40" t="s">
        <v>209</v>
      </c>
      <c r="C26" s="55">
        <f>1.28*7</f>
        <v>8.9600000000000009</v>
      </c>
    </row>
    <row r="27" spans="1:7" ht="32.25" thickBot="1">
      <c r="A27" s="32" t="s">
        <v>135</v>
      </c>
      <c r="B27" s="91" t="s">
        <v>213</v>
      </c>
      <c r="C27" s="55">
        <f>1.43*7</f>
        <v>10.01</v>
      </c>
    </row>
    <row r="28" spans="1:7" ht="32.25" thickBot="1">
      <c r="A28" s="32" t="s">
        <v>184</v>
      </c>
      <c r="B28" s="91" t="s">
        <v>211</v>
      </c>
      <c r="C28" s="55">
        <f>0.65*7</f>
        <v>4.55</v>
      </c>
    </row>
    <row r="29" spans="1:7" ht="32.25" thickBot="1">
      <c r="A29" s="32" t="s">
        <v>182</v>
      </c>
      <c r="B29" s="35" t="s">
        <v>220</v>
      </c>
      <c r="C29" s="55">
        <f>0.36*7</f>
        <v>2.52</v>
      </c>
    </row>
    <row r="30" spans="1:7" ht="32.25" thickBot="1">
      <c r="A30" s="32" t="s">
        <v>144</v>
      </c>
      <c r="B30" s="35" t="s">
        <v>202</v>
      </c>
      <c r="C30" s="55">
        <f>0.11*7</f>
        <v>0.77</v>
      </c>
    </row>
    <row r="31" spans="1:7" ht="32.25" thickBot="1">
      <c r="A31" s="32" t="s">
        <v>140</v>
      </c>
      <c r="B31" s="35" t="s">
        <v>212</v>
      </c>
      <c r="C31" s="55">
        <f>0.05*7</f>
        <v>0.35000000000000003</v>
      </c>
    </row>
    <row r="32" spans="1:7" ht="32.25" thickBot="1">
      <c r="A32" s="32" t="s">
        <v>222</v>
      </c>
      <c r="B32" s="35" t="s">
        <v>223</v>
      </c>
      <c r="C32" s="55">
        <f>3.55*7</f>
        <v>24.849999999999998</v>
      </c>
      <c r="G32" s="9"/>
    </row>
    <row r="33" spans="1:6" ht="16.5" thickBot="1">
      <c r="A33" s="32"/>
      <c r="B33" s="33" t="s">
        <v>124</v>
      </c>
      <c r="C33" s="37">
        <f>SUM(C21:C32)</f>
        <v>147.1976793707349</v>
      </c>
    </row>
    <row r="34" spans="1:6" ht="16.5" thickBot="1">
      <c r="A34" s="32"/>
      <c r="B34" s="42" t="s">
        <v>125</v>
      </c>
      <c r="C34" s="37">
        <f>C33+C19</f>
        <v>627.8252603707349</v>
      </c>
    </row>
    <row r="35" spans="1:6">
      <c r="C35" s="9"/>
    </row>
    <row r="36" spans="1:6" ht="16.5" thickBot="1">
      <c r="C36" s="9"/>
    </row>
    <row r="37" spans="1:6" ht="16.5" thickBot="1">
      <c r="A37" s="142" t="s">
        <v>126</v>
      </c>
      <c r="B37" s="143"/>
      <c r="C37" s="43">
        <v>7</v>
      </c>
    </row>
    <row r="38" spans="1:6" ht="16.5" thickBot="1">
      <c r="A38" s="142" t="s">
        <v>127</v>
      </c>
      <c r="B38" s="143"/>
      <c r="C38" s="44">
        <f>C34/C37</f>
        <v>89.689322910104991</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G42"/>
  <sheetViews>
    <sheetView topLeftCell="A4" zoomScaleNormal="100" workbookViewId="0">
      <selection activeCell="A12" sqref="A12:XFD12"/>
    </sheetView>
  </sheetViews>
  <sheetFormatPr defaultColWidth="8.85546875" defaultRowHeight="15.75"/>
  <cols>
    <col min="1" max="1" width="14.5703125" style="1" customWidth="1"/>
    <col min="2" max="2" width="101.7109375" style="1" customWidth="1"/>
    <col min="3" max="3" width="19.85546875" style="1" customWidth="1"/>
    <col min="4" max="4" width="14.85546875" style="1" customWidth="1"/>
    <col min="5" max="16384" width="8.85546875" style="1"/>
  </cols>
  <sheetData>
    <row r="1" spans="1:5">
      <c r="A1" s="140" t="s">
        <v>116</v>
      </c>
      <c r="B1" s="140"/>
      <c r="C1" s="140"/>
      <c r="D1" s="29"/>
      <c r="E1" s="29"/>
    </row>
    <row r="3" spans="1:5">
      <c r="A3" s="146" t="s">
        <v>128</v>
      </c>
      <c r="B3" s="146"/>
      <c r="C3" s="146"/>
    </row>
    <row r="4" spans="1:5" ht="33.75" customHeight="1">
      <c r="A4" s="146" t="s">
        <v>154</v>
      </c>
      <c r="B4" s="146"/>
      <c r="C4" s="146"/>
    </row>
    <row r="5" spans="1:5">
      <c r="A5" s="146" t="s">
        <v>117</v>
      </c>
      <c r="B5" s="146"/>
      <c r="C5" s="146"/>
    </row>
    <row r="6" spans="1:5" ht="16.5" thickBot="1">
      <c r="A6" s="147" t="s">
        <v>155</v>
      </c>
      <c r="B6" s="147"/>
    </row>
    <row r="7" spans="1:5" ht="85.5" customHeight="1" thickBot="1">
      <c r="A7" s="30" t="s">
        <v>118</v>
      </c>
      <c r="B7" s="31" t="s">
        <v>119</v>
      </c>
      <c r="C7" s="31" t="s">
        <v>120</v>
      </c>
    </row>
    <row r="8" spans="1:5" ht="16.5" thickBot="1">
      <c r="A8" s="47"/>
      <c r="B8" s="48" t="s">
        <v>121</v>
      </c>
      <c r="C8" s="49"/>
    </row>
    <row r="9" spans="1:5" ht="16.5" thickBot="1">
      <c r="A9" s="148" t="s">
        <v>132</v>
      </c>
      <c r="B9" s="51" t="s">
        <v>352</v>
      </c>
      <c r="C9" s="56">
        <f>10.32*4</f>
        <v>41.28</v>
      </c>
      <c r="D9" s="9"/>
    </row>
    <row r="10" spans="1:5">
      <c r="A10" s="149"/>
      <c r="B10" s="51" t="s">
        <v>353</v>
      </c>
      <c r="C10" s="57">
        <f>6.64*4</f>
        <v>26.56</v>
      </c>
    </row>
    <row r="11" spans="1:5" ht="16.5" thickBot="1">
      <c r="A11" s="150"/>
      <c r="B11" s="52" t="s">
        <v>354</v>
      </c>
      <c r="C11" s="58">
        <f>4.55*4</f>
        <v>18.2</v>
      </c>
    </row>
    <row r="12" spans="1:5" ht="32.25" thickBot="1">
      <c r="A12" s="32" t="s">
        <v>133</v>
      </c>
      <c r="B12" s="91" t="s">
        <v>131</v>
      </c>
      <c r="C12" s="55">
        <f>(C9+C10+C11)*0.2409</f>
        <v>20.727036000000002</v>
      </c>
    </row>
    <row r="13" spans="1:5" ht="32.25" thickBot="1">
      <c r="A13" s="32" t="s">
        <v>134</v>
      </c>
      <c r="B13" s="35" t="s">
        <v>214</v>
      </c>
      <c r="C13" s="55">
        <f>0.84*4</f>
        <v>3.36</v>
      </c>
    </row>
    <row r="14" spans="1:5" ht="32.25" thickBot="1">
      <c r="A14" s="32" t="s">
        <v>136</v>
      </c>
      <c r="B14" s="62" t="s">
        <v>230</v>
      </c>
      <c r="C14" s="63">
        <f>(1.36+9.22)*4</f>
        <v>42.32</v>
      </c>
    </row>
    <row r="15" spans="1:5" ht="32.25" thickBot="1">
      <c r="A15" s="32" t="s">
        <v>137</v>
      </c>
      <c r="B15" s="91" t="s">
        <v>216</v>
      </c>
      <c r="C15" s="55">
        <f>1.03*4</f>
        <v>4.12</v>
      </c>
    </row>
    <row r="16" spans="1:5" ht="32.25" thickBot="1">
      <c r="A16" s="32" t="s">
        <v>139</v>
      </c>
      <c r="B16" s="35" t="s">
        <v>218</v>
      </c>
      <c r="C16" s="55">
        <f>1.42*4</f>
        <v>5.68</v>
      </c>
    </row>
    <row r="17" spans="1:7" ht="32.25" thickBot="1">
      <c r="A17" s="32" t="s">
        <v>217</v>
      </c>
      <c r="B17" s="35" t="s">
        <v>219</v>
      </c>
      <c r="C17" s="55">
        <f>1.14*4</f>
        <v>4.5599999999999996</v>
      </c>
    </row>
    <row r="18" spans="1:7" ht="32.25" thickBot="1">
      <c r="A18" s="32" t="s">
        <v>138</v>
      </c>
      <c r="B18" s="35" t="s">
        <v>226</v>
      </c>
      <c r="C18" s="63">
        <f>5.88*4</f>
        <v>23.52</v>
      </c>
    </row>
    <row r="19" spans="1:7" ht="16.5" thickBot="1">
      <c r="A19" s="32"/>
      <c r="B19" s="36" t="s">
        <v>122</v>
      </c>
      <c r="C19" s="37">
        <f>SUM(C9:C18)</f>
        <v>190.32703600000002</v>
      </c>
    </row>
    <row r="20" spans="1:7" ht="16.5" thickBot="1">
      <c r="A20" s="32"/>
      <c r="B20" s="36" t="s">
        <v>123</v>
      </c>
      <c r="C20" s="38"/>
    </row>
    <row r="21" spans="1:7" ht="32.25" thickBot="1">
      <c r="A21" s="32" t="s">
        <v>141</v>
      </c>
      <c r="B21" s="39" t="s">
        <v>198</v>
      </c>
      <c r="C21" s="55">
        <f>(C9+C10+C11)*0.25</f>
        <v>21.51</v>
      </c>
    </row>
    <row r="22" spans="1:7" ht="32.25" thickBot="1">
      <c r="A22" s="32" t="s">
        <v>133</v>
      </c>
      <c r="B22" s="35" t="s">
        <v>131</v>
      </c>
      <c r="C22" s="55">
        <f>C21*0.2409</f>
        <v>5.1817590000000004</v>
      </c>
    </row>
    <row r="23" spans="1:7" ht="32.25" thickBot="1">
      <c r="A23" s="32" t="s">
        <v>145</v>
      </c>
      <c r="B23" s="34" t="s">
        <v>208</v>
      </c>
      <c r="C23" s="55">
        <f>(39708/438912)*4</f>
        <v>0.36187664041994749</v>
      </c>
      <c r="E23" s="41"/>
    </row>
    <row r="24" spans="1:7" ht="32.25" thickBot="1">
      <c r="A24" s="32" t="s">
        <v>142</v>
      </c>
      <c r="B24" s="35" t="s">
        <v>210</v>
      </c>
      <c r="C24" s="55">
        <f>1.85*4</f>
        <v>7.4</v>
      </c>
    </row>
    <row r="25" spans="1:7" ht="32.25" thickBot="1">
      <c r="A25" s="32" t="s">
        <v>143</v>
      </c>
      <c r="B25" s="94" t="s">
        <v>203</v>
      </c>
      <c r="C25" s="55">
        <f>0.53*4</f>
        <v>2.12</v>
      </c>
    </row>
    <row r="26" spans="1:7" ht="32.25" thickBot="1">
      <c r="A26" s="32" t="s">
        <v>139</v>
      </c>
      <c r="B26" s="40" t="s">
        <v>209</v>
      </c>
      <c r="C26" s="55">
        <f>1.28*4</f>
        <v>5.12</v>
      </c>
    </row>
    <row r="27" spans="1:7" ht="32.25" thickBot="1">
      <c r="A27" s="32" t="s">
        <v>135</v>
      </c>
      <c r="B27" s="91" t="s">
        <v>213</v>
      </c>
      <c r="C27" s="55">
        <f>1.43*4</f>
        <v>5.72</v>
      </c>
    </row>
    <row r="28" spans="1:7" ht="32.25" thickBot="1">
      <c r="A28" s="32" t="s">
        <v>184</v>
      </c>
      <c r="B28" s="91" t="s">
        <v>211</v>
      </c>
      <c r="C28" s="55">
        <f>0.65*4</f>
        <v>2.6</v>
      </c>
    </row>
    <row r="29" spans="1:7" ht="32.25" thickBot="1">
      <c r="A29" s="32" t="s">
        <v>182</v>
      </c>
      <c r="B29" s="35" t="s">
        <v>220</v>
      </c>
      <c r="C29" s="55">
        <f>0.36*4</f>
        <v>1.44</v>
      </c>
    </row>
    <row r="30" spans="1:7" ht="32.25" thickBot="1">
      <c r="A30" s="32" t="s">
        <v>144</v>
      </c>
      <c r="B30" s="35" t="s">
        <v>202</v>
      </c>
      <c r="C30" s="55">
        <f>(46423/438912)*4</f>
        <v>0.4230734179060951</v>
      </c>
    </row>
    <row r="31" spans="1:7" ht="32.25" thickBot="1">
      <c r="A31" s="32" t="s">
        <v>140</v>
      </c>
      <c r="B31" s="35" t="s">
        <v>212</v>
      </c>
      <c r="C31" s="55">
        <f>(21000/438912)*4</f>
        <v>0.19138232720909887</v>
      </c>
    </row>
    <row r="32" spans="1:7" ht="32.25" thickBot="1">
      <c r="A32" s="32" t="s">
        <v>222</v>
      </c>
      <c r="B32" s="35" t="s">
        <v>223</v>
      </c>
      <c r="C32" s="55">
        <f>3.55*4</f>
        <v>14.2</v>
      </c>
      <c r="G32" s="9"/>
    </row>
    <row r="33" spans="1:6" ht="16.5" thickBot="1">
      <c r="A33" s="32"/>
      <c r="B33" s="33" t="s">
        <v>124</v>
      </c>
      <c r="C33" s="37">
        <f>SUM(C21:C32)</f>
        <v>66.268091385535129</v>
      </c>
    </row>
    <row r="34" spans="1:6" ht="16.5" thickBot="1">
      <c r="A34" s="32"/>
      <c r="B34" s="42" t="s">
        <v>125</v>
      </c>
      <c r="C34" s="37">
        <f>C33+C19</f>
        <v>256.59512738553514</v>
      </c>
    </row>
    <row r="35" spans="1:6">
      <c r="C35" s="9"/>
    </row>
    <row r="36" spans="1:6" ht="16.5" thickBot="1">
      <c r="C36" s="9"/>
    </row>
    <row r="37" spans="1:6" ht="16.5" thickBot="1">
      <c r="A37" s="142" t="s">
        <v>126</v>
      </c>
      <c r="B37" s="143"/>
      <c r="C37" s="43">
        <v>4</v>
      </c>
    </row>
    <row r="38" spans="1:6" ht="16.5" thickBot="1">
      <c r="A38" s="142" t="s">
        <v>127</v>
      </c>
      <c r="B38" s="143"/>
      <c r="C38" s="44">
        <f>C34/C37</f>
        <v>64.148781846383784</v>
      </c>
    </row>
    <row r="40" spans="1:6">
      <c r="A40" s="13"/>
      <c r="B40" s="13"/>
      <c r="C40" s="61"/>
      <c r="D40" s="13"/>
      <c r="E40" s="13"/>
      <c r="F40" s="13"/>
    </row>
    <row r="41" spans="1:6">
      <c r="A41" s="144"/>
      <c r="B41" s="144"/>
      <c r="C41" s="45"/>
      <c r="D41" s="45"/>
      <c r="E41" s="45"/>
      <c r="F41" s="45"/>
    </row>
    <row r="42" spans="1:6" ht="18.75" hidden="1">
      <c r="A42" s="145"/>
      <c r="B42" s="145"/>
      <c r="C42" s="46"/>
      <c r="D42" s="46"/>
      <c r="E42" s="13"/>
      <c r="F42" s="13"/>
    </row>
  </sheetData>
  <mergeCells count="10">
    <mergeCell ref="A37:B37"/>
    <mergeCell ref="A38:B38"/>
    <mergeCell ref="A41:B41"/>
    <mergeCell ref="A42:B42"/>
    <mergeCell ref="A1:C1"/>
    <mergeCell ref="A3:C3"/>
    <mergeCell ref="A4:C4"/>
    <mergeCell ref="A5:C5"/>
    <mergeCell ref="A6:B6"/>
    <mergeCell ref="A9:A11"/>
  </mergeCells>
  <pageMargins left="0.7" right="0.7" top="0.75" bottom="0.75" header="0.3" footer="0.3"/>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27</vt:i4>
      </vt:variant>
    </vt:vector>
  </HeadingPairs>
  <TitlesOfParts>
    <vt:vector size="71" baseType="lpstr">
      <vt:lpstr>Saraksts</vt:lpstr>
      <vt:lpstr>1.1.</vt:lpstr>
      <vt:lpstr>1.2.</vt:lpstr>
      <vt:lpstr>1.3.</vt:lpstr>
      <vt:lpstr>2.1.</vt:lpstr>
      <vt:lpstr>2.2.</vt:lpstr>
      <vt:lpstr>2.3.</vt:lpstr>
      <vt:lpstr>2.4.</vt:lpstr>
      <vt:lpstr>2.5.</vt:lpstr>
      <vt:lpstr>2.6.</vt:lpstr>
      <vt:lpstr>2.7.</vt:lpstr>
      <vt:lpstr>2.8.</vt:lpstr>
      <vt:lpstr>3.1.</vt:lpstr>
      <vt:lpstr>3.2.</vt:lpstr>
      <vt:lpstr>3.3.</vt:lpstr>
      <vt:lpstr>3.4.</vt:lpstr>
      <vt:lpstr>4.1.</vt:lpstr>
      <vt:lpstr>4.2.</vt:lpstr>
      <vt:lpstr>4.3.</vt:lpstr>
      <vt:lpstr>4.4.</vt:lpstr>
      <vt:lpstr>4.5.</vt:lpstr>
      <vt:lpstr>4.6.</vt:lpstr>
      <vt:lpstr>4.7.</vt:lpstr>
      <vt:lpstr>4.8.</vt:lpstr>
      <vt:lpstr>4.9.</vt:lpstr>
      <vt:lpstr>4.10.</vt:lpstr>
      <vt:lpstr>4.11.</vt:lpstr>
      <vt:lpstr>5.1.</vt:lpstr>
      <vt:lpstr>5.2.</vt:lpstr>
      <vt:lpstr>5.3.</vt:lpstr>
      <vt:lpstr>5.4.</vt:lpstr>
      <vt:lpstr>5.5.</vt:lpstr>
      <vt:lpstr>6.1.</vt:lpstr>
      <vt:lpstr>6.2.</vt:lpstr>
      <vt:lpstr>6.3.</vt:lpstr>
      <vt:lpstr>6.4.</vt:lpstr>
      <vt:lpstr>6.5.</vt:lpstr>
      <vt:lpstr>6.6.</vt:lpstr>
      <vt:lpstr>6.7.</vt:lpstr>
      <vt:lpstr>6.8.</vt:lpstr>
      <vt:lpstr>6.9.</vt:lpstr>
      <vt:lpstr>6.10.</vt:lpstr>
      <vt:lpstr>6.11.</vt:lpstr>
      <vt:lpstr>6.12.</vt:lpstr>
      <vt:lpstr>'1.2.'!Print_Area</vt:lpstr>
      <vt:lpstr>'2.1.'!Print_Area</vt:lpstr>
      <vt:lpstr>'2.2.'!Print_Area</vt:lpstr>
      <vt:lpstr>'2.3.'!Print_Area</vt:lpstr>
      <vt:lpstr>'2.4.'!Print_Area</vt:lpstr>
      <vt:lpstr>'2.5.'!Print_Area</vt:lpstr>
      <vt:lpstr>'2.6.'!Print_Area</vt:lpstr>
      <vt:lpstr>'2.7.'!Print_Area</vt:lpstr>
      <vt:lpstr>'2.8.'!Print_Area</vt:lpstr>
      <vt:lpstr>'3.1.'!Print_Area</vt:lpstr>
      <vt:lpstr>'3.2.'!Print_Area</vt:lpstr>
      <vt:lpstr>'3.3.'!Print_Area</vt:lpstr>
      <vt:lpstr>'3.4.'!Print_Area</vt:lpstr>
      <vt:lpstr>'4.1.'!Print_Area</vt:lpstr>
      <vt:lpstr>'4.10.'!Print_Area</vt:lpstr>
      <vt:lpstr>'4.2.'!Print_Area</vt:lpstr>
      <vt:lpstr>'4.3.'!Print_Area</vt:lpstr>
      <vt:lpstr>'4.4.'!Print_Area</vt:lpstr>
      <vt:lpstr>'4.5.'!Print_Area</vt:lpstr>
      <vt:lpstr>'4.6.'!Print_Area</vt:lpstr>
      <vt:lpstr>'4.7.'!Print_Area</vt:lpstr>
      <vt:lpstr>'4.8.'!Print_Area</vt:lpstr>
      <vt:lpstr>'4.9.'!Print_Area</vt:lpstr>
      <vt:lpstr>'5.1.'!Print_Area</vt:lpstr>
      <vt:lpstr>'5.2.'!Print_Area</vt:lpstr>
      <vt:lpstr>'5.3.'!Print_Area</vt:lpstr>
      <vt:lpstr>'5.4.'!Print_Area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"Neatliekamās medicīniskās palīdzības dienesta maksas pakalpojumu cenrādis" sākotnējās (ex-ante) ietekmes novērtējuma ziņojumam (anotācijai)</dc:title>
  <dc:subject>pielikums anotācijai</dc:subject>
  <dc:creator>Māris Rutkis, Lāsma Zandberga</dc:creator>
  <dc:description>67337036,Maris.Rutkis@nmpd.gov.lv_x000d_
67876041,Lasma.Zandberga@nmpd.gov.lv</dc:description>
  <cp:lastModifiedBy>Lāsma Zandberga</cp:lastModifiedBy>
  <cp:lastPrinted>2018-08-09T10:19:57Z</cp:lastPrinted>
  <dcterms:created xsi:type="dcterms:W3CDTF">2017-11-23T10:59:22Z</dcterms:created>
  <dcterms:modified xsi:type="dcterms:W3CDTF">2018-09-12T09:07:48Z</dcterms:modified>
</cp:coreProperties>
</file>