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https://dvs.vm.gov.lv/Portal/webdav/0470bb7b6f7d6bc11c0bdc2d6b40464620181107142403881/"/>
    </mc:Choice>
  </mc:AlternateContent>
  <xr:revisionPtr revIDLastSave="0" documentId="10_ncr:100000_{8348DA09-F0F8-4853-A668-A5AF5CB81B0C}" xr6:coauthVersionLast="31" xr6:coauthVersionMax="31" xr10:uidLastSave="{00000000-0000-0000-0000-000000000000}"/>
  <bookViews>
    <workbookView xWindow="0" yWindow="0" windowWidth="23250" windowHeight="9810" tabRatio="842" xr2:uid="{00000000-000D-0000-FFFF-FFFF00000000}"/>
  </bookViews>
  <sheets>
    <sheet name="kopā" sheetId="12" r:id="rId1"/>
    <sheet name="33.00.00  " sheetId="18" r:id="rId2"/>
    <sheet name="DS pārējās ministrijas" sheetId="8" r:id="rId3"/>
    <sheet name="62.resors" sheetId="10" r:id="rId4"/>
    <sheet name="LM līgumorg" sheetId="11" r:id="rId5"/>
    <sheet name="VM padotības iest" sheetId="13" r:id="rId6"/>
    <sheet name="PNDL" sheetId="14" r:id="rId7"/>
    <sheet name="rezidenti" sheetId="15" r:id="rId8"/>
  </sheets>
  <externalReferences>
    <externalReference r:id="rId9"/>
  </externalReferences>
  <definedNames>
    <definedName name="_xlnm.Print_Area" localSheetId="0">kopā!$A$1:$I$42</definedName>
    <definedName name="_xlnm.Print_Area" localSheetId="5">'VM padotības iest'!$A$1:$S$409</definedName>
    <definedName name="_xlnm.Print_Titles" localSheetId="2">'DS pārējās ministrijas'!$7:$8</definedName>
  </definedNames>
  <calcPr calcId="179017"/>
</workbook>
</file>

<file path=xl/calcChain.xml><?xml version="1.0" encoding="utf-8"?>
<calcChain xmlns="http://schemas.openxmlformats.org/spreadsheetml/2006/main">
  <c r="F31" i="12" l="1"/>
  <c r="G31" i="12" s="1"/>
  <c r="H31" i="12" s="1"/>
  <c r="G22" i="12" l="1"/>
  <c r="F22" i="12"/>
  <c r="E22" i="12"/>
  <c r="H21" i="12"/>
  <c r="G21" i="12"/>
  <c r="F21" i="12"/>
  <c r="F20" i="12" s="1"/>
  <c r="E21" i="12"/>
  <c r="G20" i="12"/>
  <c r="E20" i="12"/>
  <c r="H17" i="12"/>
  <c r="G17" i="12"/>
  <c r="F17" i="12"/>
  <c r="E17" i="12"/>
  <c r="H34" i="12" l="1"/>
  <c r="F34" i="12"/>
  <c r="F33" i="12"/>
  <c r="G33" i="12" s="1"/>
  <c r="H33" i="12" s="1"/>
  <c r="H32" i="12"/>
  <c r="G30" i="12"/>
  <c r="H30" i="12" s="1"/>
  <c r="H24" i="12"/>
  <c r="AC22" i="18" l="1"/>
  <c r="AA22" i="18"/>
  <c r="Q22" i="18"/>
  <c r="S22" i="18" s="1"/>
  <c r="I22" i="18"/>
  <c r="G22" i="18"/>
  <c r="W20" i="18"/>
  <c r="N20" i="18"/>
  <c r="O20" i="18" s="1"/>
  <c r="J20" i="18"/>
  <c r="J19" i="18" s="1"/>
  <c r="G20" i="18"/>
  <c r="H20" i="18" s="1"/>
  <c r="I20" i="18" s="1"/>
  <c r="F20" i="18"/>
  <c r="E20" i="18"/>
  <c r="M19" i="18"/>
  <c r="F19" i="18"/>
  <c r="E19" i="18"/>
  <c r="C19" i="18"/>
  <c r="W17" i="18"/>
  <c r="O17" i="18"/>
  <c r="X17" i="18" s="1"/>
  <c r="Y17" i="18" s="1"/>
  <c r="N17" i="18"/>
  <c r="E17" i="18"/>
  <c r="J17" i="18" s="1"/>
  <c r="M16" i="18"/>
  <c r="W16" i="18" s="1"/>
  <c r="J16" i="18"/>
  <c r="F16" i="18"/>
  <c r="G16" i="18" s="1"/>
  <c r="H16" i="18" s="1"/>
  <c r="I16" i="18" s="1"/>
  <c r="E16" i="18"/>
  <c r="N16" i="18" s="1"/>
  <c r="O16" i="18" s="1"/>
  <c r="N15" i="18"/>
  <c r="O15" i="18" s="1"/>
  <c r="M15" i="18"/>
  <c r="W15" i="18" s="1"/>
  <c r="E15" i="18"/>
  <c r="J15" i="18" s="1"/>
  <c r="C14" i="18"/>
  <c r="C21" i="18" s="1"/>
  <c r="C23" i="18" s="1"/>
  <c r="M12" i="18"/>
  <c r="W12" i="18" s="1"/>
  <c r="J12" i="18"/>
  <c r="F12" i="18"/>
  <c r="G12" i="18" s="1"/>
  <c r="H12" i="18" s="1"/>
  <c r="I12" i="18" s="1"/>
  <c r="E12" i="18"/>
  <c r="N12" i="18" s="1"/>
  <c r="O12" i="18" s="1"/>
  <c r="N11" i="18"/>
  <c r="O11" i="18" s="1"/>
  <c r="M11" i="18"/>
  <c r="W11" i="18" s="1"/>
  <c r="E11" i="18"/>
  <c r="J11" i="18" s="1"/>
  <c r="M10" i="18"/>
  <c r="W10" i="18" s="1"/>
  <c r="J10" i="18"/>
  <c r="F10" i="18"/>
  <c r="G10" i="18" s="1"/>
  <c r="E10" i="18"/>
  <c r="N10" i="18" s="1"/>
  <c r="O10" i="18" s="1"/>
  <c r="M9" i="18"/>
  <c r="E9" i="18"/>
  <c r="C9" i="18"/>
  <c r="X10" i="18" l="1"/>
  <c r="Y10" i="18" s="1"/>
  <c r="T10" i="18"/>
  <c r="P10" i="18"/>
  <c r="O9" i="18"/>
  <c r="H10" i="18"/>
  <c r="AD11" i="18"/>
  <c r="AD15" i="18"/>
  <c r="W14" i="18"/>
  <c r="AD17" i="18"/>
  <c r="Z17" i="18"/>
  <c r="AA17" i="18" s="1"/>
  <c r="AB17" i="18" s="1"/>
  <c r="AC17" i="18" s="1"/>
  <c r="J9" i="18"/>
  <c r="P11" i="18"/>
  <c r="Q11" i="18" s="1"/>
  <c r="R11" i="18" s="1"/>
  <c r="S11" i="18" s="1"/>
  <c r="X11" i="18"/>
  <c r="Y11" i="18" s="1"/>
  <c r="Z11" i="18" s="1"/>
  <c r="AA11" i="18" s="1"/>
  <c r="AB11" i="18" s="1"/>
  <c r="AC11" i="18" s="1"/>
  <c r="AD12" i="18"/>
  <c r="P15" i="18"/>
  <c r="O14" i="18"/>
  <c r="X15" i="18"/>
  <c r="Y15" i="18" s="1"/>
  <c r="AD16" i="18"/>
  <c r="W9" i="18"/>
  <c r="AD10" i="18"/>
  <c r="AD9" i="18" s="1"/>
  <c r="T12" i="18"/>
  <c r="X12" i="18"/>
  <c r="Y12" i="18" s="1"/>
  <c r="Z12" i="18" s="1"/>
  <c r="AA12" i="18" s="1"/>
  <c r="AB12" i="18" s="1"/>
  <c r="AC12" i="18" s="1"/>
  <c r="P12" i="18"/>
  <c r="Q12" i="18" s="1"/>
  <c r="R12" i="18" s="1"/>
  <c r="S12" i="18" s="1"/>
  <c r="T16" i="18"/>
  <c r="X16" i="18"/>
  <c r="Y16" i="18" s="1"/>
  <c r="Z16" i="18" s="1"/>
  <c r="AA16" i="18" s="1"/>
  <c r="AB16" i="18" s="1"/>
  <c r="AC16" i="18" s="1"/>
  <c r="P16" i="18"/>
  <c r="Q16" i="18" s="1"/>
  <c r="R16" i="18" s="1"/>
  <c r="S16" i="18" s="1"/>
  <c r="J14" i="18"/>
  <c r="O19" i="18"/>
  <c r="T20" i="18"/>
  <c r="T19" i="18" s="1"/>
  <c r="P20" i="18"/>
  <c r="X20" i="18"/>
  <c r="Y20" i="18" s="1"/>
  <c r="F9" i="18"/>
  <c r="M14" i="18"/>
  <c r="M21" i="18" s="1"/>
  <c r="M23" i="18" s="1"/>
  <c r="P17" i="18"/>
  <c r="Q17" i="18" s="1"/>
  <c r="R17" i="18" s="1"/>
  <c r="S17" i="18" s="1"/>
  <c r="T17" i="18"/>
  <c r="F11" i="18"/>
  <c r="G11" i="18" s="1"/>
  <c r="H11" i="18" s="1"/>
  <c r="I11" i="18" s="1"/>
  <c r="T11" i="18"/>
  <c r="E14" i="18"/>
  <c r="F15" i="18"/>
  <c r="T15" i="18"/>
  <c r="F17" i="18"/>
  <c r="G17" i="18" s="1"/>
  <c r="H17" i="18" s="1"/>
  <c r="I17" i="18" s="1"/>
  <c r="W19" i="18"/>
  <c r="W21" i="18" s="1"/>
  <c r="W23" i="18" s="1"/>
  <c r="Q15" i="18" l="1"/>
  <c r="R15" i="18" s="1"/>
  <c r="S15" i="18" s="1"/>
  <c r="P14" i="18"/>
  <c r="T14" i="18"/>
  <c r="Y19" i="18"/>
  <c r="Z20" i="18"/>
  <c r="Q10" i="18"/>
  <c r="P9" i="18"/>
  <c r="Q20" i="18"/>
  <c r="R20" i="18" s="1"/>
  <c r="S20" i="18" s="1"/>
  <c r="P19" i="18"/>
  <c r="Z15" i="18"/>
  <c r="Y14" i="18"/>
  <c r="AD14" i="18"/>
  <c r="I10" i="18"/>
  <c r="T9" i="18"/>
  <c r="G15" i="18"/>
  <c r="H15" i="18" s="1"/>
  <c r="I15" i="18" s="1"/>
  <c r="F14" i="18"/>
  <c r="AD20" i="18"/>
  <c r="AD19" i="18" s="1"/>
  <c r="Y9" i="18"/>
  <c r="Z10" i="18"/>
  <c r="D25" i="15"/>
  <c r="H21" i="18" l="1"/>
  <c r="AA15" i="18"/>
  <c r="AB15" i="18" s="1"/>
  <c r="AC15" i="18" s="1"/>
  <c r="Z14" i="18"/>
  <c r="Q21" i="18"/>
  <c r="R10" i="18"/>
  <c r="G21" i="18"/>
  <c r="AA10" i="18"/>
  <c r="Z9" i="18"/>
  <c r="I21" i="18"/>
  <c r="AA20" i="18"/>
  <c r="AB20" i="18" s="1"/>
  <c r="AC20" i="18" s="1"/>
  <c r="Z19" i="18"/>
  <c r="AA21" i="18" l="1"/>
  <c r="AB10" i="18"/>
  <c r="I23" i="18"/>
  <c r="I26" i="18" s="1"/>
  <c r="S26" i="18" s="1"/>
  <c r="S10" i="18"/>
  <c r="S21" i="18" s="1"/>
  <c r="S23" i="18" s="1"/>
  <c r="R21" i="18"/>
  <c r="F28" i="12"/>
  <c r="F25" i="12"/>
  <c r="G25" i="12" s="1"/>
  <c r="F26" i="12"/>
  <c r="G26" i="12" s="1"/>
  <c r="F27" i="12"/>
  <c r="G27" i="12" s="1"/>
  <c r="AC10" i="18" l="1"/>
  <c r="AC21" i="18" s="1"/>
  <c r="AC23" i="18" s="1"/>
  <c r="AC26" i="18" s="1"/>
  <c r="AB21" i="18"/>
  <c r="F23" i="12"/>
  <c r="G28" i="12"/>
  <c r="G23" i="12" s="1"/>
  <c r="H16" i="12" l="1"/>
  <c r="H22" i="12" s="1"/>
  <c r="H20" i="12" s="1"/>
  <c r="E10" i="12" l="1"/>
  <c r="E25" i="15" l="1"/>
  <c r="E26" i="15" s="1"/>
  <c r="F10" i="12" l="1"/>
  <c r="G10" i="12"/>
  <c r="F12" i="12"/>
  <c r="G12" i="12"/>
  <c r="E12" i="12"/>
  <c r="D26" i="15"/>
  <c r="F25" i="15"/>
  <c r="F26" i="15" s="1"/>
  <c r="E23" i="12"/>
  <c r="F14" i="12"/>
  <c r="G14" i="12"/>
  <c r="E14" i="12"/>
  <c r="H13" i="12"/>
  <c r="H12" i="12" s="1"/>
  <c r="E9" i="12" l="1"/>
  <c r="F9" i="12"/>
  <c r="E46" i="14"/>
  <c r="C46" i="14" s="1"/>
  <c r="E45" i="14"/>
  <c r="C45" i="14" s="1"/>
  <c r="D45" i="14" s="1"/>
  <c r="E44" i="14"/>
  <c r="E43" i="14"/>
  <c r="E42" i="14"/>
  <c r="E41" i="14"/>
  <c r="E40" i="14"/>
  <c r="E39" i="14"/>
  <c r="E38" i="14"/>
  <c r="C38" i="14" s="1"/>
  <c r="E37" i="14"/>
  <c r="E36" i="14"/>
  <c r="E35" i="14"/>
  <c r="C35" i="14" s="1"/>
  <c r="D35" i="14" s="1"/>
  <c r="E34" i="14"/>
  <c r="C34" i="14" s="1"/>
  <c r="E33" i="14"/>
  <c r="E32" i="14"/>
  <c r="E31" i="14"/>
  <c r="C31" i="14" s="1"/>
  <c r="D31" i="14" s="1"/>
  <c r="E30" i="14"/>
  <c r="C30" i="14" s="1"/>
  <c r="E29" i="14"/>
  <c r="E28" i="14"/>
  <c r="E27" i="14"/>
  <c r="E26" i="14"/>
  <c r="C26" i="14" s="1"/>
  <c r="D26" i="14" s="1"/>
  <c r="E25" i="14"/>
  <c r="E24" i="14"/>
  <c r="E23" i="14"/>
  <c r="E22" i="14"/>
  <c r="C22" i="14" s="1"/>
  <c r="D22" i="14" s="1"/>
  <c r="E21" i="14"/>
  <c r="E20" i="14"/>
  <c r="E19" i="14"/>
  <c r="C19" i="14" s="1"/>
  <c r="D19" i="14" s="1"/>
  <c r="E18" i="14"/>
  <c r="C18" i="14" s="1"/>
  <c r="D18" i="14" s="1"/>
  <c r="E17" i="14"/>
  <c r="E16" i="14"/>
  <c r="E15" i="14"/>
  <c r="C15" i="14" s="1"/>
  <c r="D15" i="14" s="1"/>
  <c r="E14" i="14"/>
  <c r="C14" i="14" s="1"/>
  <c r="D14" i="14" s="1"/>
  <c r="E13" i="14"/>
  <c r="E12" i="14"/>
  <c r="E11" i="14"/>
  <c r="E10" i="14"/>
  <c r="C10" i="14" s="1"/>
  <c r="D10" i="14" s="1"/>
  <c r="E9" i="14"/>
  <c r="E8" i="14"/>
  <c r="C11" i="14" l="1"/>
  <c r="D11" i="14" s="1"/>
  <c r="C27" i="14"/>
  <c r="D27" i="14" s="1"/>
  <c r="C43" i="14"/>
  <c r="D43" i="14" s="1"/>
  <c r="D38" i="14"/>
  <c r="E50" i="14"/>
  <c r="C23" i="14"/>
  <c r="D23" i="14" s="1"/>
  <c r="D34" i="14"/>
  <c r="C39" i="14"/>
  <c r="D39" i="14" s="1"/>
  <c r="D30" i="14"/>
  <c r="C42" i="14"/>
  <c r="D42" i="14" s="1"/>
  <c r="D46" i="14"/>
  <c r="C9" i="14"/>
  <c r="D9" i="14" s="1"/>
  <c r="C13" i="14"/>
  <c r="D13" i="14" s="1"/>
  <c r="C17" i="14"/>
  <c r="D17" i="14" s="1"/>
  <c r="C21" i="14"/>
  <c r="D21" i="14" s="1"/>
  <c r="C25" i="14"/>
  <c r="D25" i="14" s="1"/>
  <c r="C29" i="14"/>
  <c r="D29" i="14" s="1"/>
  <c r="C33" i="14"/>
  <c r="D33" i="14" s="1"/>
  <c r="C37" i="14"/>
  <c r="D37" i="14" s="1"/>
  <c r="C41" i="14"/>
  <c r="D41" i="14" s="1"/>
  <c r="E47" i="14"/>
  <c r="C8" i="14"/>
  <c r="D8" i="14" s="1"/>
  <c r="C12" i="14"/>
  <c r="D12" i="14" s="1"/>
  <c r="C16" i="14"/>
  <c r="D16" i="14" s="1"/>
  <c r="C20" i="14"/>
  <c r="D20" i="14" s="1"/>
  <c r="C24" i="14"/>
  <c r="D24" i="14" s="1"/>
  <c r="C28" i="14"/>
  <c r="D28" i="14" s="1"/>
  <c r="C32" i="14"/>
  <c r="D32" i="14" s="1"/>
  <c r="C36" i="14"/>
  <c r="D36" i="14" s="1"/>
  <c r="C40" i="14"/>
  <c r="D40" i="14" s="1"/>
  <c r="C44" i="14"/>
  <c r="D44" i="14" s="1"/>
  <c r="E49" i="14"/>
  <c r="D47" i="14" l="1"/>
  <c r="C47" i="14"/>
  <c r="G9" i="12" l="1"/>
  <c r="H14" i="12"/>
  <c r="J403" i="13"/>
  <c r="K402" i="13"/>
  <c r="L402" i="13" s="1"/>
  <c r="K401" i="13"/>
  <c r="L401" i="13" s="1"/>
  <c r="K400" i="13"/>
  <c r="L400" i="13" s="1"/>
  <c r="K399" i="13"/>
  <c r="L399" i="13" s="1"/>
  <c r="K398" i="13"/>
  <c r="L398" i="13" s="1"/>
  <c r="N398" i="13" s="1"/>
  <c r="M398" i="13" s="1"/>
  <c r="K397" i="13"/>
  <c r="L397" i="13" s="1"/>
  <c r="K396" i="13"/>
  <c r="L396" i="13" s="1"/>
  <c r="N396" i="13" s="1"/>
  <c r="M396" i="13" s="1"/>
  <c r="K395" i="13"/>
  <c r="L395" i="13" s="1"/>
  <c r="K394" i="13"/>
  <c r="L394" i="13" s="1"/>
  <c r="K393" i="13"/>
  <c r="L393" i="13" s="1"/>
  <c r="K392" i="13"/>
  <c r="L392" i="13" s="1"/>
  <c r="N392" i="13" s="1"/>
  <c r="M392" i="13" s="1"/>
  <c r="K391" i="13"/>
  <c r="L391" i="13" s="1"/>
  <c r="K390" i="13"/>
  <c r="L390" i="13" s="1"/>
  <c r="N390" i="13" s="1"/>
  <c r="M390" i="13" s="1"/>
  <c r="K389" i="13"/>
  <c r="L389" i="13" s="1"/>
  <c r="K388" i="13"/>
  <c r="L388" i="13" s="1"/>
  <c r="N388" i="13" s="1"/>
  <c r="M388" i="13" s="1"/>
  <c r="K387" i="13"/>
  <c r="L387" i="13" s="1"/>
  <c r="N387" i="13" s="1"/>
  <c r="M387" i="13" s="1"/>
  <c r="K386" i="13"/>
  <c r="L386" i="13" s="1"/>
  <c r="N386" i="13" s="1"/>
  <c r="M386" i="13" s="1"/>
  <c r="K385" i="13"/>
  <c r="L385" i="13" s="1"/>
  <c r="K384" i="13"/>
  <c r="L384" i="13" s="1"/>
  <c r="N384" i="13" s="1"/>
  <c r="M384" i="13" s="1"/>
  <c r="K383" i="13"/>
  <c r="L383" i="13" s="1"/>
  <c r="K382" i="13"/>
  <c r="L382" i="13" s="1"/>
  <c r="N382" i="13" s="1"/>
  <c r="M382" i="13" s="1"/>
  <c r="K381" i="13"/>
  <c r="L381" i="13" s="1"/>
  <c r="K380" i="13"/>
  <c r="L380" i="13" s="1"/>
  <c r="N380" i="13" s="1"/>
  <c r="M380" i="13" s="1"/>
  <c r="K379" i="13"/>
  <c r="L379" i="13" s="1"/>
  <c r="J375" i="13"/>
  <c r="K374" i="13"/>
  <c r="L374" i="13" s="1"/>
  <c r="K373" i="13"/>
  <c r="L373" i="13" s="1"/>
  <c r="K372" i="13"/>
  <c r="L372" i="13" s="1"/>
  <c r="N372" i="13" s="1"/>
  <c r="M372" i="13" s="1"/>
  <c r="L371" i="13"/>
  <c r="K371" i="13"/>
  <c r="K370" i="13"/>
  <c r="L370" i="13" s="1"/>
  <c r="N370" i="13" s="1"/>
  <c r="M370" i="13" s="1"/>
  <c r="K369" i="13"/>
  <c r="L369" i="13" s="1"/>
  <c r="K368" i="13"/>
  <c r="L368" i="13" s="1"/>
  <c r="N368" i="13" s="1"/>
  <c r="M368" i="13" s="1"/>
  <c r="K367" i="13"/>
  <c r="L367" i="13" s="1"/>
  <c r="K366" i="13"/>
  <c r="L366" i="13" s="1"/>
  <c r="K365" i="13"/>
  <c r="L365" i="13" s="1"/>
  <c r="K364" i="13"/>
  <c r="L364" i="13" s="1"/>
  <c r="K363" i="13"/>
  <c r="L363" i="13" s="1"/>
  <c r="J361" i="13"/>
  <c r="J376" i="13" s="1"/>
  <c r="K360" i="13"/>
  <c r="L360" i="13" s="1"/>
  <c r="N360" i="13" s="1"/>
  <c r="M360" i="13" s="1"/>
  <c r="K359" i="13"/>
  <c r="L359" i="13" s="1"/>
  <c r="N359" i="13" s="1"/>
  <c r="M359" i="13" s="1"/>
  <c r="K358" i="13"/>
  <c r="L358" i="13" s="1"/>
  <c r="K357" i="13"/>
  <c r="L357" i="13" s="1"/>
  <c r="L356" i="13"/>
  <c r="K356" i="13"/>
  <c r="K355" i="13"/>
  <c r="L355" i="13" s="1"/>
  <c r="K354" i="13"/>
  <c r="L354" i="13" s="1"/>
  <c r="N354" i="13" s="1"/>
  <c r="M354" i="13" s="1"/>
  <c r="K353" i="13"/>
  <c r="L353" i="13" s="1"/>
  <c r="N353" i="13" s="1"/>
  <c r="M353" i="13" s="1"/>
  <c r="K352" i="13"/>
  <c r="L352" i="13" s="1"/>
  <c r="N352" i="13" s="1"/>
  <c r="M352" i="13" s="1"/>
  <c r="K351" i="13"/>
  <c r="L351" i="13" s="1"/>
  <c r="N351" i="13" s="1"/>
  <c r="M351" i="13" s="1"/>
  <c r="K350" i="13"/>
  <c r="L350" i="13" s="1"/>
  <c r="N350" i="13" s="1"/>
  <c r="M350" i="13" s="1"/>
  <c r="K349" i="13"/>
  <c r="L349" i="13" s="1"/>
  <c r="N349" i="13" s="1"/>
  <c r="M349" i="13" s="1"/>
  <c r="K348" i="13"/>
  <c r="L348" i="13" s="1"/>
  <c r="N348" i="13" s="1"/>
  <c r="M348" i="13" s="1"/>
  <c r="K347" i="13"/>
  <c r="L347" i="13" s="1"/>
  <c r="K346" i="13"/>
  <c r="L346" i="13" s="1"/>
  <c r="N346" i="13" s="1"/>
  <c r="M346" i="13" s="1"/>
  <c r="K345" i="13"/>
  <c r="L345" i="13" s="1"/>
  <c r="N345" i="13" s="1"/>
  <c r="M345" i="13" s="1"/>
  <c r="K344" i="13"/>
  <c r="L344" i="13" s="1"/>
  <c r="N344" i="13" s="1"/>
  <c r="M344" i="13" s="1"/>
  <c r="K343" i="13"/>
  <c r="L343" i="13" s="1"/>
  <c r="N343" i="13" s="1"/>
  <c r="M343" i="13" s="1"/>
  <c r="K342" i="13"/>
  <c r="L342" i="13" s="1"/>
  <c r="N342" i="13" s="1"/>
  <c r="M342" i="13" s="1"/>
  <c r="K341" i="13"/>
  <c r="L341" i="13" s="1"/>
  <c r="N341" i="13" s="1"/>
  <c r="M341" i="13" s="1"/>
  <c r="K340" i="13"/>
  <c r="L340" i="13" s="1"/>
  <c r="N340" i="13" s="1"/>
  <c r="M340" i="13" s="1"/>
  <c r="K339" i="13"/>
  <c r="L339" i="13" s="1"/>
  <c r="K338" i="13"/>
  <c r="L338" i="13" s="1"/>
  <c r="N338" i="13" s="1"/>
  <c r="M338" i="13" s="1"/>
  <c r="K337" i="13"/>
  <c r="L337" i="13" s="1"/>
  <c r="K336" i="13"/>
  <c r="L336" i="13" s="1"/>
  <c r="N336" i="13" s="1"/>
  <c r="M336" i="13" s="1"/>
  <c r="K335" i="13"/>
  <c r="L335" i="13" s="1"/>
  <c r="N335" i="13" s="1"/>
  <c r="M335" i="13" s="1"/>
  <c r="K334" i="13"/>
  <c r="L334" i="13" s="1"/>
  <c r="L333" i="13"/>
  <c r="N333" i="13" s="1"/>
  <c r="M333" i="13" s="1"/>
  <c r="K333" i="13"/>
  <c r="K332" i="13"/>
  <c r="L332" i="13" s="1"/>
  <c r="N332" i="13" s="1"/>
  <c r="M332" i="13" s="1"/>
  <c r="K331" i="13"/>
  <c r="L331" i="13" s="1"/>
  <c r="N331" i="13" s="1"/>
  <c r="M331" i="13" s="1"/>
  <c r="K330" i="13"/>
  <c r="L330" i="13" s="1"/>
  <c r="N330" i="13" s="1"/>
  <c r="M330" i="13" s="1"/>
  <c r="K329" i="13"/>
  <c r="L329" i="13" s="1"/>
  <c r="N329" i="13" s="1"/>
  <c r="M329" i="13" s="1"/>
  <c r="K328" i="13"/>
  <c r="L328" i="13" s="1"/>
  <c r="N328" i="13" s="1"/>
  <c r="M328" i="13" s="1"/>
  <c r="K327" i="13"/>
  <c r="L327" i="13" s="1"/>
  <c r="K326" i="13"/>
  <c r="L326" i="13" s="1"/>
  <c r="K325" i="13"/>
  <c r="L325" i="13" s="1"/>
  <c r="K324" i="13"/>
  <c r="L324" i="13" s="1"/>
  <c r="N324" i="13" s="1"/>
  <c r="M324" i="13" s="1"/>
  <c r="K323" i="13"/>
  <c r="L323" i="13" s="1"/>
  <c r="K322" i="13"/>
  <c r="L322" i="13" s="1"/>
  <c r="K321" i="13"/>
  <c r="L321" i="13" s="1"/>
  <c r="K320" i="13"/>
  <c r="L320" i="13" s="1"/>
  <c r="N320" i="13" s="1"/>
  <c r="M320" i="13" s="1"/>
  <c r="K319" i="13"/>
  <c r="L319" i="13" s="1"/>
  <c r="K318" i="13"/>
  <c r="L318" i="13" s="1"/>
  <c r="K317" i="13"/>
  <c r="L317" i="13" s="1"/>
  <c r="K316" i="13"/>
  <c r="L316" i="13" s="1"/>
  <c r="N316" i="13" s="1"/>
  <c r="M316" i="13" s="1"/>
  <c r="K315" i="13"/>
  <c r="L315" i="13" s="1"/>
  <c r="K314" i="13"/>
  <c r="L314" i="13" s="1"/>
  <c r="K313" i="13"/>
  <c r="L313" i="13" s="1"/>
  <c r="K312" i="13"/>
  <c r="L312" i="13" s="1"/>
  <c r="N312" i="13" s="1"/>
  <c r="M312" i="13" s="1"/>
  <c r="K311" i="13"/>
  <c r="L311" i="13" s="1"/>
  <c r="K310" i="13"/>
  <c r="L310" i="13" s="1"/>
  <c r="K309" i="13"/>
  <c r="L309" i="13" s="1"/>
  <c r="K308" i="13"/>
  <c r="L308" i="13" s="1"/>
  <c r="N308" i="13" s="1"/>
  <c r="M308" i="13" s="1"/>
  <c r="K307" i="13"/>
  <c r="L307" i="13" s="1"/>
  <c r="K306" i="13"/>
  <c r="L306" i="13" s="1"/>
  <c r="K305" i="13"/>
  <c r="L305" i="13" s="1"/>
  <c r="K304" i="13"/>
  <c r="L304" i="13" s="1"/>
  <c r="N304" i="13" s="1"/>
  <c r="M304" i="13" s="1"/>
  <c r="K303" i="13"/>
  <c r="L303" i="13" s="1"/>
  <c r="K302" i="13"/>
  <c r="L302" i="13" s="1"/>
  <c r="K301" i="13"/>
  <c r="L301" i="13" s="1"/>
  <c r="K300" i="13"/>
  <c r="L300" i="13" s="1"/>
  <c r="N300" i="13" s="1"/>
  <c r="M300" i="13" s="1"/>
  <c r="K299" i="13"/>
  <c r="L299" i="13" s="1"/>
  <c r="K298" i="13"/>
  <c r="L298" i="13" s="1"/>
  <c r="K297" i="13"/>
  <c r="L297" i="13" s="1"/>
  <c r="K296" i="13"/>
  <c r="L296" i="13" s="1"/>
  <c r="N296" i="13" s="1"/>
  <c r="M296" i="13" s="1"/>
  <c r="K295" i="13"/>
  <c r="L295" i="13" s="1"/>
  <c r="K294" i="13"/>
  <c r="L294" i="13" s="1"/>
  <c r="K293" i="13"/>
  <c r="L293" i="13" s="1"/>
  <c r="K292" i="13"/>
  <c r="L292" i="13" s="1"/>
  <c r="N292" i="13" s="1"/>
  <c r="M292" i="13" s="1"/>
  <c r="K291" i="13"/>
  <c r="L291" i="13" s="1"/>
  <c r="K290" i="13"/>
  <c r="L290" i="13" s="1"/>
  <c r="K289" i="13"/>
  <c r="L289" i="13" s="1"/>
  <c r="K288" i="13"/>
  <c r="L288" i="13" s="1"/>
  <c r="N288" i="13" s="1"/>
  <c r="M288" i="13" s="1"/>
  <c r="K287" i="13"/>
  <c r="L287" i="13" s="1"/>
  <c r="K286" i="13"/>
  <c r="L286" i="13" s="1"/>
  <c r="K285" i="13"/>
  <c r="L285" i="13" s="1"/>
  <c r="K284" i="13"/>
  <c r="L284" i="13" s="1"/>
  <c r="N284" i="13" s="1"/>
  <c r="M284" i="13" s="1"/>
  <c r="K283" i="13"/>
  <c r="L283" i="13" s="1"/>
  <c r="K282" i="13"/>
  <c r="L282" i="13" s="1"/>
  <c r="K281" i="13"/>
  <c r="L281" i="13" s="1"/>
  <c r="K280" i="13"/>
  <c r="L280" i="13" s="1"/>
  <c r="N280" i="13" s="1"/>
  <c r="M280" i="13" s="1"/>
  <c r="K279" i="13"/>
  <c r="L279" i="13" s="1"/>
  <c r="K278" i="13"/>
  <c r="L278" i="13" s="1"/>
  <c r="K277" i="13"/>
  <c r="L277" i="13" s="1"/>
  <c r="K276" i="13"/>
  <c r="L276" i="13" s="1"/>
  <c r="N276" i="13" s="1"/>
  <c r="M276" i="13" s="1"/>
  <c r="K275" i="13"/>
  <c r="L275" i="13" s="1"/>
  <c r="K274" i="13"/>
  <c r="L274" i="13" s="1"/>
  <c r="N274" i="13" s="1"/>
  <c r="M274" i="13" s="1"/>
  <c r="K273" i="13"/>
  <c r="L273" i="13" s="1"/>
  <c r="K272" i="13"/>
  <c r="L272" i="13" s="1"/>
  <c r="K271" i="13"/>
  <c r="L271" i="13" s="1"/>
  <c r="K270" i="13"/>
  <c r="L270" i="13" s="1"/>
  <c r="N270" i="13" s="1"/>
  <c r="M270" i="13" s="1"/>
  <c r="K269" i="13"/>
  <c r="L269" i="13" s="1"/>
  <c r="K268" i="13"/>
  <c r="L268" i="13" s="1"/>
  <c r="K267" i="13"/>
  <c r="L267" i="13" s="1"/>
  <c r="K266" i="13"/>
  <c r="L266" i="13" s="1"/>
  <c r="K265" i="13"/>
  <c r="L265" i="13" s="1"/>
  <c r="N265" i="13" s="1"/>
  <c r="M265" i="13" s="1"/>
  <c r="K264" i="13"/>
  <c r="L264" i="13" s="1"/>
  <c r="K263" i="13"/>
  <c r="L263" i="13" s="1"/>
  <c r="K262" i="13"/>
  <c r="L262" i="13" s="1"/>
  <c r="K261" i="13"/>
  <c r="L261" i="13" s="1"/>
  <c r="N261" i="13" s="1"/>
  <c r="M261" i="13" s="1"/>
  <c r="K260" i="13"/>
  <c r="L260" i="13" s="1"/>
  <c r="K259" i="13"/>
  <c r="L259" i="13" s="1"/>
  <c r="N259" i="13" s="1"/>
  <c r="M259" i="13" s="1"/>
  <c r="K258" i="13"/>
  <c r="L258" i="13" s="1"/>
  <c r="N258" i="13" s="1"/>
  <c r="M258" i="13" s="1"/>
  <c r="K257" i="13"/>
  <c r="L257" i="13" s="1"/>
  <c r="N257" i="13" s="1"/>
  <c r="M257" i="13" s="1"/>
  <c r="K256" i="13"/>
  <c r="L256" i="13" s="1"/>
  <c r="N256" i="13" s="1"/>
  <c r="M256" i="13" s="1"/>
  <c r="O256" i="13" s="1"/>
  <c r="P256" i="13" s="1"/>
  <c r="Q256" i="13" s="1"/>
  <c r="J251" i="13"/>
  <c r="J408" i="13" s="1"/>
  <c r="K250" i="13"/>
  <c r="L250" i="13" s="1"/>
  <c r="K249" i="13"/>
  <c r="L249" i="13" s="1"/>
  <c r="K248" i="13"/>
  <c r="L248" i="13" s="1"/>
  <c r="K247" i="13"/>
  <c r="L247" i="13" s="1"/>
  <c r="K246" i="13"/>
  <c r="L246" i="13" s="1"/>
  <c r="K245" i="13"/>
  <c r="L245" i="13" s="1"/>
  <c r="K244" i="13"/>
  <c r="L244" i="13" s="1"/>
  <c r="K243" i="13"/>
  <c r="L243" i="13" s="1"/>
  <c r="K242" i="13"/>
  <c r="L242" i="13" s="1"/>
  <c r="K239" i="13"/>
  <c r="L239" i="13" s="1"/>
  <c r="N239" i="13" s="1"/>
  <c r="M239" i="13" s="1"/>
  <c r="J239" i="13"/>
  <c r="J240" i="13" s="1"/>
  <c r="K238" i="13"/>
  <c r="L238" i="13" s="1"/>
  <c r="K237" i="13"/>
  <c r="L237" i="13" s="1"/>
  <c r="J235" i="13"/>
  <c r="K234" i="13"/>
  <c r="L234" i="13" s="1"/>
  <c r="N234" i="13" s="1"/>
  <c r="M234" i="13" s="1"/>
  <c r="K233" i="13"/>
  <c r="L233" i="13" s="1"/>
  <c r="N233" i="13" s="1"/>
  <c r="M233" i="13" s="1"/>
  <c r="K232" i="13"/>
  <c r="L232" i="13" s="1"/>
  <c r="N232" i="13" s="1"/>
  <c r="M232" i="13" s="1"/>
  <c r="K231" i="13"/>
  <c r="L231" i="13" s="1"/>
  <c r="N231" i="13" s="1"/>
  <c r="M231" i="13" s="1"/>
  <c r="K230" i="13"/>
  <c r="L230" i="13" s="1"/>
  <c r="N230" i="13" s="1"/>
  <c r="M230" i="13" s="1"/>
  <c r="K229" i="13"/>
  <c r="L229" i="13" s="1"/>
  <c r="N229" i="13" s="1"/>
  <c r="M229" i="13" s="1"/>
  <c r="K228" i="13"/>
  <c r="L228" i="13" s="1"/>
  <c r="N228" i="13" s="1"/>
  <c r="M228" i="13" s="1"/>
  <c r="K227" i="13"/>
  <c r="L227" i="13" s="1"/>
  <c r="N227" i="13" s="1"/>
  <c r="M227" i="13" s="1"/>
  <c r="K226" i="13"/>
  <c r="L226" i="13" s="1"/>
  <c r="N226" i="13" s="1"/>
  <c r="M226" i="13" s="1"/>
  <c r="K225" i="13"/>
  <c r="L225" i="13" s="1"/>
  <c r="N225" i="13" s="1"/>
  <c r="M225" i="13" s="1"/>
  <c r="K224" i="13"/>
  <c r="L224" i="13" s="1"/>
  <c r="N224" i="13" s="1"/>
  <c r="M224" i="13" s="1"/>
  <c r="K223" i="13"/>
  <c r="L223" i="13" s="1"/>
  <c r="N223" i="13" s="1"/>
  <c r="M223" i="13" s="1"/>
  <c r="K222" i="13"/>
  <c r="L222" i="13" s="1"/>
  <c r="N222" i="13" s="1"/>
  <c r="M222" i="13" s="1"/>
  <c r="K221" i="13"/>
  <c r="L221" i="13" s="1"/>
  <c r="N221" i="13" s="1"/>
  <c r="M221" i="13" s="1"/>
  <c r="K220" i="13"/>
  <c r="L220" i="13" s="1"/>
  <c r="N220" i="13" s="1"/>
  <c r="M220" i="13" s="1"/>
  <c r="K219" i="13"/>
  <c r="L219" i="13" s="1"/>
  <c r="N219" i="13" s="1"/>
  <c r="M219" i="13" s="1"/>
  <c r="K218" i="13"/>
  <c r="L218" i="13" s="1"/>
  <c r="N218" i="13" s="1"/>
  <c r="M218" i="13" s="1"/>
  <c r="K217" i="13"/>
  <c r="L217" i="13" s="1"/>
  <c r="N217" i="13" s="1"/>
  <c r="M217" i="13" s="1"/>
  <c r="K216" i="13"/>
  <c r="L216" i="13" s="1"/>
  <c r="N216" i="13" s="1"/>
  <c r="M216" i="13" s="1"/>
  <c r="K215" i="13"/>
  <c r="L215" i="13" s="1"/>
  <c r="N215" i="13" s="1"/>
  <c r="M215" i="13" s="1"/>
  <c r="K214" i="13"/>
  <c r="L214" i="13" s="1"/>
  <c r="N214" i="13" s="1"/>
  <c r="M214" i="13" s="1"/>
  <c r="K213" i="13"/>
  <c r="L213" i="13" s="1"/>
  <c r="N213" i="13" s="1"/>
  <c r="M213" i="13" s="1"/>
  <c r="K212" i="13"/>
  <c r="L212" i="13" s="1"/>
  <c r="N212" i="13" s="1"/>
  <c r="M212" i="13" s="1"/>
  <c r="K211" i="13"/>
  <c r="L211" i="13" s="1"/>
  <c r="N211" i="13" s="1"/>
  <c r="M211" i="13" s="1"/>
  <c r="K210" i="13"/>
  <c r="L210" i="13" s="1"/>
  <c r="N210" i="13" s="1"/>
  <c r="M210" i="13" s="1"/>
  <c r="K209" i="13"/>
  <c r="L209" i="13" s="1"/>
  <c r="N209" i="13" s="1"/>
  <c r="M209" i="13" s="1"/>
  <c r="K208" i="13"/>
  <c r="L208" i="13" s="1"/>
  <c r="N208" i="13" s="1"/>
  <c r="M208" i="13" s="1"/>
  <c r="K207" i="13"/>
  <c r="L207" i="13" s="1"/>
  <c r="N207" i="13" s="1"/>
  <c r="M207" i="13" s="1"/>
  <c r="K206" i="13"/>
  <c r="L206" i="13" s="1"/>
  <c r="N206" i="13" s="1"/>
  <c r="M206" i="13" s="1"/>
  <c r="K205" i="13"/>
  <c r="L205" i="13" s="1"/>
  <c r="N205" i="13" s="1"/>
  <c r="M205" i="13" s="1"/>
  <c r="K204" i="13"/>
  <c r="L204" i="13" s="1"/>
  <c r="N204" i="13" s="1"/>
  <c r="M204" i="13" s="1"/>
  <c r="K203" i="13"/>
  <c r="L203" i="13" s="1"/>
  <c r="N203" i="13" s="1"/>
  <c r="M203" i="13" s="1"/>
  <c r="K202" i="13"/>
  <c r="L202" i="13" s="1"/>
  <c r="N202" i="13" s="1"/>
  <c r="M202" i="13" s="1"/>
  <c r="K201" i="13"/>
  <c r="L201" i="13" s="1"/>
  <c r="N201" i="13" s="1"/>
  <c r="M201" i="13" s="1"/>
  <c r="K200" i="13"/>
  <c r="L200" i="13" s="1"/>
  <c r="N200" i="13" s="1"/>
  <c r="M200" i="13" s="1"/>
  <c r="K199" i="13"/>
  <c r="L199" i="13" s="1"/>
  <c r="K198" i="13"/>
  <c r="L198" i="13" s="1"/>
  <c r="N198" i="13" s="1"/>
  <c r="M198" i="13" s="1"/>
  <c r="K197" i="13"/>
  <c r="L197" i="13" s="1"/>
  <c r="K196" i="13"/>
  <c r="L196" i="13" s="1"/>
  <c r="N196" i="13" s="1"/>
  <c r="M196" i="13" s="1"/>
  <c r="K195" i="13"/>
  <c r="L195" i="13" s="1"/>
  <c r="K194" i="13"/>
  <c r="L194" i="13" s="1"/>
  <c r="N194" i="13" s="1"/>
  <c r="M194" i="13" s="1"/>
  <c r="K193" i="13"/>
  <c r="L193" i="13" s="1"/>
  <c r="K192" i="13"/>
  <c r="L192" i="13" s="1"/>
  <c r="N192" i="13" s="1"/>
  <c r="M192" i="13" s="1"/>
  <c r="K191" i="13"/>
  <c r="L191" i="13" s="1"/>
  <c r="K190" i="13"/>
  <c r="L190" i="13" s="1"/>
  <c r="N190" i="13" s="1"/>
  <c r="M190" i="13" s="1"/>
  <c r="K189" i="13"/>
  <c r="L189" i="13" s="1"/>
  <c r="N188" i="13"/>
  <c r="M188" i="13" s="1"/>
  <c r="K188" i="13"/>
  <c r="L188" i="13" s="1"/>
  <c r="K187" i="13"/>
  <c r="L187" i="13" s="1"/>
  <c r="K186" i="13"/>
  <c r="L186" i="13" s="1"/>
  <c r="N186" i="13" s="1"/>
  <c r="M186" i="13" s="1"/>
  <c r="K185" i="13"/>
  <c r="L185" i="13" s="1"/>
  <c r="K184" i="13"/>
  <c r="L184" i="13" s="1"/>
  <c r="N184" i="13" s="1"/>
  <c r="M184" i="13" s="1"/>
  <c r="K183" i="13"/>
  <c r="L183" i="13" s="1"/>
  <c r="K182" i="13"/>
  <c r="L182" i="13" s="1"/>
  <c r="N182" i="13" s="1"/>
  <c r="M182" i="13" s="1"/>
  <c r="K181" i="13"/>
  <c r="L181" i="13" s="1"/>
  <c r="N180" i="13"/>
  <c r="M180" i="13" s="1"/>
  <c r="K180" i="13"/>
  <c r="L180" i="13" s="1"/>
  <c r="K179" i="13"/>
  <c r="L179" i="13" s="1"/>
  <c r="K178" i="13"/>
  <c r="L178" i="13" s="1"/>
  <c r="N178" i="13" s="1"/>
  <c r="M178" i="13" s="1"/>
  <c r="K177" i="13"/>
  <c r="L177" i="13" s="1"/>
  <c r="J177" i="13"/>
  <c r="K176" i="13"/>
  <c r="L176" i="13" s="1"/>
  <c r="K175" i="13"/>
  <c r="L175" i="13" s="1"/>
  <c r="K174" i="13"/>
  <c r="L174" i="13" s="1"/>
  <c r="K173" i="13"/>
  <c r="L173" i="13" s="1"/>
  <c r="K172" i="13"/>
  <c r="L172" i="13" s="1"/>
  <c r="K171" i="13"/>
  <c r="L171" i="13" s="1"/>
  <c r="K170" i="13"/>
  <c r="L170" i="13" s="1"/>
  <c r="K169" i="13"/>
  <c r="L169" i="13" s="1"/>
  <c r="K168" i="13"/>
  <c r="L168" i="13" s="1"/>
  <c r="K167" i="13"/>
  <c r="K166" i="13"/>
  <c r="J166" i="13"/>
  <c r="K165" i="13"/>
  <c r="L165" i="13" s="1"/>
  <c r="N165" i="13" s="1"/>
  <c r="M165" i="13" s="1"/>
  <c r="O165" i="13" s="1"/>
  <c r="P165" i="13" s="1"/>
  <c r="Q165" i="13" s="1"/>
  <c r="K164" i="13"/>
  <c r="L164" i="13" s="1"/>
  <c r="K163" i="13"/>
  <c r="L163" i="13" s="1"/>
  <c r="N163" i="13" s="1"/>
  <c r="M163" i="13" s="1"/>
  <c r="O163" i="13" s="1"/>
  <c r="P163" i="13" s="1"/>
  <c r="Q163" i="13" s="1"/>
  <c r="K162" i="13"/>
  <c r="L162" i="13" s="1"/>
  <c r="K161" i="13"/>
  <c r="L161" i="13" s="1"/>
  <c r="N161" i="13" s="1"/>
  <c r="M161" i="13" s="1"/>
  <c r="O161" i="13" s="1"/>
  <c r="P161" i="13" s="1"/>
  <c r="Q161" i="13" s="1"/>
  <c r="K160" i="13"/>
  <c r="L160" i="13" s="1"/>
  <c r="K159" i="13"/>
  <c r="L159" i="13" s="1"/>
  <c r="N159" i="13" s="1"/>
  <c r="M159" i="13" s="1"/>
  <c r="O159" i="13" s="1"/>
  <c r="P159" i="13" s="1"/>
  <c r="Q159" i="13" s="1"/>
  <c r="K158" i="13"/>
  <c r="L158" i="13" s="1"/>
  <c r="K157" i="13"/>
  <c r="L157" i="13" s="1"/>
  <c r="N157" i="13" s="1"/>
  <c r="M157" i="13" s="1"/>
  <c r="O157" i="13" s="1"/>
  <c r="P157" i="13" s="1"/>
  <c r="Q157" i="13" s="1"/>
  <c r="K156" i="13"/>
  <c r="L156" i="13" s="1"/>
  <c r="K155" i="13"/>
  <c r="L155" i="13" s="1"/>
  <c r="N155" i="13" s="1"/>
  <c r="M155" i="13" s="1"/>
  <c r="O155" i="13" s="1"/>
  <c r="P155" i="13" s="1"/>
  <c r="Q155" i="13" s="1"/>
  <c r="K154" i="13"/>
  <c r="L154" i="13" s="1"/>
  <c r="K153" i="13"/>
  <c r="L153" i="13" s="1"/>
  <c r="N153" i="13" s="1"/>
  <c r="M153" i="13" s="1"/>
  <c r="O153" i="13" s="1"/>
  <c r="P153" i="13" s="1"/>
  <c r="Q153" i="13" s="1"/>
  <c r="K152" i="13"/>
  <c r="L152" i="13" s="1"/>
  <c r="K151" i="13"/>
  <c r="L151" i="13" s="1"/>
  <c r="N151" i="13" s="1"/>
  <c r="M151" i="13" s="1"/>
  <c r="K150" i="13"/>
  <c r="L150" i="13" s="1"/>
  <c r="N150" i="13" s="1"/>
  <c r="M150" i="13" s="1"/>
  <c r="K149" i="13"/>
  <c r="L149" i="13" s="1"/>
  <c r="N149" i="13" s="1"/>
  <c r="M149" i="13" s="1"/>
  <c r="K148" i="13"/>
  <c r="L148" i="13" s="1"/>
  <c r="N148" i="13" s="1"/>
  <c r="M148" i="13" s="1"/>
  <c r="K147" i="13"/>
  <c r="L147" i="13" s="1"/>
  <c r="N147" i="13" s="1"/>
  <c r="M147" i="13" s="1"/>
  <c r="K146" i="13"/>
  <c r="L146" i="13" s="1"/>
  <c r="N146" i="13" s="1"/>
  <c r="M146" i="13" s="1"/>
  <c r="K145" i="13"/>
  <c r="L145" i="13" s="1"/>
  <c r="N145" i="13" s="1"/>
  <c r="M145" i="13" s="1"/>
  <c r="K144" i="13"/>
  <c r="L144" i="13" s="1"/>
  <c r="N144" i="13" s="1"/>
  <c r="M144" i="13" s="1"/>
  <c r="K143" i="13"/>
  <c r="L143" i="13" s="1"/>
  <c r="N143" i="13" s="1"/>
  <c r="M143" i="13" s="1"/>
  <c r="L142" i="13"/>
  <c r="N142" i="13" s="1"/>
  <c r="M142" i="13" s="1"/>
  <c r="K142" i="13"/>
  <c r="K141" i="13"/>
  <c r="L141" i="13" s="1"/>
  <c r="N141" i="13" s="1"/>
  <c r="M141" i="13" s="1"/>
  <c r="K140" i="13"/>
  <c r="L140" i="13" s="1"/>
  <c r="N140" i="13" s="1"/>
  <c r="M140" i="13" s="1"/>
  <c r="K139" i="13"/>
  <c r="L139" i="13" s="1"/>
  <c r="N139" i="13" s="1"/>
  <c r="M139" i="13" s="1"/>
  <c r="K138" i="13"/>
  <c r="L138" i="13" s="1"/>
  <c r="N138" i="13" s="1"/>
  <c r="M138" i="13" s="1"/>
  <c r="K137" i="13"/>
  <c r="L137" i="13" s="1"/>
  <c r="N137" i="13" s="1"/>
  <c r="M137" i="13" s="1"/>
  <c r="K136" i="13"/>
  <c r="L136" i="13" s="1"/>
  <c r="N136" i="13" s="1"/>
  <c r="M136" i="13" s="1"/>
  <c r="K135" i="13"/>
  <c r="L135" i="13" s="1"/>
  <c r="N135" i="13" s="1"/>
  <c r="M135" i="13" s="1"/>
  <c r="K134" i="13"/>
  <c r="L134" i="13" s="1"/>
  <c r="N134" i="13" s="1"/>
  <c r="M134" i="13" s="1"/>
  <c r="K133" i="13"/>
  <c r="L133" i="13" s="1"/>
  <c r="N133" i="13" s="1"/>
  <c r="M133" i="13" s="1"/>
  <c r="K132" i="13"/>
  <c r="L132" i="13" s="1"/>
  <c r="N132" i="13" s="1"/>
  <c r="M132" i="13" s="1"/>
  <c r="K131" i="13"/>
  <c r="L131" i="13" s="1"/>
  <c r="N131" i="13" s="1"/>
  <c r="M131" i="13" s="1"/>
  <c r="K130" i="13"/>
  <c r="L130" i="13" s="1"/>
  <c r="N130" i="13" s="1"/>
  <c r="M130" i="13" s="1"/>
  <c r="K129" i="13"/>
  <c r="L129" i="13" s="1"/>
  <c r="N129" i="13" s="1"/>
  <c r="M129" i="13" s="1"/>
  <c r="K128" i="13"/>
  <c r="L128" i="13" s="1"/>
  <c r="N128" i="13" s="1"/>
  <c r="M128" i="13" s="1"/>
  <c r="K127" i="13"/>
  <c r="L127" i="13" s="1"/>
  <c r="N127" i="13" s="1"/>
  <c r="M127" i="13" s="1"/>
  <c r="K126" i="13"/>
  <c r="L126" i="13" s="1"/>
  <c r="N126" i="13" s="1"/>
  <c r="M126" i="13" s="1"/>
  <c r="K125" i="13"/>
  <c r="L125" i="13" s="1"/>
  <c r="N125" i="13" s="1"/>
  <c r="M125" i="13" s="1"/>
  <c r="K124" i="13"/>
  <c r="L124" i="13" s="1"/>
  <c r="N124" i="13" s="1"/>
  <c r="M124" i="13" s="1"/>
  <c r="K123" i="13"/>
  <c r="L123" i="13" s="1"/>
  <c r="N123" i="13" s="1"/>
  <c r="M123" i="13" s="1"/>
  <c r="K122" i="13"/>
  <c r="L122" i="13" s="1"/>
  <c r="N122" i="13" s="1"/>
  <c r="M122" i="13" s="1"/>
  <c r="K121" i="13"/>
  <c r="L121" i="13" s="1"/>
  <c r="N121" i="13" s="1"/>
  <c r="M121" i="13" s="1"/>
  <c r="K120" i="13"/>
  <c r="L120" i="13" s="1"/>
  <c r="N120" i="13" s="1"/>
  <c r="M120" i="13" s="1"/>
  <c r="K119" i="13"/>
  <c r="L119" i="13" s="1"/>
  <c r="N119" i="13" s="1"/>
  <c r="M119" i="13" s="1"/>
  <c r="K118" i="13"/>
  <c r="L118" i="13" s="1"/>
  <c r="N118" i="13" s="1"/>
  <c r="M118" i="13" s="1"/>
  <c r="K117" i="13"/>
  <c r="L117" i="13" s="1"/>
  <c r="N117" i="13" s="1"/>
  <c r="M117" i="13" s="1"/>
  <c r="K116" i="13"/>
  <c r="L116" i="13" s="1"/>
  <c r="N116" i="13" s="1"/>
  <c r="M116" i="13" s="1"/>
  <c r="K115" i="13"/>
  <c r="L115" i="13" s="1"/>
  <c r="N115" i="13" s="1"/>
  <c r="M115" i="13" s="1"/>
  <c r="K114" i="13"/>
  <c r="L114" i="13" s="1"/>
  <c r="N114" i="13" s="1"/>
  <c r="M114" i="13" s="1"/>
  <c r="K113" i="13"/>
  <c r="L113" i="13" s="1"/>
  <c r="N113" i="13" s="1"/>
  <c r="M113" i="13" s="1"/>
  <c r="K112" i="13"/>
  <c r="L112" i="13" s="1"/>
  <c r="N112" i="13" s="1"/>
  <c r="M112" i="13" s="1"/>
  <c r="J107" i="13"/>
  <c r="K106" i="13"/>
  <c r="L106" i="13" s="1"/>
  <c r="K105" i="13"/>
  <c r="L105" i="13" s="1"/>
  <c r="N105" i="13" s="1"/>
  <c r="M105" i="13" s="1"/>
  <c r="J103" i="13"/>
  <c r="K102" i="13"/>
  <c r="L102" i="13" s="1"/>
  <c r="I102" i="13"/>
  <c r="K101" i="13"/>
  <c r="L101" i="13" s="1"/>
  <c r="I101" i="13"/>
  <c r="K100" i="13"/>
  <c r="L100" i="13" s="1"/>
  <c r="J98" i="13"/>
  <c r="K97" i="13"/>
  <c r="L97" i="13" s="1"/>
  <c r="I97" i="13"/>
  <c r="K91" i="13"/>
  <c r="L91" i="13" s="1"/>
  <c r="K90" i="13"/>
  <c r="L90" i="13" s="1"/>
  <c r="K89" i="13"/>
  <c r="L89" i="13" s="1"/>
  <c r="K88" i="13"/>
  <c r="L88" i="13" s="1"/>
  <c r="J88" i="13"/>
  <c r="K87" i="13"/>
  <c r="L87" i="13" s="1"/>
  <c r="J87" i="13"/>
  <c r="K86" i="13"/>
  <c r="L86" i="13" s="1"/>
  <c r="K85" i="13"/>
  <c r="L85" i="13" s="1"/>
  <c r="N85" i="13" s="1"/>
  <c r="M85" i="13" s="1"/>
  <c r="J85" i="13"/>
  <c r="K82" i="13"/>
  <c r="L82" i="13" s="1"/>
  <c r="N82" i="13" s="1"/>
  <c r="M82" i="13" s="1"/>
  <c r="O82" i="13" s="1"/>
  <c r="P82" i="13" s="1"/>
  <c r="Q82" i="13" s="1"/>
  <c r="K81" i="13"/>
  <c r="L81" i="13" s="1"/>
  <c r="K80" i="13"/>
  <c r="L80" i="13" s="1"/>
  <c r="N80" i="13" s="1"/>
  <c r="M80" i="13" s="1"/>
  <c r="K79" i="13"/>
  <c r="L79" i="13" s="1"/>
  <c r="N79" i="13" s="1"/>
  <c r="M79" i="13" s="1"/>
  <c r="O79" i="13" s="1"/>
  <c r="P79" i="13" s="1"/>
  <c r="Q79" i="13" s="1"/>
  <c r="K78" i="13"/>
  <c r="L78" i="13" s="1"/>
  <c r="N78" i="13" s="1"/>
  <c r="M78" i="13" s="1"/>
  <c r="O78" i="13" s="1"/>
  <c r="J78" i="13"/>
  <c r="J83" i="13" s="1"/>
  <c r="K77" i="13"/>
  <c r="L77" i="13" s="1"/>
  <c r="N77" i="13" s="1"/>
  <c r="M77" i="13" s="1"/>
  <c r="K76" i="13"/>
  <c r="L76" i="13" s="1"/>
  <c r="N76" i="13" s="1"/>
  <c r="M76" i="13" s="1"/>
  <c r="K75" i="13"/>
  <c r="L75" i="13" s="1"/>
  <c r="N75" i="13" s="1"/>
  <c r="M75" i="13" s="1"/>
  <c r="K74" i="13"/>
  <c r="L74" i="13" s="1"/>
  <c r="K73" i="13"/>
  <c r="L73" i="13" s="1"/>
  <c r="K72" i="13"/>
  <c r="L72" i="13" s="1"/>
  <c r="K71" i="13"/>
  <c r="L71" i="13" s="1"/>
  <c r="K70" i="13"/>
  <c r="L70" i="13" s="1"/>
  <c r="K69" i="13"/>
  <c r="L69" i="13" s="1"/>
  <c r="K68" i="13"/>
  <c r="L68" i="13" s="1"/>
  <c r="K67" i="13"/>
  <c r="L67" i="13" s="1"/>
  <c r="K66" i="13"/>
  <c r="L66" i="13" s="1"/>
  <c r="K65" i="13"/>
  <c r="L65" i="13" s="1"/>
  <c r="K64" i="13"/>
  <c r="L64" i="13" s="1"/>
  <c r="K63" i="13"/>
  <c r="L63" i="13" s="1"/>
  <c r="K60" i="13"/>
  <c r="L60" i="13" s="1"/>
  <c r="K59" i="13"/>
  <c r="L59" i="13" s="1"/>
  <c r="N59" i="13" s="1"/>
  <c r="M59" i="13" s="1"/>
  <c r="O59" i="13" s="1"/>
  <c r="J59" i="13"/>
  <c r="J61" i="13" s="1"/>
  <c r="K58" i="13"/>
  <c r="L58" i="13" s="1"/>
  <c r="N58" i="13" s="1"/>
  <c r="M58" i="13" s="1"/>
  <c r="K57" i="13"/>
  <c r="L57" i="13" s="1"/>
  <c r="K56" i="13"/>
  <c r="L56" i="13" s="1"/>
  <c r="K55" i="13"/>
  <c r="L55" i="13" s="1"/>
  <c r="K54" i="13"/>
  <c r="L54" i="13" s="1"/>
  <c r="N54" i="13" s="1"/>
  <c r="M54" i="13" s="1"/>
  <c r="K53" i="13"/>
  <c r="L53" i="13" s="1"/>
  <c r="K52" i="13"/>
  <c r="L52" i="13" s="1"/>
  <c r="K51" i="13"/>
  <c r="L51" i="13" s="1"/>
  <c r="J46" i="13"/>
  <c r="K45" i="13"/>
  <c r="L45" i="13" s="1"/>
  <c r="K44" i="13"/>
  <c r="L44" i="13" s="1"/>
  <c r="K43" i="13"/>
  <c r="L43" i="13" s="1"/>
  <c r="N43" i="13" s="1"/>
  <c r="M43" i="13" s="1"/>
  <c r="O43" i="13" s="1"/>
  <c r="P43" i="13" s="1"/>
  <c r="Q43" i="13" s="1"/>
  <c r="L42" i="13"/>
  <c r="K42" i="13"/>
  <c r="K41" i="13"/>
  <c r="L41" i="13" s="1"/>
  <c r="N41" i="13" s="1"/>
  <c r="M41" i="13" s="1"/>
  <c r="O41" i="13" s="1"/>
  <c r="P41" i="13" s="1"/>
  <c r="Q41" i="13" s="1"/>
  <c r="K40" i="13"/>
  <c r="L40" i="13" s="1"/>
  <c r="K39" i="13"/>
  <c r="L39" i="13" s="1"/>
  <c r="N39" i="13" s="1"/>
  <c r="M39" i="13" s="1"/>
  <c r="O39" i="13" s="1"/>
  <c r="P39" i="13" s="1"/>
  <c r="Q39" i="13" s="1"/>
  <c r="K38" i="13"/>
  <c r="L38" i="13" s="1"/>
  <c r="K37" i="13"/>
  <c r="L37" i="13" s="1"/>
  <c r="N37" i="13" s="1"/>
  <c r="M37" i="13" s="1"/>
  <c r="O37" i="13" s="1"/>
  <c r="P37" i="13" s="1"/>
  <c r="Q37" i="13" s="1"/>
  <c r="K36" i="13"/>
  <c r="L36" i="13" s="1"/>
  <c r="K35" i="13"/>
  <c r="L35" i="13" s="1"/>
  <c r="N35" i="13" s="1"/>
  <c r="M35" i="13" s="1"/>
  <c r="O35" i="13" s="1"/>
  <c r="P35" i="13" s="1"/>
  <c r="Q35" i="13" s="1"/>
  <c r="K34" i="13"/>
  <c r="L34" i="13" s="1"/>
  <c r="K33" i="13"/>
  <c r="L33" i="13" s="1"/>
  <c r="N33" i="13" s="1"/>
  <c r="M33" i="13" s="1"/>
  <c r="O33" i="13" s="1"/>
  <c r="P33" i="13" s="1"/>
  <c r="Q33" i="13" s="1"/>
  <c r="J31" i="13"/>
  <c r="K30" i="13"/>
  <c r="L30" i="13" s="1"/>
  <c r="K29" i="13"/>
  <c r="L29" i="13" s="1"/>
  <c r="K28" i="13"/>
  <c r="L28" i="13" s="1"/>
  <c r="K27" i="13"/>
  <c r="L27" i="13" s="1"/>
  <c r="K26" i="13"/>
  <c r="L26" i="13" s="1"/>
  <c r="J24" i="13"/>
  <c r="J47" i="13" s="1"/>
  <c r="K23" i="13"/>
  <c r="L23" i="13" s="1"/>
  <c r="N23" i="13" s="1"/>
  <c r="M23" i="13" s="1"/>
  <c r="O23" i="13" s="1"/>
  <c r="P23" i="13" s="1"/>
  <c r="Q23" i="13" s="1"/>
  <c r="K22" i="13"/>
  <c r="L22" i="13" s="1"/>
  <c r="K21" i="13"/>
  <c r="L21" i="13" s="1"/>
  <c r="N21" i="13" s="1"/>
  <c r="M21" i="13" s="1"/>
  <c r="O21" i="13" s="1"/>
  <c r="P21" i="13" s="1"/>
  <c r="Q21" i="13" s="1"/>
  <c r="K20" i="13"/>
  <c r="L20" i="13" s="1"/>
  <c r="K19" i="13"/>
  <c r="L19" i="13" s="1"/>
  <c r="N19" i="13" s="1"/>
  <c r="M19" i="13" s="1"/>
  <c r="O19" i="13" s="1"/>
  <c r="P19" i="13" s="1"/>
  <c r="Q19" i="13" s="1"/>
  <c r="K18" i="13"/>
  <c r="L18" i="13" s="1"/>
  <c r="K17" i="13"/>
  <c r="L17" i="13" s="1"/>
  <c r="N17" i="13" s="1"/>
  <c r="M17" i="13" s="1"/>
  <c r="O17" i="13" s="1"/>
  <c r="P17" i="13" s="1"/>
  <c r="Q17" i="13" s="1"/>
  <c r="L16" i="13"/>
  <c r="K16" i="13"/>
  <c r="K15" i="13"/>
  <c r="L15" i="13" s="1"/>
  <c r="N15" i="13" s="1"/>
  <c r="M15" i="13" s="1"/>
  <c r="O15" i="13" s="1"/>
  <c r="P15" i="13" s="1"/>
  <c r="Q15" i="13" s="1"/>
  <c r="K14" i="13"/>
  <c r="L14" i="13" s="1"/>
  <c r="K13" i="13"/>
  <c r="L13" i="13" s="1"/>
  <c r="N13" i="13" s="1"/>
  <c r="M13" i="13" s="1"/>
  <c r="O13" i="13" s="1"/>
  <c r="P13" i="13" s="1"/>
  <c r="Q13" i="13" s="1"/>
  <c r="K12" i="13"/>
  <c r="L12" i="13" s="1"/>
  <c r="K11" i="13"/>
  <c r="L11" i="13" s="1"/>
  <c r="N11" i="13" s="1"/>
  <c r="M11" i="13" s="1"/>
  <c r="O11" i="13" s="1"/>
  <c r="P11" i="13" s="1"/>
  <c r="Q11" i="13" s="1"/>
  <c r="K10" i="13"/>
  <c r="L10" i="13" s="1"/>
  <c r="K9" i="13"/>
  <c r="L9" i="13" s="1"/>
  <c r="N9" i="13" s="1"/>
  <c r="M9" i="13" s="1"/>
  <c r="O9" i="13" s="1"/>
  <c r="P9" i="13" s="1"/>
  <c r="Q9" i="13" s="1"/>
  <c r="N81" i="13" l="1"/>
  <c r="M81" i="13" s="1"/>
  <c r="O81" i="13" s="1"/>
  <c r="P81" i="13" s="1"/>
  <c r="Q81" i="13" s="1"/>
  <c r="O141" i="13"/>
  <c r="P141" i="13" s="1"/>
  <c r="Q141" i="13" s="1"/>
  <c r="J108" i="13"/>
  <c r="O125" i="13"/>
  <c r="P125" i="13" s="1"/>
  <c r="Q125" i="13" s="1"/>
  <c r="P78" i="13"/>
  <c r="Q78" i="13" s="1"/>
  <c r="J92" i="13"/>
  <c r="J93" i="13" s="1"/>
  <c r="P59" i="13"/>
  <c r="Q59" i="13" s="1"/>
  <c r="O133" i="13"/>
  <c r="P133" i="13" s="1"/>
  <c r="Q133" i="13" s="1"/>
  <c r="N393" i="13"/>
  <c r="M393" i="13" s="1"/>
  <c r="O393" i="13" s="1"/>
  <c r="P393" i="13" s="1"/>
  <c r="Q393" i="13" s="1"/>
  <c r="N400" i="13"/>
  <c r="M400" i="13" s="1"/>
  <c r="O400" i="13" s="1"/>
  <c r="P400" i="13" s="1"/>
  <c r="Q400" i="13" s="1"/>
  <c r="N394" i="13"/>
  <c r="M394" i="13" s="1"/>
  <c r="O394" i="13" s="1"/>
  <c r="P394" i="13" s="1"/>
  <c r="Q394" i="13" s="1"/>
  <c r="R394" i="13" s="1"/>
  <c r="S394" i="13" s="1"/>
  <c r="N401" i="13"/>
  <c r="M401" i="13" s="1"/>
  <c r="O401" i="13"/>
  <c r="P401" i="13" s="1"/>
  <c r="Q401" i="13" s="1"/>
  <c r="N268" i="13"/>
  <c r="M268" i="13" s="1"/>
  <c r="O268" i="13" s="1"/>
  <c r="P268" i="13" s="1"/>
  <c r="Q268" i="13" s="1"/>
  <c r="N395" i="13"/>
  <c r="M395" i="13" s="1"/>
  <c r="O395" i="13" s="1"/>
  <c r="P395" i="13" s="1"/>
  <c r="Q395" i="13" s="1"/>
  <c r="R395" i="13" s="1"/>
  <c r="S395" i="13" s="1"/>
  <c r="N402" i="13"/>
  <c r="M402" i="13" s="1"/>
  <c r="O402" i="13" s="1"/>
  <c r="P402" i="13" s="1"/>
  <c r="Q402" i="13" s="1"/>
  <c r="N385" i="13"/>
  <c r="M385" i="13" s="1"/>
  <c r="O385" i="13" s="1"/>
  <c r="P385" i="13" s="1"/>
  <c r="Q385" i="13" s="1"/>
  <c r="R385" i="13" s="1"/>
  <c r="S385" i="13" s="1"/>
  <c r="J407" i="13"/>
  <c r="N101" i="13"/>
  <c r="M101" i="13" s="1"/>
  <c r="O101" i="13" s="1"/>
  <c r="P101" i="13" s="1"/>
  <c r="Q101" i="13" s="1"/>
  <c r="R101" i="13" s="1"/>
  <c r="O258" i="13"/>
  <c r="P258" i="13" s="1"/>
  <c r="Q258" i="13" s="1"/>
  <c r="O332" i="13"/>
  <c r="P332" i="13" s="1"/>
  <c r="Q332" i="13" s="1"/>
  <c r="O353" i="13"/>
  <c r="P353" i="13" s="1"/>
  <c r="Q353" i="13" s="1"/>
  <c r="R353" i="13" s="1"/>
  <c r="S353" i="13" s="1"/>
  <c r="O387" i="13"/>
  <c r="P387" i="13" s="1"/>
  <c r="Q387" i="13" s="1"/>
  <c r="R387" i="13" s="1"/>
  <c r="S387" i="13" s="1"/>
  <c r="J406" i="13"/>
  <c r="O117" i="13"/>
  <c r="P117" i="13" s="1"/>
  <c r="Q117" i="13" s="1"/>
  <c r="R117" i="13" s="1"/>
  <c r="S117" i="13" s="1"/>
  <c r="O149" i="13"/>
  <c r="P149" i="13" s="1"/>
  <c r="Q149" i="13" s="1"/>
  <c r="N272" i="13"/>
  <c r="M272" i="13" s="1"/>
  <c r="O272" i="13" s="1"/>
  <c r="P272" i="13" s="1"/>
  <c r="Q272" i="13" s="1"/>
  <c r="N278" i="13"/>
  <c r="M278" i="13" s="1"/>
  <c r="O278" i="13" s="1"/>
  <c r="P278" i="13" s="1"/>
  <c r="Q278" i="13" s="1"/>
  <c r="R278" i="13" s="1"/>
  <c r="S278" i="13" s="1"/>
  <c r="O328" i="13"/>
  <c r="P328" i="13" s="1"/>
  <c r="Q328" i="13" s="1"/>
  <c r="O345" i="13"/>
  <c r="P345" i="13" s="1"/>
  <c r="Q345" i="13" s="1"/>
  <c r="R9" i="13"/>
  <c r="R17" i="13"/>
  <c r="S17" i="13" s="1"/>
  <c r="N51" i="13"/>
  <c r="M51" i="13" s="1"/>
  <c r="O51" i="13" s="1"/>
  <c r="P51" i="13" s="1"/>
  <c r="Q51" i="13" s="1"/>
  <c r="N53" i="13"/>
  <c r="M53" i="13" s="1"/>
  <c r="O53" i="13" s="1"/>
  <c r="P53" i="13" s="1"/>
  <c r="Q53" i="13" s="1"/>
  <c r="N55" i="13"/>
  <c r="M55" i="13" s="1"/>
  <c r="O55" i="13" s="1"/>
  <c r="P55" i="13" s="1"/>
  <c r="Q55" i="13" s="1"/>
  <c r="N57" i="13"/>
  <c r="M57" i="13" s="1"/>
  <c r="O57" i="13" s="1"/>
  <c r="P57" i="13" s="1"/>
  <c r="Q57" i="13" s="1"/>
  <c r="N91" i="13"/>
  <c r="M91" i="13" s="1"/>
  <c r="O91" i="13" s="1"/>
  <c r="P91" i="13" s="1"/>
  <c r="Q91" i="13" s="1"/>
  <c r="R11" i="13"/>
  <c r="S11" i="13" s="1"/>
  <c r="R19" i="13"/>
  <c r="S19" i="13" s="1"/>
  <c r="R33" i="13"/>
  <c r="R37" i="13"/>
  <c r="S37" i="13" s="1"/>
  <c r="R41" i="13"/>
  <c r="S41" i="13" s="1"/>
  <c r="R13" i="13"/>
  <c r="S13" i="13" s="1"/>
  <c r="R21" i="13"/>
  <c r="S21" i="13" s="1"/>
  <c r="R59" i="13"/>
  <c r="S59" i="13" s="1"/>
  <c r="R79" i="13"/>
  <c r="S79" i="13" s="1"/>
  <c r="R15" i="13"/>
  <c r="S15" i="13" s="1"/>
  <c r="R23" i="13"/>
  <c r="S23" i="13" s="1"/>
  <c r="R35" i="13"/>
  <c r="S35" i="13" s="1"/>
  <c r="R39" i="13"/>
  <c r="S39" i="13" s="1"/>
  <c r="R43" i="13"/>
  <c r="S43" i="13" s="1"/>
  <c r="R78" i="13"/>
  <c r="S78" i="13" s="1"/>
  <c r="R82" i="13"/>
  <c r="S82" i="13" s="1"/>
  <c r="N26" i="13"/>
  <c r="M26" i="13" s="1"/>
  <c r="O26" i="13" s="1"/>
  <c r="P26" i="13" s="1"/>
  <c r="Q26" i="13" s="1"/>
  <c r="N28" i="13"/>
  <c r="M28" i="13" s="1"/>
  <c r="O28" i="13" s="1"/>
  <c r="P28" i="13" s="1"/>
  <c r="Q28" i="13" s="1"/>
  <c r="N30" i="13"/>
  <c r="M30" i="13" s="1"/>
  <c r="O30" i="13" s="1"/>
  <c r="P30" i="13" s="1"/>
  <c r="Q30" i="13" s="1"/>
  <c r="N74" i="13"/>
  <c r="M74" i="13" s="1"/>
  <c r="O74" i="13" s="1"/>
  <c r="P74" i="13" s="1"/>
  <c r="Q74" i="13" s="1"/>
  <c r="N87" i="13"/>
  <c r="M87" i="13" s="1"/>
  <c r="O87" i="13" s="1"/>
  <c r="P87" i="13" s="1"/>
  <c r="Q87" i="13" s="1"/>
  <c r="N10" i="13"/>
  <c r="M10" i="13" s="1"/>
  <c r="O10" i="13" s="1"/>
  <c r="P10" i="13" s="1"/>
  <c r="Q10" i="13" s="1"/>
  <c r="N12" i="13"/>
  <c r="M12" i="13" s="1"/>
  <c r="O12" i="13" s="1"/>
  <c r="P12" i="13" s="1"/>
  <c r="Q12" i="13" s="1"/>
  <c r="N14" i="13"/>
  <c r="M14" i="13" s="1"/>
  <c r="O14" i="13" s="1"/>
  <c r="P14" i="13" s="1"/>
  <c r="Q14" i="13" s="1"/>
  <c r="N16" i="13"/>
  <c r="M16" i="13" s="1"/>
  <c r="O16" i="13" s="1"/>
  <c r="P16" i="13" s="1"/>
  <c r="Q16" i="13" s="1"/>
  <c r="N18" i="13"/>
  <c r="M18" i="13" s="1"/>
  <c r="O18" i="13" s="1"/>
  <c r="P18" i="13" s="1"/>
  <c r="Q18" i="13" s="1"/>
  <c r="N20" i="13"/>
  <c r="M20" i="13" s="1"/>
  <c r="O20" i="13" s="1"/>
  <c r="P20" i="13" s="1"/>
  <c r="Q20" i="13" s="1"/>
  <c r="N22" i="13"/>
  <c r="M22" i="13" s="1"/>
  <c r="O22" i="13" s="1"/>
  <c r="P22" i="13" s="1"/>
  <c r="Q22" i="13" s="1"/>
  <c r="N90" i="13"/>
  <c r="M90" i="13" s="1"/>
  <c r="O90" i="13" s="1"/>
  <c r="P90" i="13" s="1"/>
  <c r="Q90" i="13" s="1"/>
  <c r="O115" i="13"/>
  <c r="P115" i="13" s="1"/>
  <c r="Q115" i="13" s="1"/>
  <c r="O123" i="13"/>
  <c r="P123" i="13" s="1"/>
  <c r="Q123" i="13" s="1"/>
  <c r="O131" i="13"/>
  <c r="P131" i="13" s="1"/>
  <c r="Q131" i="13" s="1"/>
  <c r="O139" i="13"/>
  <c r="P139" i="13" s="1"/>
  <c r="Q139" i="13" s="1"/>
  <c r="O147" i="13"/>
  <c r="P147" i="13" s="1"/>
  <c r="Q147" i="13" s="1"/>
  <c r="R155" i="13"/>
  <c r="S155" i="13" s="1"/>
  <c r="R163" i="13"/>
  <c r="S163" i="13" s="1"/>
  <c r="N169" i="13"/>
  <c r="M169" i="13" s="1"/>
  <c r="O169" i="13" s="1"/>
  <c r="P169" i="13" s="1"/>
  <c r="Q169" i="13" s="1"/>
  <c r="N173" i="13"/>
  <c r="M173" i="13" s="1"/>
  <c r="O173" i="13" s="1"/>
  <c r="P173" i="13" s="1"/>
  <c r="Q173" i="13" s="1"/>
  <c r="N177" i="13"/>
  <c r="M177" i="13" s="1"/>
  <c r="O177" i="13" s="1"/>
  <c r="P177" i="13" s="1"/>
  <c r="Q177" i="13" s="1"/>
  <c r="N181" i="13"/>
  <c r="M181" i="13" s="1"/>
  <c r="O181" i="13"/>
  <c r="P181" i="13" s="1"/>
  <c r="Q181" i="13" s="1"/>
  <c r="N185" i="13"/>
  <c r="M185" i="13" s="1"/>
  <c r="O185" i="13" s="1"/>
  <c r="P185" i="13" s="1"/>
  <c r="Q185" i="13" s="1"/>
  <c r="N189" i="13"/>
  <c r="M189" i="13" s="1"/>
  <c r="O189" i="13" s="1"/>
  <c r="P189" i="13" s="1"/>
  <c r="Q189" i="13" s="1"/>
  <c r="N193" i="13"/>
  <c r="M193" i="13" s="1"/>
  <c r="O193" i="13" s="1"/>
  <c r="P193" i="13" s="1"/>
  <c r="Q193" i="13" s="1"/>
  <c r="N197" i="13"/>
  <c r="M197" i="13" s="1"/>
  <c r="O197" i="13" s="1"/>
  <c r="P197" i="13" s="1"/>
  <c r="Q197" i="13" s="1"/>
  <c r="N249" i="13"/>
  <c r="M249" i="13" s="1"/>
  <c r="O249" i="13" s="1"/>
  <c r="P249" i="13" s="1"/>
  <c r="Q249" i="13" s="1"/>
  <c r="N283" i="13"/>
  <c r="M283" i="13" s="1"/>
  <c r="O283" i="13" s="1"/>
  <c r="P283" i="13" s="1"/>
  <c r="Q283" i="13" s="1"/>
  <c r="N286" i="13"/>
  <c r="M286" i="13" s="1"/>
  <c r="O286" i="13" s="1"/>
  <c r="P286" i="13" s="1"/>
  <c r="Q286" i="13" s="1"/>
  <c r="N299" i="13"/>
  <c r="M299" i="13" s="1"/>
  <c r="O299" i="13" s="1"/>
  <c r="P299" i="13" s="1"/>
  <c r="Q299" i="13" s="1"/>
  <c r="N302" i="13"/>
  <c r="M302" i="13" s="1"/>
  <c r="O302" i="13" s="1"/>
  <c r="P302" i="13" s="1"/>
  <c r="Q302" i="13" s="1"/>
  <c r="N315" i="13"/>
  <c r="M315" i="13" s="1"/>
  <c r="O315" i="13" s="1"/>
  <c r="P315" i="13" s="1"/>
  <c r="Q315" i="13" s="1"/>
  <c r="N318" i="13"/>
  <c r="M318" i="13" s="1"/>
  <c r="O318" i="13" s="1"/>
  <c r="P318" i="13" s="1"/>
  <c r="Q318" i="13" s="1"/>
  <c r="R328" i="13"/>
  <c r="S328" i="13" s="1"/>
  <c r="R401" i="13"/>
  <c r="S401" i="13" s="1"/>
  <c r="N27" i="13"/>
  <c r="M27" i="13" s="1"/>
  <c r="O27" i="13" s="1"/>
  <c r="P27" i="13" s="1"/>
  <c r="Q27" i="13" s="1"/>
  <c r="N29" i="13"/>
  <c r="M29" i="13" s="1"/>
  <c r="O29" i="13" s="1"/>
  <c r="P29" i="13" s="1"/>
  <c r="Q29" i="13" s="1"/>
  <c r="N34" i="13"/>
  <c r="M34" i="13" s="1"/>
  <c r="O34" i="13" s="1"/>
  <c r="P34" i="13" s="1"/>
  <c r="Q34" i="13" s="1"/>
  <c r="N36" i="13"/>
  <c r="M36" i="13" s="1"/>
  <c r="O36" i="13" s="1"/>
  <c r="P36" i="13" s="1"/>
  <c r="Q36" i="13" s="1"/>
  <c r="N38" i="13"/>
  <c r="M38" i="13" s="1"/>
  <c r="O38" i="13" s="1"/>
  <c r="P38" i="13" s="1"/>
  <c r="Q38" i="13" s="1"/>
  <c r="N40" i="13"/>
  <c r="M40" i="13" s="1"/>
  <c r="O40" i="13" s="1"/>
  <c r="P40" i="13" s="1"/>
  <c r="Q40" i="13" s="1"/>
  <c r="N42" i="13"/>
  <c r="M42" i="13" s="1"/>
  <c r="O42" i="13" s="1"/>
  <c r="P42" i="13" s="1"/>
  <c r="Q42" i="13" s="1"/>
  <c r="N45" i="13"/>
  <c r="M45" i="13" s="1"/>
  <c r="O45" i="13" s="1"/>
  <c r="P45" i="13" s="1"/>
  <c r="Q45" i="13" s="1"/>
  <c r="N52" i="13"/>
  <c r="M52" i="13" s="1"/>
  <c r="O52" i="13" s="1"/>
  <c r="P52" i="13" s="1"/>
  <c r="Q52" i="13" s="1"/>
  <c r="N56" i="13"/>
  <c r="M56" i="13" s="1"/>
  <c r="O56" i="13" s="1"/>
  <c r="P56" i="13" s="1"/>
  <c r="Q56" i="13" s="1"/>
  <c r="N60" i="13"/>
  <c r="M60" i="13" s="1"/>
  <c r="O60" i="13" s="1"/>
  <c r="P60" i="13" s="1"/>
  <c r="Q60" i="13" s="1"/>
  <c r="N63" i="13"/>
  <c r="M63" i="13" s="1"/>
  <c r="O63" i="13" s="1"/>
  <c r="P63" i="13" s="1"/>
  <c r="Q63" i="13" s="1"/>
  <c r="N65" i="13"/>
  <c r="M65" i="13" s="1"/>
  <c r="O65" i="13" s="1"/>
  <c r="P65" i="13" s="1"/>
  <c r="Q65" i="13" s="1"/>
  <c r="N67" i="13"/>
  <c r="M67" i="13" s="1"/>
  <c r="O67" i="13" s="1"/>
  <c r="P67" i="13" s="1"/>
  <c r="Q67" i="13" s="1"/>
  <c r="N69" i="13"/>
  <c r="M69" i="13" s="1"/>
  <c r="O69" i="13" s="1"/>
  <c r="P69" i="13" s="1"/>
  <c r="Q69" i="13" s="1"/>
  <c r="N71" i="13"/>
  <c r="M71" i="13" s="1"/>
  <c r="O71" i="13" s="1"/>
  <c r="P71" i="13" s="1"/>
  <c r="Q71" i="13" s="1"/>
  <c r="N73" i="13"/>
  <c r="M73" i="13" s="1"/>
  <c r="O73" i="13" s="1"/>
  <c r="P73" i="13" s="1"/>
  <c r="Q73" i="13" s="1"/>
  <c r="O75" i="13"/>
  <c r="P75" i="13" s="1"/>
  <c r="Q75" i="13" s="1"/>
  <c r="N86" i="13"/>
  <c r="M86" i="13" s="1"/>
  <c r="O86" i="13" s="1"/>
  <c r="P86" i="13" s="1"/>
  <c r="Q86" i="13" s="1"/>
  <c r="O113" i="13"/>
  <c r="P113" i="13" s="1"/>
  <c r="Q113" i="13" s="1"/>
  <c r="O121" i="13"/>
  <c r="P121" i="13" s="1"/>
  <c r="Q121" i="13" s="1"/>
  <c r="O129" i="13"/>
  <c r="P129" i="13" s="1"/>
  <c r="Q129" i="13" s="1"/>
  <c r="O137" i="13"/>
  <c r="P137" i="13" s="1"/>
  <c r="Q137" i="13" s="1"/>
  <c r="O145" i="13"/>
  <c r="P145" i="13" s="1"/>
  <c r="Q145" i="13" s="1"/>
  <c r="R153" i="13"/>
  <c r="S153" i="13" s="1"/>
  <c r="R161" i="13"/>
  <c r="S161" i="13" s="1"/>
  <c r="O77" i="13"/>
  <c r="P77" i="13" s="1"/>
  <c r="Q77" i="13" s="1"/>
  <c r="O80" i="13"/>
  <c r="P80" i="13" s="1"/>
  <c r="Q80" i="13" s="1"/>
  <c r="N88" i="13"/>
  <c r="M88" i="13" s="1"/>
  <c r="O88" i="13" s="1"/>
  <c r="P88" i="13" s="1"/>
  <c r="Q88" i="13" s="1"/>
  <c r="N102" i="13"/>
  <c r="M102" i="13" s="1"/>
  <c r="O102" i="13" s="1"/>
  <c r="P102" i="13" s="1"/>
  <c r="Q102" i="13" s="1"/>
  <c r="N106" i="13"/>
  <c r="M106" i="13" s="1"/>
  <c r="O106" i="13" s="1"/>
  <c r="P106" i="13" s="1"/>
  <c r="Q106" i="13" s="1"/>
  <c r="O119" i="13"/>
  <c r="P119" i="13" s="1"/>
  <c r="Q119" i="13" s="1"/>
  <c r="O127" i="13"/>
  <c r="P127" i="13" s="1"/>
  <c r="Q127" i="13" s="1"/>
  <c r="O135" i="13"/>
  <c r="P135" i="13" s="1"/>
  <c r="Q135" i="13" s="1"/>
  <c r="O143" i="13"/>
  <c r="P143" i="13" s="1"/>
  <c r="Q143" i="13" s="1"/>
  <c r="O151" i="13"/>
  <c r="P151" i="13" s="1"/>
  <c r="Q151" i="13" s="1"/>
  <c r="R159" i="13"/>
  <c r="S159" i="13" s="1"/>
  <c r="N171" i="13"/>
  <c r="M171" i="13" s="1"/>
  <c r="O171" i="13" s="1"/>
  <c r="P171" i="13" s="1"/>
  <c r="Q171" i="13" s="1"/>
  <c r="N175" i="13"/>
  <c r="M175" i="13" s="1"/>
  <c r="O175" i="13" s="1"/>
  <c r="P175" i="13" s="1"/>
  <c r="Q175" i="13" s="1"/>
  <c r="N179" i="13"/>
  <c r="M179" i="13" s="1"/>
  <c r="O179" i="13"/>
  <c r="P179" i="13" s="1"/>
  <c r="Q179" i="13" s="1"/>
  <c r="N183" i="13"/>
  <c r="M183" i="13" s="1"/>
  <c r="O183" i="13" s="1"/>
  <c r="P183" i="13" s="1"/>
  <c r="Q183" i="13" s="1"/>
  <c r="N187" i="13"/>
  <c r="M187" i="13" s="1"/>
  <c r="O187" i="13" s="1"/>
  <c r="P187" i="13" s="1"/>
  <c r="Q187" i="13" s="1"/>
  <c r="N191" i="13"/>
  <c r="M191" i="13" s="1"/>
  <c r="O191" i="13" s="1"/>
  <c r="P191" i="13" s="1"/>
  <c r="Q191" i="13" s="1"/>
  <c r="N195" i="13"/>
  <c r="M195" i="13" s="1"/>
  <c r="O195" i="13"/>
  <c r="P195" i="13" s="1"/>
  <c r="Q195" i="13" s="1"/>
  <c r="N199" i="13"/>
  <c r="M199" i="13" s="1"/>
  <c r="O199" i="13" s="1"/>
  <c r="P199" i="13" s="1"/>
  <c r="Q199" i="13" s="1"/>
  <c r="N243" i="13"/>
  <c r="M243" i="13" s="1"/>
  <c r="O243" i="13" s="1"/>
  <c r="P243" i="13" s="1"/>
  <c r="Q243" i="13" s="1"/>
  <c r="R256" i="13"/>
  <c r="O54" i="13"/>
  <c r="P54" i="13" s="1"/>
  <c r="Q54" i="13" s="1"/>
  <c r="O58" i="13"/>
  <c r="P58" i="13" s="1"/>
  <c r="Q58" i="13" s="1"/>
  <c r="N64" i="13"/>
  <c r="M64" i="13" s="1"/>
  <c r="O64" i="13" s="1"/>
  <c r="P64" i="13" s="1"/>
  <c r="Q64" i="13" s="1"/>
  <c r="N66" i="13"/>
  <c r="M66" i="13" s="1"/>
  <c r="O66" i="13" s="1"/>
  <c r="P66" i="13" s="1"/>
  <c r="Q66" i="13" s="1"/>
  <c r="O68" i="13"/>
  <c r="P68" i="13" s="1"/>
  <c r="Q68" i="13" s="1"/>
  <c r="N68" i="13"/>
  <c r="M68" i="13" s="1"/>
  <c r="N70" i="13"/>
  <c r="M70" i="13" s="1"/>
  <c r="O70" i="13" s="1"/>
  <c r="P70" i="13" s="1"/>
  <c r="Q70" i="13" s="1"/>
  <c r="N72" i="13"/>
  <c r="M72" i="13" s="1"/>
  <c r="O72" i="13" s="1"/>
  <c r="P72" i="13" s="1"/>
  <c r="Q72" i="13" s="1"/>
  <c r="N89" i="13"/>
  <c r="M89" i="13" s="1"/>
  <c r="O89" i="13" s="1"/>
  <c r="P89" i="13" s="1"/>
  <c r="Q89" i="13" s="1"/>
  <c r="R125" i="13"/>
  <c r="S125" i="13" s="1"/>
  <c r="R133" i="13"/>
  <c r="S133" i="13" s="1"/>
  <c r="R141" i="13"/>
  <c r="S141" i="13" s="1"/>
  <c r="R149" i="13"/>
  <c r="S149" i="13" s="1"/>
  <c r="R157" i="13"/>
  <c r="S157" i="13" s="1"/>
  <c r="R165" i="13"/>
  <c r="S165" i="13" s="1"/>
  <c r="N245" i="13"/>
  <c r="M245" i="13" s="1"/>
  <c r="O245" i="13" s="1"/>
  <c r="P245" i="13" s="1"/>
  <c r="Q245" i="13" s="1"/>
  <c r="N247" i="13"/>
  <c r="M247" i="13" s="1"/>
  <c r="O247" i="13" s="1"/>
  <c r="P247" i="13" s="1"/>
  <c r="Q247" i="13" s="1"/>
  <c r="R258" i="13"/>
  <c r="S258" i="13" s="1"/>
  <c r="N244" i="13"/>
  <c r="M244" i="13" s="1"/>
  <c r="O244" i="13" s="1"/>
  <c r="P244" i="13" s="1"/>
  <c r="Q244" i="13" s="1"/>
  <c r="N248" i="13"/>
  <c r="M248" i="13" s="1"/>
  <c r="O248" i="13" s="1"/>
  <c r="P248" i="13" s="1"/>
  <c r="Q248" i="13" s="1"/>
  <c r="N279" i="13"/>
  <c r="M279" i="13" s="1"/>
  <c r="O279" i="13" s="1"/>
  <c r="P279" i="13" s="1"/>
  <c r="Q279" i="13" s="1"/>
  <c r="N298" i="13"/>
  <c r="M298" i="13" s="1"/>
  <c r="O298" i="13" s="1"/>
  <c r="P298" i="13" s="1"/>
  <c r="Q298" i="13" s="1"/>
  <c r="N311" i="13"/>
  <c r="M311" i="13" s="1"/>
  <c r="O311" i="13" s="1"/>
  <c r="P311" i="13" s="1"/>
  <c r="Q311" i="13" s="1"/>
  <c r="O76" i="13"/>
  <c r="P76" i="13" s="1"/>
  <c r="Q76" i="13" s="1"/>
  <c r="N97" i="13"/>
  <c r="M97" i="13" s="1"/>
  <c r="O97" i="13" s="1"/>
  <c r="P97" i="13" s="1"/>
  <c r="Q97" i="13" s="1"/>
  <c r="O112" i="13"/>
  <c r="P112" i="13" s="1"/>
  <c r="Q112" i="13" s="1"/>
  <c r="O114" i="13"/>
  <c r="P114" i="13" s="1"/>
  <c r="Q114" i="13" s="1"/>
  <c r="O116" i="13"/>
  <c r="P116" i="13" s="1"/>
  <c r="Q116" i="13" s="1"/>
  <c r="O118" i="13"/>
  <c r="P118" i="13" s="1"/>
  <c r="Q118" i="13" s="1"/>
  <c r="O120" i="13"/>
  <c r="P120" i="13" s="1"/>
  <c r="Q120" i="13" s="1"/>
  <c r="O122" i="13"/>
  <c r="P122" i="13" s="1"/>
  <c r="Q122" i="13" s="1"/>
  <c r="O124" i="13"/>
  <c r="P124" i="13" s="1"/>
  <c r="Q124" i="13" s="1"/>
  <c r="O126" i="13"/>
  <c r="P126" i="13" s="1"/>
  <c r="Q126" i="13" s="1"/>
  <c r="O128" i="13"/>
  <c r="P128" i="13" s="1"/>
  <c r="Q128" i="13" s="1"/>
  <c r="O130" i="13"/>
  <c r="P130" i="13" s="1"/>
  <c r="Q130" i="13" s="1"/>
  <c r="O132" i="13"/>
  <c r="P132" i="13" s="1"/>
  <c r="Q132" i="13" s="1"/>
  <c r="O134" i="13"/>
  <c r="P134" i="13" s="1"/>
  <c r="Q134" i="13" s="1"/>
  <c r="O136" i="13"/>
  <c r="P136" i="13" s="1"/>
  <c r="Q136" i="13" s="1"/>
  <c r="O138" i="13"/>
  <c r="P138" i="13" s="1"/>
  <c r="Q138" i="13" s="1"/>
  <c r="O140" i="13"/>
  <c r="P140" i="13" s="1"/>
  <c r="Q140" i="13" s="1"/>
  <c r="O142" i="13"/>
  <c r="P142" i="13" s="1"/>
  <c r="Q142" i="13" s="1"/>
  <c r="O144" i="13"/>
  <c r="P144" i="13" s="1"/>
  <c r="Q144" i="13" s="1"/>
  <c r="O146" i="13"/>
  <c r="P146" i="13" s="1"/>
  <c r="Q146" i="13" s="1"/>
  <c r="O148" i="13"/>
  <c r="P148" i="13" s="1"/>
  <c r="Q148" i="13" s="1"/>
  <c r="O150" i="13"/>
  <c r="P150" i="13" s="1"/>
  <c r="Q150" i="13" s="1"/>
  <c r="N152" i="13"/>
  <c r="M152" i="13" s="1"/>
  <c r="O152" i="13" s="1"/>
  <c r="P152" i="13" s="1"/>
  <c r="Q152" i="13" s="1"/>
  <c r="N154" i="13"/>
  <c r="M154" i="13" s="1"/>
  <c r="O154" i="13" s="1"/>
  <c r="P154" i="13" s="1"/>
  <c r="Q154" i="13" s="1"/>
  <c r="N156" i="13"/>
  <c r="M156" i="13" s="1"/>
  <c r="O156" i="13" s="1"/>
  <c r="P156" i="13" s="1"/>
  <c r="Q156" i="13" s="1"/>
  <c r="N158" i="13"/>
  <c r="M158" i="13" s="1"/>
  <c r="O158" i="13" s="1"/>
  <c r="P158" i="13" s="1"/>
  <c r="Q158" i="13" s="1"/>
  <c r="N160" i="13"/>
  <c r="M160" i="13" s="1"/>
  <c r="O160" i="13" s="1"/>
  <c r="P160" i="13" s="1"/>
  <c r="Q160" i="13" s="1"/>
  <c r="N162" i="13"/>
  <c r="M162" i="13" s="1"/>
  <c r="O162" i="13" s="1"/>
  <c r="P162" i="13" s="1"/>
  <c r="Q162" i="13" s="1"/>
  <c r="N164" i="13"/>
  <c r="M164" i="13" s="1"/>
  <c r="O164" i="13" s="1"/>
  <c r="P164" i="13" s="1"/>
  <c r="Q164" i="13" s="1"/>
  <c r="N168" i="13"/>
  <c r="M168" i="13" s="1"/>
  <c r="O168" i="13" s="1"/>
  <c r="P168" i="13" s="1"/>
  <c r="Q168" i="13" s="1"/>
  <c r="N170" i="13"/>
  <c r="M170" i="13" s="1"/>
  <c r="O170" i="13" s="1"/>
  <c r="P170" i="13" s="1"/>
  <c r="Q170" i="13" s="1"/>
  <c r="N172" i="13"/>
  <c r="M172" i="13" s="1"/>
  <c r="O172" i="13" s="1"/>
  <c r="P172" i="13" s="1"/>
  <c r="Q172" i="13" s="1"/>
  <c r="N174" i="13"/>
  <c r="M174" i="13" s="1"/>
  <c r="O174" i="13" s="1"/>
  <c r="P174" i="13" s="1"/>
  <c r="Q174" i="13" s="1"/>
  <c r="N176" i="13"/>
  <c r="M176" i="13" s="1"/>
  <c r="O176" i="13" s="1"/>
  <c r="P176" i="13" s="1"/>
  <c r="Q176" i="13" s="1"/>
  <c r="O178" i="13"/>
  <c r="P178" i="13" s="1"/>
  <c r="Q178" i="13" s="1"/>
  <c r="O180" i="13"/>
  <c r="P180" i="13" s="1"/>
  <c r="Q180" i="13" s="1"/>
  <c r="O182" i="13"/>
  <c r="P182" i="13" s="1"/>
  <c r="Q182" i="13" s="1"/>
  <c r="O184" i="13"/>
  <c r="P184" i="13" s="1"/>
  <c r="Q184" i="13" s="1"/>
  <c r="O186" i="13"/>
  <c r="P186" i="13" s="1"/>
  <c r="Q186" i="13" s="1"/>
  <c r="O188" i="13"/>
  <c r="P188" i="13" s="1"/>
  <c r="Q188" i="13" s="1"/>
  <c r="O190" i="13"/>
  <c r="P190" i="13" s="1"/>
  <c r="Q190" i="13" s="1"/>
  <c r="O192" i="13"/>
  <c r="P192" i="13" s="1"/>
  <c r="Q192" i="13" s="1"/>
  <c r="O194" i="13"/>
  <c r="P194" i="13" s="1"/>
  <c r="Q194" i="13" s="1"/>
  <c r="O196" i="13"/>
  <c r="P196" i="13" s="1"/>
  <c r="Q196" i="13" s="1"/>
  <c r="O198" i="13"/>
  <c r="P198" i="13" s="1"/>
  <c r="Q198" i="13" s="1"/>
  <c r="O200" i="13"/>
  <c r="P200" i="13" s="1"/>
  <c r="Q200" i="13" s="1"/>
  <c r="O201" i="13"/>
  <c r="P201" i="13" s="1"/>
  <c r="Q201" i="13" s="1"/>
  <c r="O202" i="13"/>
  <c r="P202" i="13" s="1"/>
  <c r="Q202" i="13" s="1"/>
  <c r="O203" i="13"/>
  <c r="P203" i="13" s="1"/>
  <c r="Q203" i="13" s="1"/>
  <c r="O204" i="13"/>
  <c r="P204" i="13" s="1"/>
  <c r="Q204" i="13" s="1"/>
  <c r="O205" i="13"/>
  <c r="P205" i="13" s="1"/>
  <c r="Q205" i="13" s="1"/>
  <c r="O206" i="13"/>
  <c r="P206" i="13" s="1"/>
  <c r="Q206" i="13" s="1"/>
  <c r="O207" i="13"/>
  <c r="P207" i="13" s="1"/>
  <c r="Q207" i="13" s="1"/>
  <c r="O208" i="13"/>
  <c r="P208" i="13" s="1"/>
  <c r="Q208" i="13" s="1"/>
  <c r="O209" i="13"/>
  <c r="P209" i="13" s="1"/>
  <c r="Q209" i="13" s="1"/>
  <c r="O210" i="13"/>
  <c r="P210" i="13" s="1"/>
  <c r="Q210" i="13" s="1"/>
  <c r="O211" i="13"/>
  <c r="P211" i="13" s="1"/>
  <c r="Q211" i="13" s="1"/>
  <c r="O212" i="13"/>
  <c r="P212" i="13" s="1"/>
  <c r="Q212" i="13" s="1"/>
  <c r="O213" i="13"/>
  <c r="P213" i="13" s="1"/>
  <c r="Q213" i="13" s="1"/>
  <c r="O214" i="13"/>
  <c r="P214" i="13" s="1"/>
  <c r="Q214" i="13" s="1"/>
  <c r="O215" i="13"/>
  <c r="P215" i="13" s="1"/>
  <c r="Q215" i="13" s="1"/>
  <c r="O216" i="13"/>
  <c r="P216" i="13" s="1"/>
  <c r="Q216" i="13" s="1"/>
  <c r="O217" i="13"/>
  <c r="P217" i="13" s="1"/>
  <c r="Q217" i="13" s="1"/>
  <c r="O218" i="13"/>
  <c r="P218" i="13" s="1"/>
  <c r="Q218" i="13" s="1"/>
  <c r="O219" i="13"/>
  <c r="P219" i="13" s="1"/>
  <c r="Q219" i="13" s="1"/>
  <c r="O220" i="13"/>
  <c r="P220" i="13" s="1"/>
  <c r="Q220" i="13" s="1"/>
  <c r="O221" i="13"/>
  <c r="P221" i="13" s="1"/>
  <c r="Q221" i="13" s="1"/>
  <c r="O222" i="13"/>
  <c r="P222" i="13" s="1"/>
  <c r="Q222" i="13" s="1"/>
  <c r="O223" i="13"/>
  <c r="P223" i="13" s="1"/>
  <c r="Q223" i="13" s="1"/>
  <c r="O224" i="13"/>
  <c r="P224" i="13" s="1"/>
  <c r="Q224" i="13" s="1"/>
  <c r="O225" i="13"/>
  <c r="P225" i="13" s="1"/>
  <c r="Q225" i="13" s="1"/>
  <c r="O226" i="13"/>
  <c r="P226" i="13" s="1"/>
  <c r="Q226" i="13" s="1"/>
  <c r="O227" i="13"/>
  <c r="P227" i="13" s="1"/>
  <c r="Q227" i="13" s="1"/>
  <c r="O228" i="13"/>
  <c r="P228" i="13" s="1"/>
  <c r="Q228" i="13" s="1"/>
  <c r="O229" i="13"/>
  <c r="P229" i="13" s="1"/>
  <c r="Q229" i="13" s="1"/>
  <c r="O230" i="13"/>
  <c r="P230" i="13" s="1"/>
  <c r="Q230" i="13" s="1"/>
  <c r="O231" i="13"/>
  <c r="P231" i="13" s="1"/>
  <c r="Q231" i="13" s="1"/>
  <c r="O232" i="13"/>
  <c r="P232" i="13" s="1"/>
  <c r="Q232" i="13" s="1"/>
  <c r="O233" i="13"/>
  <c r="P233" i="13" s="1"/>
  <c r="Q233" i="13" s="1"/>
  <c r="O234" i="13"/>
  <c r="P234" i="13" s="1"/>
  <c r="Q234" i="13" s="1"/>
  <c r="O239" i="13"/>
  <c r="P239" i="13" s="1"/>
  <c r="Q239" i="13" s="1"/>
  <c r="O261" i="13"/>
  <c r="P261" i="13" s="1"/>
  <c r="Q261" i="13" s="1"/>
  <c r="N262" i="13"/>
  <c r="M262" i="13" s="1"/>
  <c r="O262" i="13" s="1"/>
  <c r="P262" i="13" s="1"/>
  <c r="Q262" i="13" s="1"/>
  <c r="O265" i="13"/>
  <c r="P265" i="13" s="1"/>
  <c r="Q265" i="13" s="1"/>
  <c r="N266" i="13"/>
  <c r="M266" i="13" s="1"/>
  <c r="O266" i="13" s="1"/>
  <c r="P266" i="13" s="1"/>
  <c r="Q266" i="13" s="1"/>
  <c r="N275" i="13"/>
  <c r="M275" i="13" s="1"/>
  <c r="O275" i="13" s="1"/>
  <c r="P275" i="13" s="1"/>
  <c r="Q275" i="13" s="1"/>
  <c r="O276" i="13"/>
  <c r="P276" i="13" s="1"/>
  <c r="Q276" i="13" s="1"/>
  <c r="N277" i="13"/>
  <c r="M277" i="13" s="1"/>
  <c r="O277" i="13" s="1"/>
  <c r="P277" i="13" s="1"/>
  <c r="Q277" i="13" s="1"/>
  <c r="N291" i="13"/>
  <c r="M291" i="13" s="1"/>
  <c r="O291" i="13" s="1"/>
  <c r="P291" i="13" s="1"/>
  <c r="Q291" i="13" s="1"/>
  <c r="N294" i="13"/>
  <c r="M294" i="13" s="1"/>
  <c r="O294" i="13" s="1"/>
  <c r="P294" i="13" s="1"/>
  <c r="Q294" i="13" s="1"/>
  <c r="N307" i="13"/>
  <c r="M307" i="13" s="1"/>
  <c r="O307" i="13" s="1"/>
  <c r="P307" i="13" s="1"/>
  <c r="Q307" i="13" s="1"/>
  <c r="N310" i="13"/>
  <c r="M310" i="13" s="1"/>
  <c r="O310" i="13" s="1"/>
  <c r="P310" i="13" s="1"/>
  <c r="Q310" i="13" s="1"/>
  <c r="N323" i="13"/>
  <c r="M323" i="13" s="1"/>
  <c r="O323" i="13" s="1"/>
  <c r="P323" i="13" s="1"/>
  <c r="Q323" i="13" s="1"/>
  <c r="N326" i="13"/>
  <c r="M326" i="13" s="1"/>
  <c r="O326" i="13" s="1"/>
  <c r="P326" i="13" s="1"/>
  <c r="Q326" i="13" s="1"/>
  <c r="N339" i="13"/>
  <c r="M339" i="13" s="1"/>
  <c r="O339" i="13"/>
  <c r="P339" i="13" s="1"/>
  <c r="Q339" i="13" s="1"/>
  <c r="J252" i="13"/>
  <c r="N260" i="13"/>
  <c r="M260" i="13" s="1"/>
  <c r="O260" i="13" s="1"/>
  <c r="P260" i="13" s="1"/>
  <c r="Q260" i="13" s="1"/>
  <c r="N282" i="13"/>
  <c r="M282" i="13" s="1"/>
  <c r="O282" i="13" s="1"/>
  <c r="P282" i="13" s="1"/>
  <c r="Q282" i="13" s="1"/>
  <c r="N295" i="13"/>
  <c r="M295" i="13" s="1"/>
  <c r="O295" i="13" s="1"/>
  <c r="P295" i="13" s="1"/>
  <c r="Q295" i="13" s="1"/>
  <c r="N314" i="13"/>
  <c r="M314" i="13" s="1"/>
  <c r="O314" i="13" s="1"/>
  <c r="P314" i="13" s="1"/>
  <c r="Q314" i="13" s="1"/>
  <c r="N327" i="13"/>
  <c r="M327" i="13" s="1"/>
  <c r="O327" i="13" s="1"/>
  <c r="P327" i="13" s="1"/>
  <c r="Q327" i="13" s="1"/>
  <c r="R345" i="13"/>
  <c r="S345" i="13" s="1"/>
  <c r="J405" i="13"/>
  <c r="O85" i="13"/>
  <c r="P85" i="13" s="1"/>
  <c r="Q85" i="13" s="1"/>
  <c r="O105" i="13"/>
  <c r="P105" i="13" s="1"/>
  <c r="Q105" i="13" s="1"/>
  <c r="N237" i="13"/>
  <c r="M237" i="13" s="1"/>
  <c r="O237" i="13" s="1"/>
  <c r="P237" i="13" s="1"/>
  <c r="Q237" i="13" s="1"/>
  <c r="N238" i="13"/>
  <c r="M238" i="13" s="1"/>
  <c r="O238" i="13" s="1"/>
  <c r="P238" i="13" s="1"/>
  <c r="Q238" i="13" s="1"/>
  <c r="N242" i="13"/>
  <c r="M242" i="13" s="1"/>
  <c r="O242" i="13" s="1"/>
  <c r="P242" i="13" s="1"/>
  <c r="Q242" i="13" s="1"/>
  <c r="N246" i="13"/>
  <c r="M246" i="13" s="1"/>
  <c r="O246" i="13" s="1"/>
  <c r="P246" i="13" s="1"/>
  <c r="Q246" i="13" s="1"/>
  <c r="N250" i="13"/>
  <c r="M250" i="13" s="1"/>
  <c r="O250" i="13" s="1"/>
  <c r="P250" i="13" s="1"/>
  <c r="Q250" i="13" s="1"/>
  <c r="N287" i="13"/>
  <c r="M287" i="13" s="1"/>
  <c r="O287" i="13" s="1"/>
  <c r="P287" i="13" s="1"/>
  <c r="Q287" i="13" s="1"/>
  <c r="N290" i="13"/>
  <c r="M290" i="13" s="1"/>
  <c r="O290" i="13" s="1"/>
  <c r="P290" i="13" s="1"/>
  <c r="Q290" i="13" s="1"/>
  <c r="N303" i="13"/>
  <c r="M303" i="13" s="1"/>
  <c r="O303" i="13" s="1"/>
  <c r="P303" i="13" s="1"/>
  <c r="Q303" i="13" s="1"/>
  <c r="N306" i="13"/>
  <c r="M306" i="13" s="1"/>
  <c r="O306" i="13" s="1"/>
  <c r="P306" i="13" s="1"/>
  <c r="Q306" i="13" s="1"/>
  <c r="N319" i="13"/>
  <c r="M319" i="13" s="1"/>
  <c r="O319" i="13" s="1"/>
  <c r="P319" i="13" s="1"/>
  <c r="Q319" i="13" s="1"/>
  <c r="N322" i="13"/>
  <c r="M322" i="13" s="1"/>
  <c r="O322" i="13" s="1"/>
  <c r="P322" i="13" s="1"/>
  <c r="Q322" i="13" s="1"/>
  <c r="N334" i="13"/>
  <c r="M334" i="13" s="1"/>
  <c r="O334" i="13" s="1"/>
  <c r="P334" i="13" s="1"/>
  <c r="Q334" i="13" s="1"/>
  <c r="N337" i="13"/>
  <c r="M337" i="13" s="1"/>
  <c r="O337" i="13" s="1"/>
  <c r="P337" i="13" s="1"/>
  <c r="Q337" i="13" s="1"/>
  <c r="N366" i="13"/>
  <c r="M366" i="13" s="1"/>
  <c r="O366" i="13" s="1"/>
  <c r="P366" i="13" s="1"/>
  <c r="Q366" i="13" s="1"/>
  <c r="N267" i="13"/>
  <c r="M267" i="13" s="1"/>
  <c r="O267" i="13" s="1"/>
  <c r="P267" i="13" s="1"/>
  <c r="Q267" i="13" s="1"/>
  <c r="R332" i="13"/>
  <c r="S332" i="13" s="1"/>
  <c r="O257" i="13"/>
  <c r="P257" i="13" s="1"/>
  <c r="Q257" i="13" s="1"/>
  <c r="O259" i="13"/>
  <c r="P259" i="13" s="1"/>
  <c r="Q259" i="13" s="1"/>
  <c r="N263" i="13"/>
  <c r="M263" i="13" s="1"/>
  <c r="O263" i="13" s="1"/>
  <c r="P263" i="13" s="1"/>
  <c r="Q263" i="13" s="1"/>
  <c r="N264" i="13"/>
  <c r="M264" i="13" s="1"/>
  <c r="O264" i="13" s="1"/>
  <c r="P264" i="13" s="1"/>
  <c r="Q264" i="13" s="1"/>
  <c r="N269" i="13"/>
  <c r="M269" i="13" s="1"/>
  <c r="O269" i="13" s="1"/>
  <c r="P269" i="13" s="1"/>
  <c r="Q269" i="13" s="1"/>
  <c r="O270" i="13"/>
  <c r="P270" i="13" s="1"/>
  <c r="Q270" i="13" s="1"/>
  <c r="N271" i="13"/>
  <c r="M271" i="13" s="1"/>
  <c r="O271" i="13" s="1"/>
  <c r="P271" i="13" s="1"/>
  <c r="Q271" i="13" s="1"/>
  <c r="O280" i="13"/>
  <c r="P280" i="13" s="1"/>
  <c r="Q280" i="13" s="1"/>
  <c r="N281" i="13"/>
  <c r="M281" i="13" s="1"/>
  <c r="O281" i="13" s="1"/>
  <c r="P281" i="13" s="1"/>
  <c r="Q281" i="13" s="1"/>
  <c r="O284" i="13"/>
  <c r="P284" i="13" s="1"/>
  <c r="Q284" i="13" s="1"/>
  <c r="N285" i="13"/>
  <c r="M285" i="13" s="1"/>
  <c r="O285" i="13" s="1"/>
  <c r="P285" i="13" s="1"/>
  <c r="Q285" i="13" s="1"/>
  <c r="O288" i="13"/>
  <c r="P288" i="13" s="1"/>
  <c r="Q288" i="13" s="1"/>
  <c r="N289" i="13"/>
  <c r="M289" i="13" s="1"/>
  <c r="O289" i="13" s="1"/>
  <c r="P289" i="13" s="1"/>
  <c r="Q289" i="13" s="1"/>
  <c r="O292" i="13"/>
  <c r="P292" i="13" s="1"/>
  <c r="Q292" i="13" s="1"/>
  <c r="N293" i="13"/>
  <c r="M293" i="13" s="1"/>
  <c r="O293" i="13" s="1"/>
  <c r="P293" i="13" s="1"/>
  <c r="Q293" i="13" s="1"/>
  <c r="O296" i="13"/>
  <c r="P296" i="13" s="1"/>
  <c r="Q296" i="13" s="1"/>
  <c r="N297" i="13"/>
  <c r="M297" i="13" s="1"/>
  <c r="O297" i="13" s="1"/>
  <c r="P297" i="13" s="1"/>
  <c r="Q297" i="13" s="1"/>
  <c r="O300" i="13"/>
  <c r="P300" i="13" s="1"/>
  <c r="Q300" i="13" s="1"/>
  <c r="N301" i="13"/>
  <c r="M301" i="13" s="1"/>
  <c r="O301" i="13" s="1"/>
  <c r="P301" i="13" s="1"/>
  <c r="Q301" i="13" s="1"/>
  <c r="O304" i="13"/>
  <c r="P304" i="13" s="1"/>
  <c r="Q304" i="13" s="1"/>
  <c r="N305" i="13"/>
  <c r="M305" i="13" s="1"/>
  <c r="O305" i="13" s="1"/>
  <c r="P305" i="13" s="1"/>
  <c r="Q305" i="13" s="1"/>
  <c r="O308" i="13"/>
  <c r="P308" i="13" s="1"/>
  <c r="Q308" i="13" s="1"/>
  <c r="N309" i="13"/>
  <c r="M309" i="13" s="1"/>
  <c r="O309" i="13" s="1"/>
  <c r="P309" i="13" s="1"/>
  <c r="Q309" i="13" s="1"/>
  <c r="O312" i="13"/>
  <c r="P312" i="13" s="1"/>
  <c r="Q312" i="13" s="1"/>
  <c r="N313" i="13"/>
  <c r="M313" i="13" s="1"/>
  <c r="O313" i="13" s="1"/>
  <c r="P313" i="13" s="1"/>
  <c r="Q313" i="13" s="1"/>
  <c r="O316" i="13"/>
  <c r="P316" i="13" s="1"/>
  <c r="Q316" i="13" s="1"/>
  <c r="N317" i="13"/>
  <c r="M317" i="13" s="1"/>
  <c r="O317" i="13" s="1"/>
  <c r="P317" i="13" s="1"/>
  <c r="Q317" i="13" s="1"/>
  <c r="O320" i="13"/>
  <c r="P320" i="13" s="1"/>
  <c r="Q320" i="13" s="1"/>
  <c r="N321" i="13"/>
  <c r="M321" i="13" s="1"/>
  <c r="O321" i="13" s="1"/>
  <c r="P321" i="13" s="1"/>
  <c r="Q321" i="13" s="1"/>
  <c r="O324" i="13"/>
  <c r="P324" i="13" s="1"/>
  <c r="Q324" i="13" s="1"/>
  <c r="N325" i="13"/>
  <c r="M325" i="13" s="1"/>
  <c r="O325" i="13" s="1"/>
  <c r="P325" i="13" s="1"/>
  <c r="Q325" i="13" s="1"/>
  <c r="O330" i="13"/>
  <c r="P330" i="13" s="1"/>
  <c r="Q330" i="13" s="1"/>
  <c r="O336" i="13"/>
  <c r="P336" i="13" s="1"/>
  <c r="Q336" i="13" s="1"/>
  <c r="N355" i="13"/>
  <c r="M355" i="13" s="1"/>
  <c r="O355" i="13" s="1"/>
  <c r="P355" i="13" s="1"/>
  <c r="Q355" i="13" s="1"/>
  <c r="N389" i="13"/>
  <c r="M389" i="13" s="1"/>
  <c r="O389" i="13" s="1"/>
  <c r="P389" i="13" s="1"/>
  <c r="Q389" i="13" s="1"/>
  <c r="N273" i="13"/>
  <c r="M273" i="13" s="1"/>
  <c r="O273" i="13" s="1"/>
  <c r="P273" i="13" s="1"/>
  <c r="Q273" i="13" s="1"/>
  <c r="O274" i="13"/>
  <c r="P274" i="13" s="1"/>
  <c r="Q274" i="13" s="1"/>
  <c r="N347" i="13"/>
  <c r="M347" i="13" s="1"/>
  <c r="O347" i="13" s="1"/>
  <c r="P347" i="13" s="1"/>
  <c r="Q347" i="13" s="1"/>
  <c r="N363" i="13"/>
  <c r="M363" i="13" s="1"/>
  <c r="O363" i="13" s="1"/>
  <c r="P363" i="13" s="1"/>
  <c r="Q363" i="13" s="1"/>
  <c r="N365" i="13"/>
  <c r="M365" i="13" s="1"/>
  <c r="O365" i="13" s="1"/>
  <c r="P365" i="13" s="1"/>
  <c r="Q365" i="13" s="1"/>
  <c r="N374" i="13"/>
  <c r="M374" i="13" s="1"/>
  <c r="O374" i="13" s="1"/>
  <c r="P374" i="13" s="1"/>
  <c r="Q374" i="13" s="1"/>
  <c r="N379" i="13"/>
  <c r="M379" i="13" s="1"/>
  <c r="O379" i="13" s="1"/>
  <c r="P379" i="13" s="1"/>
  <c r="Q379" i="13" s="1"/>
  <c r="O329" i="13"/>
  <c r="P329" i="13" s="1"/>
  <c r="Q329" i="13" s="1"/>
  <c r="O331" i="13"/>
  <c r="P331" i="13" s="1"/>
  <c r="Q331" i="13" s="1"/>
  <c r="O333" i="13"/>
  <c r="P333" i="13" s="1"/>
  <c r="Q333" i="13" s="1"/>
  <c r="O335" i="13"/>
  <c r="P335" i="13" s="1"/>
  <c r="Q335" i="13" s="1"/>
  <c r="O341" i="13"/>
  <c r="P341" i="13" s="1"/>
  <c r="Q341" i="13" s="1"/>
  <c r="O349" i="13"/>
  <c r="P349" i="13" s="1"/>
  <c r="Q349" i="13" s="1"/>
  <c r="N357" i="13"/>
  <c r="M357" i="13" s="1"/>
  <c r="O357" i="13" s="1"/>
  <c r="P357" i="13" s="1"/>
  <c r="Q357" i="13" s="1"/>
  <c r="O360" i="13"/>
  <c r="P360" i="13" s="1"/>
  <c r="Q360" i="13" s="1"/>
  <c r="N397" i="13"/>
  <c r="M397" i="13" s="1"/>
  <c r="O397" i="13"/>
  <c r="P397" i="13" s="1"/>
  <c r="Q397" i="13" s="1"/>
  <c r="N399" i="13"/>
  <c r="M399" i="13" s="1"/>
  <c r="O399" i="13" s="1"/>
  <c r="P399" i="13" s="1"/>
  <c r="Q399" i="13" s="1"/>
  <c r="O343" i="13"/>
  <c r="P343" i="13" s="1"/>
  <c r="Q343" i="13" s="1"/>
  <c r="O351" i="13"/>
  <c r="P351" i="13" s="1"/>
  <c r="Q351" i="13" s="1"/>
  <c r="O359" i="13"/>
  <c r="P359" i="13" s="1"/>
  <c r="Q359" i="13" s="1"/>
  <c r="N367" i="13"/>
  <c r="M367" i="13" s="1"/>
  <c r="O367" i="13" s="1"/>
  <c r="P367" i="13" s="1"/>
  <c r="Q367" i="13" s="1"/>
  <c r="O372" i="13"/>
  <c r="P372" i="13" s="1"/>
  <c r="Q372" i="13" s="1"/>
  <c r="N381" i="13"/>
  <c r="M381" i="13" s="1"/>
  <c r="O381" i="13"/>
  <c r="P381" i="13" s="1"/>
  <c r="Q381" i="13" s="1"/>
  <c r="N391" i="13"/>
  <c r="M391" i="13" s="1"/>
  <c r="O391" i="13" s="1"/>
  <c r="P391" i="13" s="1"/>
  <c r="Q391" i="13" s="1"/>
  <c r="O338" i="13"/>
  <c r="P338" i="13" s="1"/>
  <c r="Q338" i="13" s="1"/>
  <c r="O340" i="13"/>
  <c r="P340" i="13" s="1"/>
  <c r="Q340" i="13" s="1"/>
  <c r="O342" i="13"/>
  <c r="P342" i="13" s="1"/>
  <c r="Q342" i="13" s="1"/>
  <c r="O344" i="13"/>
  <c r="P344" i="13" s="1"/>
  <c r="Q344" i="13" s="1"/>
  <c r="O346" i="13"/>
  <c r="P346" i="13" s="1"/>
  <c r="Q346" i="13" s="1"/>
  <c r="O348" i="13"/>
  <c r="P348" i="13" s="1"/>
  <c r="Q348" i="13" s="1"/>
  <c r="O350" i="13"/>
  <c r="P350" i="13" s="1"/>
  <c r="Q350" i="13" s="1"/>
  <c r="O352" i="13"/>
  <c r="P352" i="13" s="1"/>
  <c r="Q352" i="13" s="1"/>
  <c r="O354" i="13"/>
  <c r="P354" i="13" s="1"/>
  <c r="Q354" i="13" s="1"/>
  <c r="N364" i="13"/>
  <c r="M364" i="13" s="1"/>
  <c r="O364" i="13" s="1"/>
  <c r="P364" i="13" s="1"/>
  <c r="Q364" i="13" s="1"/>
  <c r="O368" i="13"/>
  <c r="P368" i="13" s="1"/>
  <c r="Q368" i="13" s="1"/>
  <c r="N383" i="13"/>
  <c r="M383" i="13" s="1"/>
  <c r="O383" i="13" s="1"/>
  <c r="P383" i="13" s="1"/>
  <c r="Q383" i="13" s="1"/>
  <c r="O386" i="13"/>
  <c r="P386" i="13" s="1"/>
  <c r="Q386" i="13" s="1"/>
  <c r="O392" i="13"/>
  <c r="P392" i="13" s="1"/>
  <c r="Q392" i="13" s="1"/>
  <c r="N356" i="13"/>
  <c r="M356" i="13" s="1"/>
  <c r="O356" i="13" s="1"/>
  <c r="P356" i="13" s="1"/>
  <c r="Q356" i="13" s="1"/>
  <c r="N358" i="13"/>
  <c r="M358" i="13" s="1"/>
  <c r="O358" i="13" s="1"/>
  <c r="P358" i="13" s="1"/>
  <c r="Q358" i="13" s="1"/>
  <c r="O370" i="13"/>
  <c r="P370" i="13" s="1"/>
  <c r="Q370" i="13" s="1"/>
  <c r="O384" i="13"/>
  <c r="P384" i="13" s="1"/>
  <c r="Q384" i="13" s="1"/>
  <c r="O380" i="13"/>
  <c r="P380" i="13" s="1"/>
  <c r="Q380" i="13" s="1"/>
  <c r="O388" i="13"/>
  <c r="P388" i="13" s="1"/>
  <c r="Q388" i="13" s="1"/>
  <c r="O396" i="13"/>
  <c r="P396" i="13" s="1"/>
  <c r="Q396" i="13" s="1"/>
  <c r="N369" i="13"/>
  <c r="M369" i="13" s="1"/>
  <c r="O369" i="13" s="1"/>
  <c r="P369" i="13" s="1"/>
  <c r="Q369" i="13" s="1"/>
  <c r="N371" i="13"/>
  <c r="M371" i="13" s="1"/>
  <c r="O371" i="13" s="1"/>
  <c r="P371" i="13" s="1"/>
  <c r="Q371" i="13" s="1"/>
  <c r="N373" i="13"/>
  <c r="M373" i="13" s="1"/>
  <c r="O373" i="13" s="1"/>
  <c r="P373" i="13" s="1"/>
  <c r="Q373" i="13" s="1"/>
  <c r="O382" i="13"/>
  <c r="P382" i="13" s="1"/>
  <c r="Q382" i="13" s="1"/>
  <c r="O390" i="13"/>
  <c r="P390" i="13" s="1"/>
  <c r="Q390" i="13" s="1"/>
  <c r="O398" i="13"/>
  <c r="P398" i="13" s="1"/>
  <c r="Q398" i="13" s="1"/>
  <c r="R81" i="13" l="1"/>
  <c r="S81" i="13"/>
  <c r="Q103" i="13"/>
  <c r="J409" i="13"/>
  <c r="R272" i="13"/>
  <c r="S272" i="13"/>
  <c r="R268" i="13"/>
  <c r="S268" i="13"/>
  <c r="R400" i="13"/>
  <c r="S400" i="13"/>
  <c r="R402" i="13"/>
  <c r="S402" i="13" s="1"/>
  <c r="R393" i="13"/>
  <c r="S393" i="13" s="1"/>
  <c r="R399" i="13"/>
  <c r="S399" i="13" s="1"/>
  <c r="R281" i="13"/>
  <c r="S281" i="13" s="1"/>
  <c r="R242" i="13"/>
  <c r="Q251" i="13"/>
  <c r="R172" i="13"/>
  <c r="S172" i="13" s="1"/>
  <c r="R243" i="13"/>
  <c r="S243" i="13" s="1"/>
  <c r="R40" i="13"/>
  <c r="S40" i="13" s="1"/>
  <c r="R169" i="13"/>
  <c r="S169" i="13" s="1"/>
  <c r="R10" i="13"/>
  <c r="S10" i="13" s="1"/>
  <c r="Q24" i="13"/>
  <c r="R356" i="13"/>
  <c r="S356" i="13" s="1"/>
  <c r="R321" i="13"/>
  <c r="S321" i="13" s="1"/>
  <c r="R293" i="13"/>
  <c r="S293" i="13" s="1"/>
  <c r="R264" i="13"/>
  <c r="S264" i="13" s="1"/>
  <c r="R337" i="13"/>
  <c r="S337" i="13" s="1"/>
  <c r="R319" i="13"/>
  <c r="S319" i="13" s="1"/>
  <c r="R287" i="13"/>
  <c r="S287" i="13" s="1"/>
  <c r="R238" i="13"/>
  <c r="S238" i="13" s="1"/>
  <c r="R327" i="13"/>
  <c r="S327" i="13" s="1"/>
  <c r="R326" i="13"/>
  <c r="S326" i="13" s="1"/>
  <c r="R294" i="13"/>
  <c r="S294" i="13" s="1"/>
  <c r="R262" i="13"/>
  <c r="S262" i="13" s="1"/>
  <c r="R170" i="13"/>
  <c r="S170" i="13" s="1"/>
  <c r="R162" i="13"/>
  <c r="S162" i="13" s="1"/>
  <c r="R248" i="13"/>
  <c r="S248" i="13" s="1"/>
  <c r="R175" i="13"/>
  <c r="S175" i="13" s="1"/>
  <c r="Q83" i="13"/>
  <c r="R63" i="13"/>
  <c r="S63" i="13" s="1"/>
  <c r="R177" i="13"/>
  <c r="S177" i="13"/>
  <c r="R16" i="13"/>
  <c r="S16" i="13" s="1"/>
  <c r="R87" i="13"/>
  <c r="S87" i="13" s="1"/>
  <c r="R30" i="13"/>
  <c r="S30" i="13" s="1"/>
  <c r="R91" i="13"/>
  <c r="S91" i="13" s="1"/>
  <c r="R365" i="13"/>
  <c r="S365" i="13" s="1"/>
  <c r="R269" i="13"/>
  <c r="S269" i="13" s="1"/>
  <c r="R322" i="13"/>
  <c r="S322" i="13" s="1"/>
  <c r="R295" i="13"/>
  <c r="S295" i="13" s="1"/>
  <c r="R89" i="13"/>
  <c r="S89" i="13" s="1"/>
  <c r="R65" i="13"/>
  <c r="S65" i="13" s="1"/>
  <c r="R18" i="13"/>
  <c r="S18" i="13" s="1"/>
  <c r="R371" i="13"/>
  <c r="S371" i="13" s="1"/>
  <c r="R379" i="13"/>
  <c r="Q403" i="13"/>
  <c r="R313" i="13"/>
  <c r="S313" i="13" s="1"/>
  <c r="R305" i="13"/>
  <c r="S305" i="13" s="1"/>
  <c r="R271" i="13"/>
  <c r="S271" i="13" s="1"/>
  <c r="R263" i="13"/>
  <c r="S263" i="13" s="1"/>
  <c r="R306" i="13"/>
  <c r="S306" i="13" s="1"/>
  <c r="R250" i="13"/>
  <c r="S250" i="13" s="1"/>
  <c r="R323" i="13"/>
  <c r="S323" i="13" s="1"/>
  <c r="R291" i="13"/>
  <c r="S291" i="13" s="1"/>
  <c r="Q235" i="13"/>
  <c r="R168" i="13"/>
  <c r="S168" i="13" s="1"/>
  <c r="Q98" i="13"/>
  <c r="R97" i="13"/>
  <c r="R98" i="13" s="1"/>
  <c r="R298" i="13"/>
  <c r="S298" i="13" s="1"/>
  <c r="R66" i="13"/>
  <c r="S66" i="13" s="1"/>
  <c r="S60" i="13"/>
  <c r="R60" i="13"/>
  <c r="R283" i="13"/>
  <c r="S283" i="13" s="1"/>
  <c r="R185" i="13"/>
  <c r="S185" i="13" s="1"/>
  <c r="R22" i="13"/>
  <c r="S22" i="13" s="1"/>
  <c r="R14" i="13"/>
  <c r="S14" i="13" s="1"/>
  <c r="R74" i="13"/>
  <c r="S74" i="13" s="1"/>
  <c r="R28" i="13"/>
  <c r="S28" i="13" s="1"/>
  <c r="R53" i="13"/>
  <c r="S53" i="13" s="1"/>
  <c r="R358" i="13"/>
  <c r="S358" i="13" s="1"/>
  <c r="R309" i="13"/>
  <c r="S309" i="13" s="1"/>
  <c r="R290" i="13"/>
  <c r="S290" i="13" s="1"/>
  <c r="R307" i="13"/>
  <c r="S307" i="13" s="1"/>
  <c r="R158" i="13"/>
  <c r="S158" i="13" s="1"/>
  <c r="R245" i="13"/>
  <c r="S245" i="13" s="1"/>
  <c r="R73" i="13"/>
  <c r="S73" i="13" s="1"/>
  <c r="R315" i="13"/>
  <c r="S315" i="13" s="1"/>
  <c r="R90" i="13"/>
  <c r="S90" i="13" s="1"/>
  <c r="R364" i="13"/>
  <c r="S364" i="13" s="1"/>
  <c r="R357" i="13"/>
  <c r="S357" i="13" s="1"/>
  <c r="R374" i="13"/>
  <c r="S374" i="13" s="1"/>
  <c r="R325" i="13"/>
  <c r="S325" i="13" s="1"/>
  <c r="R297" i="13"/>
  <c r="S297" i="13" s="1"/>
  <c r="R289" i="13"/>
  <c r="S289" i="13" s="1"/>
  <c r="R366" i="13"/>
  <c r="S366" i="13" s="1"/>
  <c r="R303" i="13"/>
  <c r="S303" i="13" s="1"/>
  <c r="R246" i="13"/>
  <c r="S246" i="13" s="1"/>
  <c r="R310" i="13"/>
  <c r="S310" i="13" s="1"/>
  <c r="R277" i="13"/>
  <c r="S277" i="13" s="1"/>
  <c r="R266" i="13"/>
  <c r="S266" i="13" s="1"/>
  <c r="R174" i="13"/>
  <c r="S174" i="13" s="1"/>
  <c r="R154" i="13"/>
  <c r="S154" i="13" s="1"/>
  <c r="R70" i="13"/>
  <c r="S70" i="13" s="1"/>
  <c r="R56" i="13"/>
  <c r="S56" i="13" s="1"/>
  <c r="R36" i="13"/>
  <c r="S36" i="13" s="1"/>
  <c r="R299" i="13"/>
  <c r="S299" i="13" s="1"/>
  <c r="R193" i="13"/>
  <c r="S193" i="13" s="1"/>
  <c r="R173" i="13"/>
  <c r="S173" i="13" s="1"/>
  <c r="R20" i="13"/>
  <c r="R12" i="13"/>
  <c r="S12" i="13" s="1"/>
  <c r="Q31" i="13"/>
  <c r="R26" i="13"/>
  <c r="S26" i="13" s="1"/>
  <c r="R57" i="13"/>
  <c r="S57" i="13" s="1"/>
  <c r="R373" i="13"/>
  <c r="S373" i="13" s="1"/>
  <c r="R392" i="13"/>
  <c r="S392" i="13" s="1"/>
  <c r="R352" i="13"/>
  <c r="S352" i="13" s="1"/>
  <c r="R391" i="13"/>
  <c r="S391" i="13" s="1"/>
  <c r="R225" i="13"/>
  <c r="S225" i="13" s="1"/>
  <c r="R217" i="13"/>
  <c r="S217" i="13" s="1"/>
  <c r="R209" i="13"/>
  <c r="S209" i="13" s="1"/>
  <c r="R201" i="13"/>
  <c r="S201" i="13" s="1"/>
  <c r="S186" i="13"/>
  <c r="R186" i="13"/>
  <c r="R150" i="13"/>
  <c r="S150" i="13" s="1"/>
  <c r="R134" i="13"/>
  <c r="S134" i="13" s="1"/>
  <c r="R118" i="13"/>
  <c r="S118" i="13" s="1"/>
  <c r="R197" i="13"/>
  <c r="S197" i="13" s="1"/>
  <c r="R181" i="13"/>
  <c r="S181" i="13" s="1"/>
  <c r="R45" i="13"/>
  <c r="S45" i="13" s="1"/>
  <c r="R69" i="13"/>
  <c r="S69" i="13" s="1"/>
  <c r="R27" i="13"/>
  <c r="S27" i="13" s="1"/>
  <c r="R55" i="13"/>
  <c r="S55" i="13"/>
  <c r="R51" i="13"/>
  <c r="Q61" i="13"/>
  <c r="R382" i="13"/>
  <c r="S382" i="13" s="1"/>
  <c r="R388" i="13"/>
  <c r="S388" i="13" s="1"/>
  <c r="R383" i="13"/>
  <c r="S383" i="13" s="1"/>
  <c r="R348" i="13"/>
  <c r="S348" i="13" s="1"/>
  <c r="R381" i="13"/>
  <c r="S381" i="13" s="1"/>
  <c r="S341" i="13"/>
  <c r="R341" i="13"/>
  <c r="R329" i="13"/>
  <c r="S329" i="13" s="1"/>
  <c r="R274" i="13"/>
  <c r="S274" i="13" s="1"/>
  <c r="R320" i="13"/>
  <c r="S320" i="13" s="1"/>
  <c r="R304" i="13"/>
  <c r="S304" i="13" s="1"/>
  <c r="R288" i="13"/>
  <c r="S288" i="13" s="1"/>
  <c r="R257" i="13"/>
  <c r="S257" i="13" s="1"/>
  <c r="R237" i="13"/>
  <c r="S237" i="13" s="1"/>
  <c r="Q240" i="13"/>
  <c r="R339" i="13"/>
  <c r="S339" i="13" s="1"/>
  <c r="R276" i="13"/>
  <c r="S276" i="13" s="1"/>
  <c r="R261" i="13"/>
  <c r="S261" i="13" s="1"/>
  <c r="R232" i="13"/>
  <c r="S232" i="13" s="1"/>
  <c r="R228" i="13"/>
  <c r="S228" i="13" s="1"/>
  <c r="R224" i="13"/>
  <c r="S224" i="13" s="1"/>
  <c r="R220" i="13"/>
  <c r="S220" i="13" s="1"/>
  <c r="R216" i="13"/>
  <c r="S216" i="13" s="1"/>
  <c r="R212" i="13"/>
  <c r="S212" i="13" s="1"/>
  <c r="R208" i="13"/>
  <c r="S208" i="13" s="1"/>
  <c r="R204" i="13"/>
  <c r="S204" i="13" s="1"/>
  <c r="R200" i="13"/>
  <c r="S200" i="13" s="1"/>
  <c r="R192" i="13"/>
  <c r="S192" i="13" s="1"/>
  <c r="R184" i="13"/>
  <c r="S184" i="13" s="1"/>
  <c r="R148" i="13"/>
  <c r="S148" i="13" s="1"/>
  <c r="R140" i="13"/>
  <c r="S140" i="13" s="1"/>
  <c r="R132" i="13"/>
  <c r="S132" i="13" s="1"/>
  <c r="R124" i="13"/>
  <c r="S124" i="13" s="1"/>
  <c r="R116" i="13"/>
  <c r="S116" i="13" s="1"/>
  <c r="R76" i="13"/>
  <c r="S76" i="13" s="1"/>
  <c r="R54" i="13"/>
  <c r="S54" i="13" s="1"/>
  <c r="R195" i="13"/>
  <c r="S195" i="13" s="1"/>
  <c r="R187" i="13"/>
  <c r="S187" i="13" s="1"/>
  <c r="R179" i="13"/>
  <c r="S179" i="13" s="1"/>
  <c r="R135" i="13"/>
  <c r="S135" i="13" s="1"/>
  <c r="R77" i="13"/>
  <c r="S77" i="13" s="1"/>
  <c r="R121" i="13"/>
  <c r="S121" i="13" s="1"/>
  <c r="R131" i="13"/>
  <c r="S131" i="13" s="1"/>
  <c r="R398" i="13"/>
  <c r="S398" i="13" s="1"/>
  <c r="R369" i="13"/>
  <c r="S369" i="13" s="1"/>
  <c r="R368" i="13"/>
  <c r="S368" i="13" s="1"/>
  <c r="R344" i="13"/>
  <c r="S344" i="13" s="1"/>
  <c r="R372" i="13"/>
  <c r="S372" i="13" s="1"/>
  <c r="R351" i="13"/>
  <c r="S351" i="13" s="1"/>
  <c r="R333" i="13"/>
  <c r="S333" i="13" s="1"/>
  <c r="R347" i="13"/>
  <c r="S347" i="13" s="1"/>
  <c r="R273" i="13"/>
  <c r="S273" i="13" s="1"/>
  <c r="R355" i="13"/>
  <c r="S355" i="13" s="1"/>
  <c r="R330" i="13"/>
  <c r="S330" i="13" s="1"/>
  <c r="R317" i="13"/>
  <c r="S317" i="13" s="1"/>
  <c r="R312" i="13"/>
  <c r="S312" i="13" s="1"/>
  <c r="R301" i="13"/>
  <c r="S301" i="13" s="1"/>
  <c r="R296" i="13"/>
  <c r="S296" i="13" s="1"/>
  <c r="R285" i="13"/>
  <c r="S285" i="13" s="1"/>
  <c r="R280" i="13"/>
  <c r="S280" i="13" s="1"/>
  <c r="R267" i="13"/>
  <c r="S267" i="13" s="1"/>
  <c r="R334" i="13"/>
  <c r="S334" i="13" s="1"/>
  <c r="Q107" i="13"/>
  <c r="R105" i="13"/>
  <c r="R314" i="13"/>
  <c r="S314" i="13" s="1"/>
  <c r="R282" i="13"/>
  <c r="S282" i="13" s="1"/>
  <c r="R260" i="13"/>
  <c r="S260" i="13" s="1"/>
  <c r="R275" i="13"/>
  <c r="S275" i="13" s="1"/>
  <c r="R234" i="13"/>
  <c r="S234" i="13" s="1"/>
  <c r="R230" i="13"/>
  <c r="S230" i="13" s="1"/>
  <c r="R226" i="13"/>
  <c r="S226" i="13" s="1"/>
  <c r="R222" i="13"/>
  <c r="S222" i="13" s="1"/>
  <c r="R218" i="13"/>
  <c r="S218" i="13" s="1"/>
  <c r="R214" i="13"/>
  <c r="S214" i="13" s="1"/>
  <c r="R210" i="13"/>
  <c r="S210" i="13" s="1"/>
  <c r="R206" i="13"/>
  <c r="S206" i="13" s="1"/>
  <c r="R202" i="13"/>
  <c r="S202" i="13" s="1"/>
  <c r="R196" i="13"/>
  <c r="S196" i="13" s="1"/>
  <c r="R188" i="13"/>
  <c r="S188" i="13" s="1"/>
  <c r="R180" i="13"/>
  <c r="S180" i="13" s="1"/>
  <c r="R164" i="13"/>
  <c r="S164" i="13" s="1"/>
  <c r="R160" i="13"/>
  <c r="S160" i="13" s="1"/>
  <c r="R156" i="13"/>
  <c r="S156" i="13" s="1"/>
  <c r="R152" i="13"/>
  <c r="S152" i="13" s="1"/>
  <c r="R144" i="13"/>
  <c r="S144" i="13" s="1"/>
  <c r="R136" i="13"/>
  <c r="S136" i="13" s="1"/>
  <c r="R128" i="13"/>
  <c r="S128" i="13" s="1"/>
  <c r="R120" i="13"/>
  <c r="S120" i="13" s="1"/>
  <c r="Q166" i="13"/>
  <c r="R112" i="13"/>
  <c r="S112" i="13" s="1"/>
  <c r="R311" i="13"/>
  <c r="S311" i="13" s="1"/>
  <c r="R279" i="13"/>
  <c r="S279" i="13" s="1"/>
  <c r="R244" i="13"/>
  <c r="S244" i="13" s="1"/>
  <c r="R247" i="13"/>
  <c r="S247" i="13" s="1"/>
  <c r="R72" i="13"/>
  <c r="S72" i="13" s="1"/>
  <c r="R68" i="13"/>
  <c r="S68" i="13" s="1"/>
  <c r="R64" i="13"/>
  <c r="S64" i="13" s="1"/>
  <c r="R199" i="13"/>
  <c r="S199" i="13"/>
  <c r="R191" i="13"/>
  <c r="S191" i="13" s="1"/>
  <c r="R183" i="13"/>
  <c r="S183" i="13" s="1"/>
  <c r="R171" i="13"/>
  <c r="S171" i="13" s="1"/>
  <c r="R151" i="13"/>
  <c r="S151" i="13" s="1"/>
  <c r="R119" i="13"/>
  <c r="S119" i="13" s="1"/>
  <c r="R88" i="13"/>
  <c r="S88" i="13" s="1"/>
  <c r="R137" i="13"/>
  <c r="S137" i="13" s="1"/>
  <c r="R106" i="13"/>
  <c r="S106" i="13" s="1"/>
  <c r="R42" i="13"/>
  <c r="S42" i="13" s="1"/>
  <c r="R38" i="13"/>
  <c r="S38" i="13" s="1"/>
  <c r="R34" i="13"/>
  <c r="R318" i="13"/>
  <c r="S318" i="13" s="1"/>
  <c r="R302" i="13"/>
  <c r="S302" i="13" s="1"/>
  <c r="R286" i="13"/>
  <c r="S286" i="13" s="1"/>
  <c r="R249" i="13"/>
  <c r="S249" i="13" s="1"/>
  <c r="R147" i="13"/>
  <c r="S147" i="13" s="1"/>
  <c r="R115" i="13"/>
  <c r="S115" i="13" s="1"/>
  <c r="R52" i="13"/>
  <c r="S52" i="13" s="1"/>
  <c r="R71" i="13"/>
  <c r="S71" i="13" s="1"/>
  <c r="R29" i="13"/>
  <c r="S29" i="13"/>
  <c r="Q46" i="13"/>
  <c r="R86" i="13"/>
  <c r="S86" i="13" s="1"/>
  <c r="R390" i="13"/>
  <c r="S390" i="13" s="1"/>
  <c r="R396" i="13"/>
  <c r="S396" i="13" s="1"/>
  <c r="R386" i="13"/>
  <c r="S386" i="13" s="1"/>
  <c r="R350" i="13"/>
  <c r="S350" i="13" s="1"/>
  <c r="R342" i="13"/>
  <c r="S342" i="13" s="1"/>
  <c r="R367" i="13"/>
  <c r="S367" i="13" s="1"/>
  <c r="R343" i="13"/>
  <c r="S343" i="13" s="1"/>
  <c r="R397" i="13"/>
  <c r="S397" i="13" s="1"/>
  <c r="R349" i="13"/>
  <c r="S349" i="13" s="1"/>
  <c r="R331" i="13"/>
  <c r="S331" i="13" s="1"/>
  <c r="R363" i="13"/>
  <c r="Q375" i="13"/>
  <c r="R389" i="13"/>
  <c r="S389" i="13"/>
  <c r="R316" i="13"/>
  <c r="S316" i="13" s="1"/>
  <c r="R300" i="13"/>
  <c r="S300" i="13" s="1"/>
  <c r="R284" i="13"/>
  <c r="S284" i="13" s="1"/>
  <c r="R259" i="13"/>
  <c r="R85" i="13"/>
  <c r="S85" i="13" s="1"/>
  <c r="Q92" i="13"/>
  <c r="R233" i="13"/>
  <c r="S233" i="13" s="1"/>
  <c r="R229" i="13"/>
  <c r="S229" i="13" s="1"/>
  <c r="R221" i="13"/>
  <c r="S221" i="13" s="1"/>
  <c r="R213" i="13"/>
  <c r="S213" i="13" s="1"/>
  <c r="R205" i="13"/>
  <c r="S205" i="13" s="1"/>
  <c r="R194" i="13"/>
  <c r="S194" i="13" s="1"/>
  <c r="R178" i="13"/>
  <c r="S178" i="13" s="1"/>
  <c r="R142" i="13"/>
  <c r="S142" i="13" s="1"/>
  <c r="R126" i="13"/>
  <c r="S126" i="13" s="1"/>
  <c r="R58" i="13"/>
  <c r="S58" i="13" s="1"/>
  <c r="Q361" i="13"/>
  <c r="R143" i="13"/>
  <c r="S143" i="13" s="1"/>
  <c r="R80" i="13"/>
  <c r="S80" i="13" s="1"/>
  <c r="R129" i="13"/>
  <c r="S129" i="13" s="1"/>
  <c r="R102" i="13"/>
  <c r="R103" i="13" s="1"/>
  <c r="S102" i="13"/>
  <c r="R189" i="13"/>
  <c r="S189" i="13" s="1"/>
  <c r="R176" i="13"/>
  <c r="S176" i="13" s="1"/>
  <c r="R139" i="13"/>
  <c r="S139" i="13" s="1"/>
  <c r="S101" i="13"/>
  <c r="R67" i="13"/>
  <c r="S67" i="13" s="1"/>
  <c r="R384" i="13"/>
  <c r="S384" i="13" s="1"/>
  <c r="R340" i="13"/>
  <c r="S340" i="13" s="1"/>
  <c r="R380" i="13"/>
  <c r="S380" i="13" s="1"/>
  <c r="R370" i="13"/>
  <c r="S370" i="13" s="1"/>
  <c r="R354" i="13"/>
  <c r="S354" i="13" s="1"/>
  <c r="R346" i="13"/>
  <c r="S346" i="13" s="1"/>
  <c r="R338" i="13"/>
  <c r="S338" i="13" s="1"/>
  <c r="R359" i="13"/>
  <c r="S359" i="13" s="1"/>
  <c r="R360" i="13"/>
  <c r="S360" i="13" s="1"/>
  <c r="R335" i="13"/>
  <c r="S335" i="13" s="1"/>
  <c r="R336" i="13"/>
  <c r="S336" i="13" s="1"/>
  <c r="R324" i="13"/>
  <c r="S324" i="13" s="1"/>
  <c r="R308" i="13"/>
  <c r="S308" i="13" s="1"/>
  <c r="R292" i="13"/>
  <c r="S292" i="13" s="1"/>
  <c r="R270" i="13"/>
  <c r="S270" i="13" s="1"/>
  <c r="R265" i="13"/>
  <c r="S265" i="13" s="1"/>
  <c r="R239" i="13"/>
  <c r="S239" i="13" s="1"/>
  <c r="R231" i="13"/>
  <c r="S231" i="13" s="1"/>
  <c r="R227" i="13"/>
  <c r="S227" i="13" s="1"/>
  <c r="R223" i="13"/>
  <c r="S223" i="13" s="1"/>
  <c r="R219" i="13"/>
  <c r="S219" i="13" s="1"/>
  <c r="R215" i="13"/>
  <c r="S215" i="13" s="1"/>
  <c r="R211" i="13"/>
  <c r="S211" i="13" s="1"/>
  <c r="R207" i="13"/>
  <c r="S207" i="13" s="1"/>
  <c r="R203" i="13"/>
  <c r="S203" i="13"/>
  <c r="R198" i="13"/>
  <c r="S198" i="13" s="1"/>
  <c r="R190" i="13"/>
  <c r="S190" i="13" s="1"/>
  <c r="R182" i="13"/>
  <c r="S182" i="13" s="1"/>
  <c r="R146" i="13"/>
  <c r="S146" i="13" s="1"/>
  <c r="R138" i="13"/>
  <c r="S138" i="13" s="1"/>
  <c r="R130" i="13"/>
  <c r="S130" i="13" s="1"/>
  <c r="R122" i="13"/>
  <c r="S122" i="13" s="1"/>
  <c r="R114" i="13"/>
  <c r="S114" i="13" s="1"/>
  <c r="S256" i="13"/>
  <c r="R127" i="13"/>
  <c r="S127" i="13" s="1"/>
  <c r="R145" i="13"/>
  <c r="S145" i="13" s="1"/>
  <c r="R113" i="13"/>
  <c r="S113" i="13" s="1"/>
  <c r="R75" i="13"/>
  <c r="S75" i="13" s="1"/>
  <c r="R123" i="13"/>
  <c r="S123" i="13" s="1"/>
  <c r="S33" i="13"/>
  <c r="S9" i="13"/>
  <c r="Q93" i="13" l="1"/>
  <c r="Q108" i="13"/>
  <c r="S97" i="13"/>
  <c r="S98" i="13" s="1"/>
  <c r="R46" i="13"/>
  <c r="R24" i="13"/>
  <c r="R361" i="13"/>
  <c r="R375" i="13"/>
  <c r="S34" i="13"/>
  <c r="S46" i="13" s="1"/>
  <c r="R107" i="13"/>
  <c r="R108" i="13" s="1"/>
  <c r="R61" i="13"/>
  <c r="Q406" i="13"/>
  <c r="S166" i="13"/>
  <c r="S240" i="13"/>
  <c r="S83" i="13"/>
  <c r="R240" i="13"/>
  <c r="S31" i="13"/>
  <c r="S20" i="13"/>
  <c r="Q408" i="13"/>
  <c r="Q252" i="13"/>
  <c r="S103" i="13"/>
  <c r="S259" i="13"/>
  <c r="S361" i="13" s="1"/>
  <c r="R92" i="13"/>
  <c r="S363" i="13"/>
  <c r="S375" i="13" s="1"/>
  <c r="R166" i="13"/>
  <c r="S51" i="13"/>
  <c r="S61" i="13" s="1"/>
  <c r="Q405" i="13"/>
  <c r="Q47" i="13"/>
  <c r="R251" i="13"/>
  <c r="S235" i="13"/>
  <c r="R403" i="13"/>
  <c r="S24" i="13"/>
  <c r="S92" i="13"/>
  <c r="Q376" i="13"/>
  <c r="Q407" i="13"/>
  <c r="S105" i="13"/>
  <c r="S107" i="13" s="1"/>
  <c r="S108" i="13" s="1"/>
  <c r="R31" i="13"/>
  <c r="R235" i="13"/>
  <c r="S379" i="13"/>
  <c r="S403" i="13" s="1"/>
  <c r="R83" i="13"/>
  <c r="S242" i="13"/>
  <c r="S251" i="13" s="1"/>
  <c r="R376" i="13" l="1"/>
  <c r="S93" i="13"/>
  <c r="Q409" i="13"/>
  <c r="R405" i="13"/>
  <c r="R406" i="13"/>
  <c r="S376" i="13"/>
  <c r="R93" i="13"/>
  <c r="R47" i="13"/>
  <c r="S405" i="13"/>
  <c r="S47" i="13"/>
  <c r="S407" i="13"/>
  <c r="S408" i="13"/>
  <c r="S252" i="13"/>
  <c r="R408" i="13"/>
  <c r="R252" i="13"/>
  <c r="S406" i="13"/>
  <c r="R407" i="13"/>
  <c r="R409" i="13" l="1"/>
  <c r="S409" i="13"/>
  <c r="E29" i="12" l="1"/>
  <c r="E8" i="12" s="1"/>
  <c r="E7" i="12" s="1"/>
  <c r="F29" i="12"/>
  <c r="F8" i="12" s="1"/>
  <c r="F7" i="12" s="1"/>
  <c r="G29" i="12"/>
  <c r="G8" i="12" s="1"/>
  <c r="G7" i="12" s="1"/>
  <c r="H28" i="12"/>
  <c r="H27" i="12"/>
  <c r="H26" i="12"/>
  <c r="H25" i="12"/>
  <c r="H11" i="12"/>
  <c r="H10" i="12" s="1"/>
  <c r="H23" i="12" l="1"/>
  <c r="H29" i="12"/>
  <c r="H9" i="12" l="1"/>
  <c r="H8" i="12" s="1"/>
  <c r="H7" i="12" s="1"/>
  <c r="J347" i="8"/>
  <c r="J134" i="8"/>
  <c r="J112" i="8"/>
  <c r="J106" i="8"/>
  <c r="S342" i="8"/>
  <c r="Q342" i="8"/>
  <c r="R342" i="8"/>
  <c r="I178" i="10"/>
  <c r="F19" i="10" l="1"/>
  <c r="F17" i="10"/>
  <c r="F16" i="10"/>
  <c r="F12" i="10"/>
  <c r="F10" i="10"/>
  <c r="F9" i="10"/>
  <c r="S347" i="8" l="1"/>
  <c r="R347" i="8"/>
  <c r="Q347" i="8"/>
  <c r="H154" i="11" l="1"/>
  <c r="G154" i="11"/>
  <c r="F154" i="11"/>
  <c r="B94" i="11"/>
  <c r="B154" i="11" l="1"/>
  <c r="F129" i="11"/>
  <c r="G128" i="11"/>
  <c r="H128" i="11"/>
  <c r="F128" i="11"/>
  <c r="H129" i="11"/>
  <c r="G129" i="11"/>
  <c r="H152" i="11"/>
  <c r="G152" i="11"/>
  <c r="F152" i="11"/>
  <c r="B152" i="11"/>
  <c r="E151" i="11"/>
  <c r="F151" i="11" s="1"/>
  <c r="G151" i="11" s="1"/>
  <c r="H151" i="11" s="1"/>
  <c r="E149" i="11"/>
  <c r="F149" i="11" s="1"/>
  <c r="G149" i="11" s="1"/>
  <c r="H149" i="11" s="1"/>
  <c r="B146" i="11"/>
  <c r="E145" i="11"/>
  <c r="F145" i="11" s="1"/>
  <c r="G145" i="11" s="1"/>
  <c r="H145" i="11" s="1"/>
  <c r="E144" i="11"/>
  <c r="F144" i="11" s="1"/>
  <c r="G144" i="11" s="1"/>
  <c r="H144" i="11" s="1"/>
  <c r="E143" i="11"/>
  <c r="F143" i="11" s="1"/>
  <c r="G143" i="11" s="1"/>
  <c r="H143" i="11" s="1"/>
  <c r="E142" i="11"/>
  <c r="F142" i="11" s="1"/>
  <c r="G142" i="11" s="1"/>
  <c r="H142" i="11" s="1"/>
  <c r="E141" i="11"/>
  <c r="F141" i="11" s="1"/>
  <c r="G141" i="11" s="1"/>
  <c r="H141" i="11" s="1"/>
  <c r="E140" i="11"/>
  <c r="F140" i="11" s="1"/>
  <c r="G140" i="11" s="1"/>
  <c r="H140" i="11" s="1"/>
  <c r="E139" i="11"/>
  <c r="F139" i="11" s="1"/>
  <c r="G139" i="11" s="1"/>
  <c r="H139" i="11" s="1"/>
  <c r="E138" i="11"/>
  <c r="F138" i="11" s="1"/>
  <c r="G138" i="11" s="1"/>
  <c r="H138" i="11" s="1"/>
  <c r="E137" i="11"/>
  <c r="F137" i="11" s="1"/>
  <c r="G137" i="11" s="1"/>
  <c r="H137" i="11" s="1"/>
  <c r="E136" i="11"/>
  <c r="F136" i="11" s="1"/>
  <c r="G136" i="11" s="1"/>
  <c r="H136" i="11" s="1"/>
  <c r="E135" i="11"/>
  <c r="F135" i="11" s="1"/>
  <c r="G135" i="11" s="1"/>
  <c r="H135" i="11" s="1"/>
  <c r="E134" i="11"/>
  <c r="F134" i="11" s="1"/>
  <c r="G134" i="11" s="1"/>
  <c r="H134" i="11" s="1"/>
  <c r="E133" i="11"/>
  <c r="F133" i="11" s="1"/>
  <c r="G133" i="11" s="1"/>
  <c r="H133" i="11" s="1"/>
  <c r="E132" i="11"/>
  <c r="F132" i="11" s="1"/>
  <c r="G132" i="11" s="1"/>
  <c r="H132" i="11" s="1"/>
  <c r="B129" i="11"/>
  <c r="E128" i="11"/>
  <c r="B125" i="11"/>
  <c r="E124" i="11"/>
  <c r="F124" i="11" s="1"/>
  <c r="G124" i="11" s="1"/>
  <c r="H124" i="11" s="1"/>
  <c r="E123" i="11"/>
  <c r="F123" i="11" s="1"/>
  <c r="G123" i="11" s="1"/>
  <c r="H123" i="11" s="1"/>
  <c r="E122" i="11"/>
  <c r="F122" i="11" s="1"/>
  <c r="G122" i="11" s="1"/>
  <c r="H122" i="11" s="1"/>
  <c r="E121" i="11"/>
  <c r="F121" i="11" s="1"/>
  <c r="G121" i="11" s="1"/>
  <c r="H121" i="11" s="1"/>
  <c r="E120" i="11"/>
  <c r="F120" i="11" s="1"/>
  <c r="G120" i="11" s="1"/>
  <c r="H120" i="11" s="1"/>
  <c r="E119" i="11"/>
  <c r="F119" i="11" s="1"/>
  <c r="G119" i="11" s="1"/>
  <c r="H119" i="11" s="1"/>
  <c r="E117" i="11"/>
  <c r="F117" i="11" s="1"/>
  <c r="G117" i="11" s="1"/>
  <c r="H117" i="11" s="1"/>
  <c r="E116" i="11"/>
  <c r="F116" i="11" s="1"/>
  <c r="G116" i="11" s="1"/>
  <c r="H116" i="11" s="1"/>
  <c r="B113" i="11"/>
  <c r="E112" i="11"/>
  <c r="F112" i="11" s="1"/>
  <c r="G112" i="11" s="1"/>
  <c r="H112" i="11" s="1"/>
  <c r="H113" i="11" s="1"/>
  <c r="E111" i="11"/>
  <c r="F111" i="11" s="1"/>
  <c r="G111" i="11" s="1"/>
  <c r="H111" i="11" s="1"/>
  <c r="G108" i="11"/>
  <c r="B108" i="11"/>
  <c r="E107" i="11"/>
  <c r="F107" i="11" s="1"/>
  <c r="G107" i="11" s="1"/>
  <c r="H107" i="11" s="1"/>
  <c r="H108" i="11" s="1"/>
  <c r="E105" i="11"/>
  <c r="F105" i="11" s="1"/>
  <c r="G105" i="11" s="1"/>
  <c r="H105" i="11" s="1"/>
  <c r="B102" i="11"/>
  <c r="E98" i="11"/>
  <c r="F98" i="11" s="1"/>
  <c r="G98" i="11" s="1"/>
  <c r="H98" i="11" s="1"/>
  <c r="E97" i="11"/>
  <c r="F97" i="11" s="1"/>
  <c r="G97" i="11" s="1"/>
  <c r="H97" i="11" s="1"/>
  <c r="E101" i="11"/>
  <c r="F101" i="11" s="1"/>
  <c r="G101" i="11" s="1"/>
  <c r="H101" i="11" s="1"/>
  <c r="E100" i="11"/>
  <c r="F100" i="11" s="1"/>
  <c r="G100" i="11" s="1"/>
  <c r="H100" i="11" s="1"/>
  <c r="E90" i="11"/>
  <c r="F90" i="11" s="1"/>
  <c r="G90" i="11" s="1"/>
  <c r="H90" i="11" s="1"/>
  <c r="E93" i="11"/>
  <c r="F93" i="11" s="1"/>
  <c r="G93" i="11" s="1"/>
  <c r="H93" i="11" s="1"/>
  <c r="E92" i="11"/>
  <c r="F92" i="11" s="1"/>
  <c r="G92" i="11" s="1"/>
  <c r="H92" i="11" s="1"/>
  <c r="E89" i="11"/>
  <c r="F89" i="11" s="1"/>
  <c r="G89" i="11" s="1"/>
  <c r="H89" i="11" s="1"/>
  <c r="E88" i="11"/>
  <c r="F88" i="11" s="1"/>
  <c r="G88" i="11" s="1"/>
  <c r="H88" i="11" s="1"/>
  <c r="E87" i="11"/>
  <c r="F87" i="11" s="1"/>
  <c r="G87" i="11" s="1"/>
  <c r="H87" i="11" s="1"/>
  <c r="E86" i="11"/>
  <c r="F86" i="11" s="1"/>
  <c r="G86" i="11" s="1"/>
  <c r="H86" i="11" s="1"/>
  <c r="E85" i="11"/>
  <c r="F85" i="11" s="1"/>
  <c r="G85" i="11" s="1"/>
  <c r="H85" i="11" s="1"/>
  <c r="E84" i="11"/>
  <c r="F84" i="11" s="1"/>
  <c r="G84" i="11" s="1"/>
  <c r="H84" i="11" s="1"/>
  <c r="E83" i="11"/>
  <c r="F83" i="11" s="1"/>
  <c r="G83" i="11" s="1"/>
  <c r="H83" i="11" s="1"/>
  <c r="H102" i="11" l="1"/>
  <c r="H146" i="11"/>
  <c r="F108" i="11"/>
  <c r="F113" i="11"/>
  <c r="G125" i="11"/>
  <c r="G113" i="11"/>
  <c r="F146" i="11"/>
  <c r="G146" i="11"/>
  <c r="F125" i="11"/>
  <c r="H125" i="11"/>
  <c r="F102" i="11"/>
  <c r="H94" i="11"/>
  <c r="G102" i="11"/>
  <c r="F94" i="11"/>
  <c r="G94" i="11"/>
  <c r="E79" i="11"/>
  <c r="F79" i="11" s="1"/>
  <c r="G79" i="11" s="1"/>
  <c r="H79" i="11" s="1"/>
  <c r="B80" i="11"/>
  <c r="E77" i="11"/>
  <c r="F77" i="11" s="1"/>
  <c r="G77" i="11" s="1"/>
  <c r="H77" i="11" s="1"/>
  <c r="E76" i="11"/>
  <c r="F76" i="11" s="1"/>
  <c r="G76" i="11" s="1"/>
  <c r="H76" i="11" s="1"/>
  <c r="E75" i="11"/>
  <c r="F75" i="11" s="1"/>
  <c r="G75" i="11" s="1"/>
  <c r="H75" i="11" s="1"/>
  <c r="E73" i="11"/>
  <c r="F73" i="11" s="1"/>
  <c r="E72" i="11"/>
  <c r="F72" i="11" s="1"/>
  <c r="G72" i="11" s="1"/>
  <c r="H72" i="11" s="1"/>
  <c r="B69" i="11"/>
  <c r="B61" i="11"/>
  <c r="F80" i="11" l="1"/>
  <c r="G73" i="11"/>
  <c r="G80" i="11" s="1"/>
  <c r="E68" i="11"/>
  <c r="F68" i="11" s="1"/>
  <c r="E67" i="11"/>
  <c r="F67" i="11" s="1"/>
  <c r="G67" i="11" s="1"/>
  <c r="H67" i="11" s="1"/>
  <c r="E65" i="11"/>
  <c r="F65" i="11" s="1"/>
  <c r="G65" i="11" s="1"/>
  <c r="H65" i="11" s="1"/>
  <c r="E64" i="11"/>
  <c r="F64" i="11" s="1"/>
  <c r="G64" i="11" s="1"/>
  <c r="H64" i="11" s="1"/>
  <c r="E60" i="11"/>
  <c r="F60" i="11" s="1"/>
  <c r="G68" i="11" l="1"/>
  <c r="F69" i="11"/>
  <c r="H73" i="11"/>
  <c r="H80" i="11" s="1"/>
  <c r="G60" i="11"/>
  <c r="H60" i="11" s="1"/>
  <c r="E59" i="11"/>
  <c r="F59" i="11" s="1"/>
  <c r="G59" i="11" s="1"/>
  <c r="H59" i="11" s="1"/>
  <c r="E58" i="11"/>
  <c r="F58" i="11" s="1"/>
  <c r="G58" i="11" s="1"/>
  <c r="H58" i="11" s="1"/>
  <c r="E57" i="11"/>
  <c r="F57" i="11" s="1"/>
  <c r="G57" i="11" s="1"/>
  <c r="H57" i="11" s="1"/>
  <c r="E55" i="11"/>
  <c r="F55" i="11" s="1"/>
  <c r="B52" i="11"/>
  <c r="E51" i="11"/>
  <c r="F51" i="11" s="1"/>
  <c r="G51" i="11" s="1"/>
  <c r="H51" i="11" s="1"/>
  <c r="E50" i="11"/>
  <c r="F50" i="11" s="1"/>
  <c r="G50" i="11" s="1"/>
  <c r="H50" i="11" s="1"/>
  <c r="E48" i="11"/>
  <c r="F48" i="11" s="1"/>
  <c r="G48" i="11" s="1"/>
  <c r="H48" i="11" s="1"/>
  <c r="B45" i="11"/>
  <c r="E44" i="11"/>
  <c r="F44" i="11" s="1"/>
  <c r="G44" i="11" s="1"/>
  <c r="H44" i="11" s="1"/>
  <c r="E42" i="11"/>
  <c r="F42" i="11"/>
  <c r="G42" i="11" s="1"/>
  <c r="H42" i="11" s="1"/>
  <c r="E41" i="11"/>
  <c r="F41" i="11" s="1"/>
  <c r="G41" i="11" s="1"/>
  <c r="H41" i="11" s="1"/>
  <c r="E40" i="11"/>
  <c r="F40" i="11" s="1"/>
  <c r="G40" i="11" s="1"/>
  <c r="H40" i="11" s="1"/>
  <c r="E38" i="11"/>
  <c r="F38" i="11" s="1"/>
  <c r="G38" i="11" s="1"/>
  <c r="H38" i="11" s="1"/>
  <c r="E37" i="11"/>
  <c r="F37" i="11" s="1"/>
  <c r="G37" i="11" s="1"/>
  <c r="H37" i="11" s="1"/>
  <c r="E36" i="11"/>
  <c r="F36" i="11" s="1"/>
  <c r="G36" i="11" s="1"/>
  <c r="H36" i="11" s="1"/>
  <c r="E35" i="11"/>
  <c r="F35" i="11" s="1"/>
  <c r="G35" i="11" s="1"/>
  <c r="H35" i="11" s="1"/>
  <c r="E34" i="11"/>
  <c r="F34" i="11" s="1"/>
  <c r="G34" i="11" s="1"/>
  <c r="H34" i="11" s="1"/>
  <c r="B31" i="11"/>
  <c r="E30" i="11"/>
  <c r="F30" i="11" s="1"/>
  <c r="G30" i="11" s="1"/>
  <c r="H30" i="11" s="1"/>
  <c r="E27" i="11"/>
  <c r="F27" i="11" s="1"/>
  <c r="G27" i="11" s="1"/>
  <c r="B22" i="11"/>
  <c r="E29" i="11"/>
  <c r="F29" i="11" s="1"/>
  <c r="G29" i="11" s="1"/>
  <c r="H29" i="11" s="1"/>
  <c r="E28" i="11"/>
  <c r="F28" i="11" s="1"/>
  <c r="G28" i="11" s="1"/>
  <c r="H28" i="11" s="1"/>
  <c r="E25" i="11"/>
  <c r="E16" i="11"/>
  <c r="F16" i="11" s="1"/>
  <c r="G16" i="11" s="1"/>
  <c r="H16" i="11" s="1"/>
  <c r="E21" i="11"/>
  <c r="F21" i="11" s="1"/>
  <c r="G21" i="11" s="1"/>
  <c r="H21" i="11" s="1"/>
  <c r="E19" i="11"/>
  <c r="F19" i="11" s="1"/>
  <c r="G19" i="11" s="1"/>
  <c r="H19" i="11" s="1"/>
  <c r="E18" i="11"/>
  <c r="F18" i="11" s="1"/>
  <c r="G18" i="11" s="1"/>
  <c r="H18" i="11" s="1"/>
  <c r="B13" i="11"/>
  <c r="H9" i="10"/>
  <c r="G9" i="10"/>
  <c r="E12" i="11"/>
  <c r="F12" i="11" s="1"/>
  <c r="E11" i="11"/>
  <c r="F11" i="11" s="1"/>
  <c r="G11" i="11" s="1"/>
  <c r="H11" i="11" s="1"/>
  <c r="E9" i="11"/>
  <c r="F9" i="11" s="1"/>
  <c r="G9" i="11" s="1"/>
  <c r="H9" i="11" s="1"/>
  <c r="K96" i="8"/>
  <c r="K95" i="8"/>
  <c r="L95" i="8" s="1"/>
  <c r="J97" i="8"/>
  <c r="J98" i="8" s="1"/>
  <c r="L96" i="8"/>
  <c r="G177" i="10"/>
  <c r="H177" i="10" s="1"/>
  <c r="I177" i="10" s="1"/>
  <c r="G175" i="10"/>
  <c r="H175" i="10" s="1"/>
  <c r="I175" i="10" s="1"/>
  <c r="G174" i="10"/>
  <c r="H174" i="10" s="1"/>
  <c r="I174" i="10" s="1"/>
  <c r="H173" i="10"/>
  <c r="I173" i="10" s="1"/>
  <c r="G173" i="10"/>
  <c r="G172" i="10"/>
  <c r="H172" i="10" s="1"/>
  <c r="I172" i="10" s="1"/>
  <c r="H171" i="10"/>
  <c r="I171" i="10" s="1"/>
  <c r="G171" i="10"/>
  <c r="G170" i="10"/>
  <c r="H170" i="10" s="1"/>
  <c r="I170" i="10" s="1"/>
  <c r="H169" i="10"/>
  <c r="I169" i="10" s="1"/>
  <c r="G169" i="10"/>
  <c r="G168" i="10"/>
  <c r="H168" i="10" s="1"/>
  <c r="I168" i="10" s="1"/>
  <c r="H167" i="10"/>
  <c r="I167" i="10" s="1"/>
  <c r="G167" i="10"/>
  <c r="G166" i="10"/>
  <c r="H166" i="10" s="1"/>
  <c r="I166" i="10" s="1"/>
  <c r="H165" i="10"/>
  <c r="I165" i="10" s="1"/>
  <c r="G165" i="10"/>
  <c r="G164" i="10"/>
  <c r="H164" i="10" s="1"/>
  <c r="I164" i="10" s="1"/>
  <c r="H163" i="10"/>
  <c r="I163" i="10" s="1"/>
  <c r="G163" i="10"/>
  <c r="G162" i="10"/>
  <c r="H162" i="10" s="1"/>
  <c r="I162" i="10" s="1"/>
  <c r="H161" i="10"/>
  <c r="I161" i="10" s="1"/>
  <c r="G161" i="10"/>
  <c r="G160" i="10"/>
  <c r="H160" i="10" s="1"/>
  <c r="I160" i="10" s="1"/>
  <c r="H159" i="10"/>
  <c r="I159" i="10" s="1"/>
  <c r="G159" i="10"/>
  <c r="G158" i="10"/>
  <c r="H158" i="10" s="1"/>
  <c r="I158" i="10" s="1"/>
  <c r="G157" i="10"/>
  <c r="H157" i="10" s="1"/>
  <c r="I157" i="10" s="1"/>
  <c r="G156" i="10"/>
  <c r="H156" i="10" s="1"/>
  <c r="I156" i="10" s="1"/>
  <c r="H155" i="10"/>
  <c r="I155" i="10" s="1"/>
  <c r="G155" i="10"/>
  <c r="G154" i="10"/>
  <c r="H154" i="10" s="1"/>
  <c r="I154" i="10" s="1"/>
  <c r="H153" i="10"/>
  <c r="I153" i="10" s="1"/>
  <c r="G153" i="10"/>
  <c r="G152" i="10"/>
  <c r="H152" i="10" s="1"/>
  <c r="I152" i="10" s="1"/>
  <c r="H151" i="10"/>
  <c r="I151" i="10" s="1"/>
  <c r="G151" i="10"/>
  <c r="G150" i="10"/>
  <c r="H150" i="10" s="1"/>
  <c r="I150" i="10" s="1"/>
  <c r="H149" i="10"/>
  <c r="I149" i="10" s="1"/>
  <c r="G149" i="10"/>
  <c r="G148" i="10"/>
  <c r="H148" i="10" s="1"/>
  <c r="I148" i="10" s="1"/>
  <c r="H147" i="10"/>
  <c r="I147" i="10" s="1"/>
  <c r="G147" i="10"/>
  <c r="G146" i="10"/>
  <c r="H146" i="10" s="1"/>
  <c r="I146" i="10" s="1"/>
  <c r="H145" i="10"/>
  <c r="I145" i="10" s="1"/>
  <c r="G145" i="10"/>
  <c r="G144" i="10"/>
  <c r="H144" i="10" s="1"/>
  <c r="I144" i="10" s="1"/>
  <c r="H143" i="10"/>
  <c r="I143" i="10" s="1"/>
  <c r="G143" i="10"/>
  <c r="G142" i="10"/>
  <c r="H142" i="10" s="1"/>
  <c r="I142" i="10" s="1"/>
  <c r="H141" i="10"/>
  <c r="I141" i="10" s="1"/>
  <c r="G141" i="10"/>
  <c r="G140" i="10"/>
  <c r="H140" i="10" s="1"/>
  <c r="I140" i="10" s="1"/>
  <c r="H139" i="10"/>
  <c r="I139" i="10" s="1"/>
  <c r="G139" i="10"/>
  <c r="G138" i="10"/>
  <c r="H138" i="10" s="1"/>
  <c r="I138" i="10" s="1"/>
  <c r="H137" i="10"/>
  <c r="I137" i="10" s="1"/>
  <c r="G137" i="10"/>
  <c r="G136" i="10"/>
  <c r="H136" i="10" s="1"/>
  <c r="I136" i="10" s="1"/>
  <c r="H135" i="10"/>
  <c r="I135" i="10" s="1"/>
  <c r="G135" i="10"/>
  <c r="G134" i="10"/>
  <c r="H134" i="10" s="1"/>
  <c r="I134" i="10" s="1"/>
  <c r="H133" i="10"/>
  <c r="I133" i="10" s="1"/>
  <c r="G133" i="10"/>
  <c r="G132" i="10"/>
  <c r="H132" i="10" s="1"/>
  <c r="I132" i="10" s="1"/>
  <c r="H131" i="10"/>
  <c r="I131" i="10" s="1"/>
  <c r="G131" i="10"/>
  <c r="G130" i="10"/>
  <c r="H130" i="10" s="1"/>
  <c r="I130" i="10" s="1"/>
  <c r="H129" i="10"/>
  <c r="I129" i="10" s="1"/>
  <c r="G129" i="10"/>
  <c r="G128" i="10"/>
  <c r="H128" i="10" s="1"/>
  <c r="I128" i="10" s="1"/>
  <c r="H127" i="10"/>
  <c r="I127" i="10" s="1"/>
  <c r="G127" i="10"/>
  <c r="G126" i="10"/>
  <c r="H126" i="10" s="1"/>
  <c r="I126" i="10" s="1"/>
  <c r="H125" i="10"/>
  <c r="I125" i="10" s="1"/>
  <c r="G125" i="10"/>
  <c r="G124" i="10"/>
  <c r="H124" i="10" s="1"/>
  <c r="I124" i="10" s="1"/>
  <c r="H123" i="10"/>
  <c r="I123" i="10" s="1"/>
  <c r="G123" i="10"/>
  <c r="G122" i="10"/>
  <c r="H122" i="10" s="1"/>
  <c r="I122" i="10" s="1"/>
  <c r="H121" i="10"/>
  <c r="I121" i="10" s="1"/>
  <c r="G121" i="10"/>
  <c r="G120" i="10"/>
  <c r="H120" i="10" s="1"/>
  <c r="I120" i="10" s="1"/>
  <c r="H119" i="10"/>
  <c r="I119" i="10" s="1"/>
  <c r="G119" i="10"/>
  <c r="G118" i="10"/>
  <c r="H118" i="10" s="1"/>
  <c r="I118" i="10" s="1"/>
  <c r="H117" i="10"/>
  <c r="I117" i="10" s="1"/>
  <c r="G117" i="10"/>
  <c r="G116" i="10"/>
  <c r="H116" i="10" s="1"/>
  <c r="I116" i="10" s="1"/>
  <c r="H115" i="10"/>
  <c r="I115" i="10" s="1"/>
  <c r="G115" i="10"/>
  <c r="G114" i="10"/>
  <c r="H114" i="10" s="1"/>
  <c r="I114" i="10" s="1"/>
  <c r="H113" i="10"/>
  <c r="I113" i="10" s="1"/>
  <c r="G113" i="10"/>
  <c r="G112" i="10"/>
  <c r="H112" i="10" s="1"/>
  <c r="I112" i="10" s="1"/>
  <c r="H111" i="10"/>
  <c r="I111" i="10" s="1"/>
  <c r="G111" i="10"/>
  <c r="G110" i="10"/>
  <c r="H110" i="10" s="1"/>
  <c r="I110" i="10" s="1"/>
  <c r="H109" i="10"/>
  <c r="I109" i="10" s="1"/>
  <c r="G109" i="10"/>
  <c r="G108" i="10"/>
  <c r="H108" i="10" s="1"/>
  <c r="I108" i="10" s="1"/>
  <c r="H107" i="10"/>
  <c r="I107" i="10" s="1"/>
  <c r="G107" i="10"/>
  <c r="G106" i="10"/>
  <c r="H106" i="10" s="1"/>
  <c r="I106" i="10" s="1"/>
  <c r="H105" i="10"/>
  <c r="I105" i="10" s="1"/>
  <c r="G105" i="10"/>
  <c r="G104" i="10"/>
  <c r="H104" i="10" s="1"/>
  <c r="I104" i="10" s="1"/>
  <c r="H103" i="10"/>
  <c r="I103" i="10" s="1"/>
  <c r="G103" i="10"/>
  <c r="G102" i="10"/>
  <c r="H102" i="10" s="1"/>
  <c r="I102" i="10" s="1"/>
  <c r="H101" i="10"/>
  <c r="I101" i="10" s="1"/>
  <c r="G101" i="10"/>
  <c r="G100" i="10"/>
  <c r="H100" i="10" s="1"/>
  <c r="I100" i="10" s="1"/>
  <c r="G98" i="10"/>
  <c r="H98" i="10" s="1"/>
  <c r="I98" i="10" s="1"/>
  <c r="G97" i="10"/>
  <c r="H97" i="10" s="1"/>
  <c r="I97" i="10" s="1"/>
  <c r="H96" i="10"/>
  <c r="I96" i="10" s="1"/>
  <c r="G96" i="10"/>
  <c r="G95" i="10"/>
  <c r="H95" i="10" s="1"/>
  <c r="I95" i="10" s="1"/>
  <c r="G94" i="10"/>
  <c r="H94" i="10" s="1"/>
  <c r="I94" i="10" s="1"/>
  <c r="G93" i="10"/>
  <c r="H93" i="10" s="1"/>
  <c r="I93" i="10" s="1"/>
  <c r="H92" i="10"/>
  <c r="I92" i="10" s="1"/>
  <c r="G92" i="10"/>
  <c r="G91" i="10"/>
  <c r="H91" i="10" s="1"/>
  <c r="I91" i="10" s="1"/>
  <c r="G90" i="10"/>
  <c r="H90" i="10" s="1"/>
  <c r="I90" i="10" s="1"/>
  <c r="G89" i="10"/>
  <c r="H89" i="10" s="1"/>
  <c r="I89" i="10" s="1"/>
  <c r="H88" i="10"/>
  <c r="I88" i="10" s="1"/>
  <c r="G88" i="10"/>
  <c r="G87" i="10"/>
  <c r="H87" i="10" s="1"/>
  <c r="I87" i="10" s="1"/>
  <c r="G86" i="10"/>
  <c r="H86" i="10" s="1"/>
  <c r="I86" i="10" s="1"/>
  <c r="G85" i="10"/>
  <c r="H85" i="10" s="1"/>
  <c r="I85" i="10" s="1"/>
  <c r="H84" i="10"/>
  <c r="I84" i="10" s="1"/>
  <c r="G84" i="10"/>
  <c r="G83" i="10"/>
  <c r="H83" i="10" s="1"/>
  <c r="I83" i="10" s="1"/>
  <c r="G82" i="10"/>
  <c r="H82" i="10" s="1"/>
  <c r="I82" i="10" s="1"/>
  <c r="G81" i="10"/>
  <c r="H81" i="10" s="1"/>
  <c r="I81" i="10" s="1"/>
  <c r="H80" i="10"/>
  <c r="I80" i="10" s="1"/>
  <c r="G80" i="10"/>
  <c r="G79" i="10"/>
  <c r="H79" i="10" s="1"/>
  <c r="I79" i="10" s="1"/>
  <c r="G78" i="10"/>
  <c r="H78" i="10" s="1"/>
  <c r="I78" i="10" s="1"/>
  <c r="G77" i="10"/>
  <c r="H77" i="10" s="1"/>
  <c r="I77" i="10" s="1"/>
  <c r="H76" i="10"/>
  <c r="I76" i="10" s="1"/>
  <c r="G76" i="10"/>
  <c r="G75" i="10"/>
  <c r="H75" i="10" s="1"/>
  <c r="I75" i="10" s="1"/>
  <c r="H74" i="10"/>
  <c r="I74" i="10" s="1"/>
  <c r="G74" i="10"/>
  <c r="G73" i="10"/>
  <c r="H73" i="10" s="1"/>
  <c r="I73" i="10" s="1"/>
  <c r="H72" i="10"/>
  <c r="I72" i="10" s="1"/>
  <c r="G72" i="10"/>
  <c r="G71" i="10"/>
  <c r="H71" i="10" s="1"/>
  <c r="I71" i="10" s="1"/>
  <c r="H70" i="10"/>
  <c r="I70" i="10" s="1"/>
  <c r="G70" i="10"/>
  <c r="G69" i="10"/>
  <c r="H69" i="10" s="1"/>
  <c r="I69" i="10" s="1"/>
  <c r="H68" i="10"/>
  <c r="I68" i="10" s="1"/>
  <c r="G68" i="10"/>
  <c r="G67" i="10"/>
  <c r="H67" i="10" s="1"/>
  <c r="I67" i="10" s="1"/>
  <c r="H66" i="10"/>
  <c r="I66" i="10" s="1"/>
  <c r="G66" i="10"/>
  <c r="G65" i="10"/>
  <c r="H65" i="10" s="1"/>
  <c r="I65" i="10" s="1"/>
  <c r="H64" i="10"/>
  <c r="I64" i="10" s="1"/>
  <c r="G64" i="10"/>
  <c r="G63" i="10"/>
  <c r="H63" i="10" s="1"/>
  <c r="I63" i="10" s="1"/>
  <c r="H62" i="10"/>
  <c r="I62" i="10" s="1"/>
  <c r="G62" i="10"/>
  <c r="G61" i="10"/>
  <c r="H61" i="10" s="1"/>
  <c r="I61" i="10" s="1"/>
  <c r="H60" i="10"/>
  <c r="I60" i="10" s="1"/>
  <c r="G60" i="10"/>
  <c r="G59" i="10"/>
  <c r="H59" i="10" s="1"/>
  <c r="I59" i="10" s="1"/>
  <c r="H58" i="10"/>
  <c r="I58" i="10" s="1"/>
  <c r="G58" i="10"/>
  <c r="G57" i="10"/>
  <c r="H57" i="10" s="1"/>
  <c r="I57" i="10" s="1"/>
  <c r="H56" i="10"/>
  <c r="I56" i="10" s="1"/>
  <c r="G56" i="10"/>
  <c r="G55" i="10"/>
  <c r="H55" i="10" s="1"/>
  <c r="I55" i="10" s="1"/>
  <c r="H54" i="10"/>
  <c r="I54" i="10" s="1"/>
  <c r="G54" i="10"/>
  <c r="G53" i="10"/>
  <c r="H53" i="10" s="1"/>
  <c r="I53" i="10" s="1"/>
  <c r="H52" i="10"/>
  <c r="I52" i="10" s="1"/>
  <c r="G52" i="10"/>
  <c r="G51" i="10"/>
  <c r="H51" i="10" s="1"/>
  <c r="I51" i="10" s="1"/>
  <c r="H50" i="10"/>
  <c r="I50" i="10" s="1"/>
  <c r="G50" i="10"/>
  <c r="G49" i="10"/>
  <c r="H49" i="10" s="1"/>
  <c r="I49" i="10" s="1"/>
  <c r="H48" i="10"/>
  <c r="I48" i="10" s="1"/>
  <c r="G48" i="10"/>
  <c r="G47" i="10"/>
  <c r="H47" i="10" s="1"/>
  <c r="I47" i="10" s="1"/>
  <c r="H46" i="10"/>
  <c r="I46" i="10" s="1"/>
  <c r="G46" i="10"/>
  <c r="G45" i="10"/>
  <c r="H45" i="10" s="1"/>
  <c r="I45" i="10" s="1"/>
  <c r="H44" i="10"/>
  <c r="I44" i="10" s="1"/>
  <c r="G44" i="10"/>
  <c r="G43" i="10"/>
  <c r="H43" i="10" s="1"/>
  <c r="I43" i="10" s="1"/>
  <c r="H42" i="10"/>
  <c r="I42" i="10" s="1"/>
  <c r="G42" i="10"/>
  <c r="G41" i="10"/>
  <c r="H41" i="10" s="1"/>
  <c r="I41" i="10" s="1"/>
  <c r="H40" i="10"/>
  <c r="I40" i="10" s="1"/>
  <c r="G40" i="10"/>
  <c r="G39" i="10"/>
  <c r="H39" i="10" s="1"/>
  <c r="I39" i="10" s="1"/>
  <c r="H38" i="10"/>
  <c r="I38" i="10" s="1"/>
  <c r="G38" i="10"/>
  <c r="G37" i="10"/>
  <c r="H37" i="10" s="1"/>
  <c r="I37" i="10" s="1"/>
  <c r="H36" i="10"/>
  <c r="I36" i="10" s="1"/>
  <c r="G36" i="10"/>
  <c r="G35" i="10"/>
  <c r="H35" i="10" s="1"/>
  <c r="I35" i="10" s="1"/>
  <c r="H34" i="10"/>
  <c r="I34" i="10" s="1"/>
  <c r="G34" i="10"/>
  <c r="G33" i="10"/>
  <c r="H33" i="10" s="1"/>
  <c r="I33" i="10" s="1"/>
  <c r="H32" i="10"/>
  <c r="I32" i="10" s="1"/>
  <c r="G32" i="10"/>
  <c r="G31" i="10"/>
  <c r="H31" i="10" s="1"/>
  <c r="I31" i="10" s="1"/>
  <c r="H30" i="10"/>
  <c r="I30" i="10" s="1"/>
  <c r="G30" i="10"/>
  <c r="G29" i="10"/>
  <c r="H29" i="10" s="1"/>
  <c r="I29" i="10" s="1"/>
  <c r="H28" i="10"/>
  <c r="I28" i="10" s="1"/>
  <c r="G28" i="10"/>
  <c r="G27" i="10"/>
  <c r="H27" i="10" s="1"/>
  <c r="I27" i="10" s="1"/>
  <c r="H26" i="10"/>
  <c r="I26" i="10" s="1"/>
  <c r="G26" i="10"/>
  <c r="G25" i="10"/>
  <c r="H25" i="10" s="1"/>
  <c r="I25" i="10" s="1"/>
  <c r="H24" i="10"/>
  <c r="I24" i="10" s="1"/>
  <c r="G24" i="10"/>
  <c r="G23" i="10"/>
  <c r="H23" i="10" s="1"/>
  <c r="I23" i="10" s="1"/>
  <c r="H22" i="10"/>
  <c r="I22" i="10" s="1"/>
  <c r="G22" i="10"/>
  <c r="G21" i="10"/>
  <c r="H21" i="10" s="1"/>
  <c r="I21" i="10" s="1"/>
  <c r="H20" i="10"/>
  <c r="I20" i="10" s="1"/>
  <c r="G20" i="10"/>
  <c r="G19" i="10"/>
  <c r="H19" i="10" s="1"/>
  <c r="I19" i="10" s="1"/>
  <c r="H18" i="10"/>
  <c r="I18" i="10" s="1"/>
  <c r="G18" i="10"/>
  <c r="G17" i="10"/>
  <c r="H17" i="10" s="1"/>
  <c r="I17" i="10" s="1"/>
  <c r="H16" i="10"/>
  <c r="I16" i="10" s="1"/>
  <c r="G16" i="10"/>
  <c r="G15" i="10"/>
  <c r="H15" i="10" s="1"/>
  <c r="I15" i="10" s="1"/>
  <c r="H14" i="10"/>
  <c r="I14" i="10" s="1"/>
  <c r="G14" i="10"/>
  <c r="G13" i="10"/>
  <c r="H13" i="10" s="1"/>
  <c r="I13" i="10" s="1"/>
  <c r="H12" i="10"/>
  <c r="I12" i="10" s="1"/>
  <c r="G12" i="10"/>
  <c r="G11" i="10"/>
  <c r="H11" i="10" s="1"/>
  <c r="I11" i="10" s="1"/>
  <c r="H10" i="10"/>
  <c r="I10" i="10" s="1"/>
  <c r="G10" i="10"/>
  <c r="I9" i="10"/>
  <c r="F177" i="10"/>
  <c r="F175" i="10"/>
  <c r="F174" i="10"/>
  <c r="F173" i="10"/>
  <c r="F172" i="10"/>
  <c r="F171" i="10"/>
  <c r="F170" i="10"/>
  <c r="F169" i="10"/>
  <c r="F168" i="10"/>
  <c r="F167" i="10"/>
  <c r="F166" i="10"/>
  <c r="F165" i="10"/>
  <c r="F164" i="10"/>
  <c r="F163" i="10"/>
  <c r="F162" i="10"/>
  <c r="F161" i="10"/>
  <c r="F160" i="10"/>
  <c r="F159" i="10"/>
  <c r="F158"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8" i="10"/>
  <c r="F11" i="10"/>
  <c r="F13" i="10"/>
  <c r="F14" i="10"/>
  <c r="F15" i="10"/>
  <c r="F18"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H22" i="11" l="1"/>
  <c r="H52" i="11"/>
  <c r="H68" i="11"/>
  <c r="H69" i="11" s="1"/>
  <c r="G69" i="11"/>
  <c r="G55" i="11"/>
  <c r="F61" i="11"/>
  <c r="G12" i="11"/>
  <c r="F13" i="11"/>
  <c r="F22" i="11"/>
  <c r="G52" i="11"/>
  <c r="F52" i="11"/>
  <c r="H45" i="11"/>
  <c r="G22" i="11"/>
  <c r="F25" i="11"/>
  <c r="F31" i="11" s="1"/>
  <c r="F45" i="11"/>
  <c r="G45" i="11"/>
  <c r="H27" i="11"/>
  <c r="N95" i="8"/>
  <c r="M95" i="8" s="1"/>
  <c r="O95" i="8" s="1"/>
  <c r="P95" i="8" s="1"/>
  <c r="Q95" i="8" s="1"/>
  <c r="N96" i="8"/>
  <c r="M96" i="8" s="1"/>
  <c r="O96" i="8" s="1"/>
  <c r="P96" i="8" s="1"/>
  <c r="Q96" i="8" s="1"/>
  <c r="K314" i="8"/>
  <c r="Q97" i="8" l="1"/>
  <c r="Q98" i="8" s="1"/>
  <c r="H55" i="11"/>
  <c r="H61" i="11" s="1"/>
  <c r="G61" i="11"/>
  <c r="G25" i="11"/>
  <c r="H12" i="11"/>
  <c r="H13" i="11" s="1"/>
  <c r="G13" i="11"/>
  <c r="R95" i="8"/>
  <c r="R96" i="8"/>
  <c r="S96" i="8" s="1"/>
  <c r="H25" i="11" l="1"/>
  <c r="H31" i="11" s="1"/>
  <c r="G31" i="11"/>
  <c r="R97" i="8"/>
  <c r="R98" i="8" s="1"/>
  <c r="S95" i="8"/>
  <c r="S97" i="8" s="1"/>
  <c r="S98" i="8" s="1"/>
  <c r="K328" i="8" l="1"/>
  <c r="K329" i="8"/>
  <c r="K325" i="8"/>
  <c r="K324" i="8"/>
  <c r="K323" i="8"/>
  <c r="K322" i="8"/>
  <c r="K321" i="8"/>
  <c r="K320" i="8"/>
  <c r="K303" i="8"/>
  <c r="K315" i="8"/>
  <c r="K313" i="8"/>
  <c r="K312" i="8"/>
  <c r="K311" i="8"/>
  <c r="K310" i="8"/>
  <c r="K309" i="8"/>
  <c r="K308" i="8"/>
  <c r="K307" i="8"/>
  <c r="K306" i="8"/>
  <c r="K305" i="8"/>
  <c r="K304" i="8"/>
  <c r="K302" i="8"/>
  <c r="K301" i="8"/>
  <c r="K300" i="8"/>
  <c r="K299" i="8"/>
  <c r="K298" i="8"/>
  <c r="K295" i="8"/>
  <c r="K294" i="8"/>
  <c r="K289" i="8"/>
  <c r="K277" i="8"/>
  <c r="K276" i="8"/>
  <c r="K275" i="8"/>
  <c r="K274" i="8"/>
  <c r="K273" i="8"/>
  <c r="K272" i="8"/>
  <c r="K271" i="8"/>
  <c r="K270" i="8"/>
  <c r="K269" i="8"/>
  <c r="K268" i="8"/>
  <c r="K267" i="8"/>
  <c r="K266" i="8"/>
  <c r="K265" i="8"/>
  <c r="K264" i="8"/>
  <c r="K263" i="8"/>
  <c r="K262" i="8"/>
  <c r="K261" i="8"/>
  <c r="K260" i="8"/>
  <c r="K259" i="8"/>
  <c r="K258" i="8"/>
  <c r="K253" i="8"/>
  <c r="K252" i="8"/>
  <c r="K251" i="8"/>
  <c r="K250" i="8"/>
  <c r="K249" i="8"/>
  <c r="K246" i="8"/>
  <c r="K245" i="8"/>
  <c r="K244" i="8"/>
  <c r="K243" i="8"/>
  <c r="K242" i="8"/>
  <c r="K241" i="8"/>
  <c r="K240" i="8"/>
  <c r="K239" i="8"/>
  <c r="K238" i="8"/>
  <c r="K235" i="8"/>
  <c r="K234" i="8"/>
  <c r="K233" i="8"/>
  <c r="K232" i="8"/>
  <c r="K231" i="8"/>
  <c r="K230" i="8"/>
  <c r="K229" i="8"/>
  <c r="K228" i="8"/>
  <c r="K227" i="8"/>
  <c r="K226" i="8"/>
  <c r="K225" i="8"/>
  <c r="K224" i="8"/>
  <c r="K223" i="8"/>
  <c r="K222" i="8"/>
  <c r="K221" i="8"/>
  <c r="K220" i="8"/>
  <c r="K214" i="8"/>
  <c r="K213" i="8"/>
  <c r="K212" i="8"/>
  <c r="K211" i="8"/>
  <c r="K210" i="8"/>
  <c r="K209" i="8"/>
  <c r="K208" i="8"/>
  <c r="K207" i="8"/>
  <c r="K204" i="8"/>
  <c r="K203" i="8"/>
  <c r="K198" i="8"/>
  <c r="K197" i="8"/>
  <c r="K196" i="8"/>
  <c r="K195" i="8"/>
  <c r="K194" i="8"/>
  <c r="K193" i="8"/>
  <c r="K192" i="8"/>
  <c r="K191" i="8"/>
  <c r="K190" i="8"/>
  <c r="K189" i="8"/>
  <c r="K188" i="8"/>
  <c r="K185" i="8"/>
  <c r="K184" i="8"/>
  <c r="K183" i="8"/>
  <c r="K182" i="8"/>
  <c r="K181" i="8"/>
  <c r="K180" i="8"/>
  <c r="K179" i="8"/>
  <c r="K178" i="8"/>
  <c r="K177" i="8"/>
  <c r="K176" i="8"/>
  <c r="K175" i="8"/>
  <c r="K174" i="8"/>
  <c r="K173" i="8"/>
  <c r="K172" i="8"/>
  <c r="K171" i="8"/>
  <c r="K170" i="8"/>
  <c r="K165" i="8"/>
  <c r="K164" i="8"/>
  <c r="K163" i="8"/>
  <c r="K162" i="8"/>
  <c r="K161" i="8"/>
  <c r="K160" i="8"/>
  <c r="K159" i="8"/>
  <c r="K158" i="8"/>
  <c r="K157" i="8"/>
  <c r="K154" i="8"/>
  <c r="K153" i="8"/>
  <c r="K152" i="8"/>
  <c r="K151" i="8"/>
  <c r="K146" i="8"/>
  <c r="K145" i="8"/>
  <c r="K144" i="8"/>
  <c r="K143" i="8"/>
  <c r="K142" i="8"/>
  <c r="K141" i="8"/>
  <c r="K140" i="8"/>
  <c r="K139" i="8"/>
  <c r="K138" i="8"/>
  <c r="K137" i="8"/>
  <c r="K136" i="8"/>
  <c r="K133" i="8"/>
  <c r="K132" i="8"/>
  <c r="K131" i="8"/>
  <c r="K130" i="8"/>
  <c r="K129" i="8"/>
  <c r="K128" i="8"/>
  <c r="K127" i="8"/>
  <c r="K126" i="8"/>
  <c r="K125" i="8"/>
  <c r="K124" i="8"/>
  <c r="K119" i="8"/>
  <c r="K118" i="8"/>
  <c r="K117" i="8"/>
  <c r="K116" i="8"/>
  <c r="K115" i="8"/>
  <c r="K114" i="8"/>
  <c r="K111" i="8"/>
  <c r="K110" i="8"/>
  <c r="K109" i="8"/>
  <c r="K108" i="8"/>
  <c r="K105" i="8"/>
  <c r="K104" i="8"/>
  <c r="K103" i="8"/>
  <c r="K102" i="8"/>
  <c r="K85" i="8"/>
  <c r="K84" i="8"/>
  <c r="K83" i="8"/>
  <c r="K82" i="8"/>
  <c r="K81" i="8"/>
  <c r="K80" i="8"/>
  <c r="K77" i="8"/>
  <c r="K76" i="8"/>
  <c r="K75" i="8"/>
  <c r="K74" i="8"/>
  <c r="K73" i="8"/>
  <c r="K72" i="8"/>
  <c r="K71" i="8"/>
  <c r="K70" i="8"/>
  <c r="K58" i="8"/>
  <c r="K57" i="8"/>
  <c r="K56" i="8"/>
  <c r="K55" i="8"/>
  <c r="K54" i="8"/>
  <c r="K53" i="8"/>
  <c r="K52" i="8"/>
  <c r="K48" i="8"/>
  <c r="K47" i="8"/>
  <c r="K46" i="8"/>
  <c r="K45" i="8"/>
  <c r="K41" i="8"/>
  <c r="K40" i="8"/>
  <c r="K39" i="8"/>
  <c r="K38" i="8"/>
  <c r="K37" i="8"/>
  <c r="K31" i="8"/>
  <c r="K30" i="8"/>
  <c r="K29" i="8"/>
  <c r="K16" i="8"/>
  <c r="K15" i="8"/>
  <c r="K14" i="8"/>
  <c r="K13" i="8"/>
  <c r="K12" i="8"/>
  <c r="G8" i="10" l="1"/>
  <c r="G99" i="10"/>
  <c r="G178" i="10" l="1"/>
  <c r="G176" i="10" l="1"/>
  <c r="I176" i="10"/>
  <c r="J342" i="8"/>
  <c r="H176" i="10" l="1"/>
  <c r="B176" i="10"/>
  <c r="B22" i="10"/>
  <c r="B14" i="10"/>
  <c r="B147" i="10"/>
  <c r="B124" i="10"/>
  <c r="B104" i="10"/>
  <c r="J330" i="8"/>
  <c r="J326" i="8"/>
  <c r="J316" i="8"/>
  <c r="J296" i="8"/>
  <c r="J332" i="8" s="1"/>
  <c r="J290" i="8"/>
  <c r="L323" i="8"/>
  <c r="L329" i="8"/>
  <c r="L328" i="8"/>
  <c r="L325" i="8"/>
  <c r="L324" i="8"/>
  <c r="L322" i="8"/>
  <c r="L321" i="8"/>
  <c r="N321" i="8" s="1"/>
  <c r="M321" i="8" s="1"/>
  <c r="L320" i="8"/>
  <c r="L315" i="8"/>
  <c r="L314" i="8"/>
  <c r="L313" i="8"/>
  <c r="N313" i="8" s="1"/>
  <c r="M313" i="8" s="1"/>
  <c r="L312" i="8"/>
  <c r="L311" i="8"/>
  <c r="L310" i="8"/>
  <c r="L309" i="8"/>
  <c r="N309" i="8" s="1"/>
  <c r="M309" i="8" s="1"/>
  <c r="L308" i="8"/>
  <c r="L307" i="8"/>
  <c r="L306" i="8"/>
  <c r="L305" i="8"/>
  <c r="L304" i="8"/>
  <c r="L303" i="8"/>
  <c r="L302" i="8"/>
  <c r="L301" i="8"/>
  <c r="N301" i="8" s="1"/>
  <c r="M301" i="8" s="1"/>
  <c r="L300" i="8"/>
  <c r="L299" i="8"/>
  <c r="L298" i="8"/>
  <c r="L295" i="8"/>
  <c r="L294" i="8"/>
  <c r="L289" i="8"/>
  <c r="J317" i="8" l="1"/>
  <c r="J333" i="8"/>
  <c r="J335" i="8" s="1"/>
  <c r="J331" i="8"/>
  <c r="B99" i="10"/>
  <c r="B178" i="10" s="1"/>
  <c r="B8" i="10"/>
  <c r="N305" i="8"/>
  <c r="M305" i="8" s="1"/>
  <c r="O305" i="8" s="1"/>
  <c r="P305" i="8" s="1"/>
  <c r="Q305" i="8" s="1"/>
  <c r="N295" i="8"/>
  <c r="M295" i="8" s="1"/>
  <c r="O295" i="8" s="1"/>
  <c r="P295" i="8" s="1"/>
  <c r="Q295" i="8" s="1"/>
  <c r="N325" i="8"/>
  <c r="M325" i="8" s="1"/>
  <c r="O325" i="8" s="1"/>
  <c r="P325" i="8" s="1"/>
  <c r="Q325" i="8" s="1"/>
  <c r="N324" i="8"/>
  <c r="M324" i="8" s="1"/>
  <c r="O324" i="8" s="1"/>
  <c r="P324" i="8" s="1"/>
  <c r="Q324" i="8" s="1"/>
  <c r="N320" i="8"/>
  <c r="M320" i="8" s="1"/>
  <c r="O320" i="8" s="1"/>
  <c r="P320" i="8" s="1"/>
  <c r="Q320" i="8" s="1"/>
  <c r="N322" i="8"/>
  <c r="M322" i="8" s="1"/>
  <c r="O322" i="8" s="1"/>
  <c r="P322" i="8" s="1"/>
  <c r="Q322" i="8" s="1"/>
  <c r="O321" i="8"/>
  <c r="P321" i="8" s="1"/>
  <c r="Q321" i="8" s="1"/>
  <c r="N328" i="8"/>
  <c r="M328" i="8" s="1"/>
  <c r="O328" i="8" s="1"/>
  <c r="P328" i="8" s="1"/>
  <c r="Q328" i="8" s="1"/>
  <c r="N323" i="8"/>
  <c r="M323" i="8" s="1"/>
  <c r="O323" i="8" s="1"/>
  <c r="P323" i="8" s="1"/>
  <c r="Q323" i="8" s="1"/>
  <c r="N329" i="8"/>
  <c r="M329" i="8" s="1"/>
  <c r="O329" i="8" s="1"/>
  <c r="P329" i="8" s="1"/>
  <c r="Q329" i="8" s="1"/>
  <c r="N312" i="8"/>
  <c r="M312" i="8" s="1"/>
  <c r="O312" i="8" s="1"/>
  <c r="P312" i="8" s="1"/>
  <c r="Q312" i="8" s="1"/>
  <c r="O301" i="8"/>
  <c r="P301" i="8" s="1"/>
  <c r="Q301" i="8" s="1"/>
  <c r="N308" i="8"/>
  <c r="M308" i="8" s="1"/>
  <c r="O308" i="8" s="1"/>
  <c r="P308" i="8" s="1"/>
  <c r="Q308" i="8" s="1"/>
  <c r="N310" i="8"/>
  <c r="M310" i="8" s="1"/>
  <c r="O310" i="8" s="1"/>
  <c r="P310" i="8" s="1"/>
  <c r="Q310" i="8" s="1"/>
  <c r="N304" i="8"/>
  <c r="M304" i="8" s="1"/>
  <c r="O304" i="8" s="1"/>
  <c r="P304" i="8" s="1"/>
  <c r="Q304" i="8" s="1"/>
  <c r="N306" i="8"/>
  <c r="M306" i="8" s="1"/>
  <c r="O306" i="8" s="1"/>
  <c r="P306" i="8" s="1"/>
  <c r="Q306" i="8" s="1"/>
  <c r="O313" i="8"/>
  <c r="P313" i="8" s="1"/>
  <c r="Q313" i="8" s="1"/>
  <c r="N294" i="8"/>
  <c r="M294" i="8" s="1"/>
  <c r="O294" i="8" s="1"/>
  <c r="P294" i="8" s="1"/>
  <c r="Q294" i="8" s="1"/>
  <c r="Q296" i="8" s="1"/>
  <c r="N298" i="8"/>
  <c r="M298" i="8" s="1"/>
  <c r="O298" i="8" s="1"/>
  <c r="P298" i="8" s="1"/>
  <c r="Q298" i="8" s="1"/>
  <c r="N300" i="8"/>
  <c r="M300" i="8" s="1"/>
  <c r="O300" i="8" s="1"/>
  <c r="P300" i="8" s="1"/>
  <c r="Q300" i="8" s="1"/>
  <c r="N302" i="8"/>
  <c r="M302" i="8" s="1"/>
  <c r="O302" i="8" s="1"/>
  <c r="P302" i="8" s="1"/>
  <c r="Q302" i="8" s="1"/>
  <c r="O309" i="8"/>
  <c r="P309" i="8" s="1"/>
  <c r="Q309" i="8" s="1"/>
  <c r="N314" i="8"/>
  <c r="M314" i="8" s="1"/>
  <c r="O314" i="8" s="1"/>
  <c r="P314" i="8" s="1"/>
  <c r="Q314" i="8" s="1"/>
  <c r="N299" i="8"/>
  <c r="M299" i="8" s="1"/>
  <c r="O299" i="8" s="1"/>
  <c r="P299" i="8" s="1"/>
  <c r="Q299" i="8" s="1"/>
  <c r="N303" i="8"/>
  <c r="M303" i="8" s="1"/>
  <c r="O303" i="8" s="1"/>
  <c r="P303" i="8" s="1"/>
  <c r="Q303" i="8" s="1"/>
  <c r="N307" i="8"/>
  <c r="M307" i="8" s="1"/>
  <c r="O307" i="8" s="1"/>
  <c r="P307" i="8" s="1"/>
  <c r="Q307" i="8" s="1"/>
  <c r="N311" i="8"/>
  <c r="M311" i="8" s="1"/>
  <c r="O311" i="8" s="1"/>
  <c r="P311" i="8" s="1"/>
  <c r="Q311" i="8" s="1"/>
  <c r="N315" i="8"/>
  <c r="M315" i="8" s="1"/>
  <c r="O315" i="8" s="1"/>
  <c r="P315" i="8" s="1"/>
  <c r="Q315" i="8" s="1"/>
  <c r="N289" i="8"/>
  <c r="M289" i="8" s="1"/>
  <c r="O289" i="8" s="1"/>
  <c r="P289" i="8" s="1"/>
  <c r="Q289" i="8" s="1"/>
  <c r="Q290" i="8" s="1"/>
  <c r="I99" i="10" l="1"/>
  <c r="H99" i="10"/>
  <c r="I8" i="10"/>
  <c r="H8" i="10"/>
  <c r="Q326" i="8"/>
  <c r="Q332" i="8" s="1"/>
  <c r="Q330" i="8"/>
  <c r="Q316" i="8"/>
  <c r="Q317" i="8" s="1"/>
  <c r="R295" i="8"/>
  <c r="S295" i="8" s="1"/>
  <c r="R305" i="8"/>
  <c r="S305" i="8" s="1"/>
  <c r="R325" i="8"/>
  <c r="S325" i="8" s="1"/>
  <c r="R323" i="8"/>
  <c r="S323" i="8" s="1"/>
  <c r="R328" i="8"/>
  <c r="R322" i="8"/>
  <c r="S322" i="8" s="1"/>
  <c r="R320" i="8"/>
  <c r="R321" i="8"/>
  <c r="S321" i="8" s="1"/>
  <c r="R324" i="8"/>
  <c r="S324" i="8" s="1"/>
  <c r="R329" i="8"/>
  <c r="S329" i="8" s="1"/>
  <c r="R303" i="8"/>
  <c r="S303" i="8" s="1"/>
  <c r="R306" i="8"/>
  <c r="S306" i="8" s="1"/>
  <c r="R312" i="8"/>
  <c r="S312" i="8" s="1"/>
  <c r="R302" i="8"/>
  <c r="S302" i="8" s="1"/>
  <c r="R298" i="8"/>
  <c r="R310" i="8"/>
  <c r="S310" i="8" s="1"/>
  <c r="R307" i="8"/>
  <c r="S307" i="8" s="1"/>
  <c r="R311" i="8"/>
  <c r="S311" i="8" s="1"/>
  <c r="R314" i="8"/>
  <c r="S314" i="8" s="1"/>
  <c r="R294" i="8"/>
  <c r="R308" i="8"/>
  <c r="R315" i="8"/>
  <c r="R313" i="8"/>
  <c r="S313" i="8" s="1"/>
  <c r="R299" i="8"/>
  <c r="S299" i="8" s="1"/>
  <c r="R300" i="8"/>
  <c r="S300" i="8" s="1"/>
  <c r="R301" i="8"/>
  <c r="S301" i="8" s="1"/>
  <c r="R304" i="8"/>
  <c r="S304" i="8" s="1"/>
  <c r="R309" i="8"/>
  <c r="S309" i="8" s="1"/>
  <c r="R289" i="8"/>
  <c r="H178" i="10" l="1"/>
  <c r="Q331" i="8"/>
  <c r="R326" i="8"/>
  <c r="S328" i="8"/>
  <c r="S330" i="8" s="1"/>
  <c r="R330" i="8"/>
  <c r="Q333" i="8"/>
  <c r="Q335" i="8" s="1"/>
  <c r="S308" i="8"/>
  <c r="R296" i="8"/>
  <c r="S298" i="8"/>
  <c r="R316" i="8"/>
  <c r="S320" i="8"/>
  <c r="S326" i="8" s="1"/>
  <c r="S289" i="8"/>
  <c r="S290" i="8" s="1"/>
  <c r="R290" i="8"/>
  <c r="S294" i="8"/>
  <c r="S296" i="8" s="1"/>
  <c r="S315" i="8"/>
  <c r="S332" i="8" l="1"/>
  <c r="R331" i="8"/>
  <c r="S331" i="8"/>
  <c r="R291" i="8"/>
  <c r="R333" i="8"/>
  <c r="S291" i="8"/>
  <c r="R332" i="8"/>
  <c r="R317" i="8"/>
  <c r="S316" i="8"/>
  <c r="S317" i="8" s="1"/>
  <c r="R335" i="8" l="1"/>
  <c r="S333" i="8"/>
  <c r="S335" i="8" s="1"/>
  <c r="L277" i="8" l="1"/>
  <c r="L276" i="8"/>
  <c r="L275" i="8"/>
  <c r="N275" i="8" s="1"/>
  <c r="M275" i="8" s="1"/>
  <c r="L274" i="8"/>
  <c r="L273" i="8"/>
  <c r="L272" i="8"/>
  <c r="L271" i="8"/>
  <c r="N271" i="8" s="1"/>
  <c r="M271" i="8" s="1"/>
  <c r="L270" i="8"/>
  <c r="L269" i="8"/>
  <c r="L268" i="8"/>
  <c r="L267" i="8"/>
  <c r="L266" i="8"/>
  <c r="N266" i="8" s="1"/>
  <c r="M266" i="8" s="1"/>
  <c r="L265" i="8"/>
  <c r="L264" i="8"/>
  <c r="L263" i="8"/>
  <c r="L262" i="8"/>
  <c r="L261" i="8"/>
  <c r="L260" i="8"/>
  <c r="L259" i="8"/>
  <c r="L258" i="8"/>
  <c r="N258" i="8" s="1"/>
  <c r="M258" i="8" s="1"/>
  <c r="J254" i="8"/>
  <c r="J247" i="8"/>
  <c r="J236" i="8"/>
  <c r="L253" i="8"/>
  <c r="L252" i="8"/>
  <c r="L251" i="8"/>
  <c r="L250" i="8"/>
  <c r="L249" i="8"/>
  <c r="L246" i="8"/>
  <c r="L245" i="8"/>
  <c r="L244" i="8"/>
  <c r="L243" i="8"/>
  <c r="L242" i="8"/>
  <c r="L241" i="8"/>
  <c r="L240" i="8"/>
  <c r="L239" i="8"/>
  <c r="L238" i="8"/>
  <c r="L235" i="8"/>
  <c r="L234" i="8"/>
  <c r="L233" i="8"/>
  <c r="L232" i="8"/>
  <c r="L231" i="8"/>
  <c r="L230" i="8"/>
  <c r="L229" i="8"/>
  <c r="N229" i="8" s="1"/>
  <c r="M229" i="8" s="1"/>
  <c r="L228" i="8"/>
  <c r="L227" i="8"/>
  <c r="L226" i="8"/>
  <c r="L225" i="8"/>
  <c r="L224" i="8"/>
  <c r="L223" i="8"/>
  <c r="L222" i="8"/>
  <c r="L221" i="8"/>
  <c r="N221" i="8" s="1"/>
  <c r="M221" i="8" s="1"/>
  <c r="L220" i="8"/>
  <c r="J215" i="8"/>
  <c r="J205" i="8"/>
  <c r="J199" i="8"/>
  <c r="J186" i="8"/>
  <c r="J216" i="8" l="1"/>
  <c r="J255" i="8"/>
  <c r="J200" i="8"/>
  <c r="N262" i="8"/>
  <c r="M262" i="8" s="1"/>
  <c r="O262" i="8" s="1"/>
  <c r="P262" i="8" s="1"/>
  <c r="Q262" i="8" s="1"/>
  <c r="R262" i="8" s="1"/>
  <c r="S262" i="8" s="1"/>
  <c r="O258" i="8"/>
  <c r="P258" i="8" s="1"/>
  <c r="Q258" i="8" s="1"/>
  <c r="R258" i="8" s="1"/>
  <c r="O271" i="8"/>
  <c r="P271" i="8" s="1"/>
  <c r="Q271" i="8" s="1"/>
  <c r="R271" i="8" s="1"/>
  <c r="S271" i="8" s="1"/>
  <c r="O275" i="8"/>
  <c r="P275" i="8" s="1"/>
  <c r="Q275" i="8" s="1"/>
  <c r="R275" i="8" s="1"/>
  <c r="S275" i="8" s="1"/>
  <c r="O266" i="8"/>
  <c r="N270" i="8"/>
  <c r="M270" i="8" s="1"/>
  <c r="O270" i="8" s="1"/>
  <c r="P270" i="8" s="1"/>
  <c r="Q270" i="8" s="1"/>
  <c r="N274" i="8"/>
  <c r="M274" i="8" s="1"/>
  <c r="O274" i="8" s="1"/>
  <c r="P274" i="8" s="1"/>
  <c r="Q274" i="8" s="1"/>
  <c r="N272" i="8"/>
  <c r="M272" i="8" s="1"/>
  <c r="O272" i="8" s="1"/>
  <c r="P272" i="8" s="1"/>
  <c r="Q272" i="8" s="1"/>
  <c r="N276" i="8"/>
  <c r="M276" i="8" s="1"/>
  <c r="O276" i="8" s="1"/>
  <c r="P276" i="8" s="1"/>
  <c r="Q276" i="8" s="1"/>
  <c r="N269" i="8"/>
  <c r="M269" i="8" s="1"/>
  <c r="O269" i="8" s="1"/>
  <c r="P269" i="8" s="1"/>
  <c r="Q269" i="8" s="1"/>
  <c r="N273" i="8"/>
  <c r="M273" i="8" s="1"/>
  <c r="O273" i="8" s="1"/>
  <c r="P273" i="8" s="1"/>
  <c r="Q273" i="8" s="1"/>
  <c r="N277" i="8"/>
  <c r="M277" i="8" s="1"/>
  <c r="O277" i="8" s="1"/>
  <c r="P277" i="8" s="1"/>
  <c r="Q277" i="8" s="1"/>
  <c r="N261" i="8"/>
  <c r="M261" i="8" s="1"/>
  <c r="O261" i="8" s="1"/>
  <c r="P261" i="8" s="1"/>
  <c r="Q261" i="8" s="1"/>
  <c r="N265" i="8"/>
  <c r="M265" i="8" s="1"/>
  <c r="O265" i="8" s="1"/>
  <c r="P265" i="8" s="1"/>
  <c r="Q265" i="8" s="1"/>
  <c r="N259" i="8"/>
  <c r="M259" i="8" s="1"/>
  <c r="O259" i="8" s="1"/>
  <c r="P259" i="8" s="1"/>
  <c r="Q259" i="8" s="1"/>
  <c r="N263" i="8"/>
  <c r="M263" i="8" s="1"/>
  <c r="O263" i="8" s="1"/>
  <c r="P263" i="8" s="1"/>
  <c r="Q263" i="8" s="1"/>
  <c r="N267" i="8"/>
  <c r="M267" i="8" s="1"/>
  <c r="O267" i="8" s="1"/>
  <c r="P267" i="8" s="1"/>
  <c r="Q267" i="8" s="1"/>
  <c r="N260" i="8"/>
  <c r="M260" i="8" s="1"/>
  <c r="O260" i="8" s="1"/>
  <c r="P260" i="8" s="1"/>
  <c r="Q260" i="8" s="1"/>
  <c r="N264" i="8"/>
  <c r="M264" i="8" s="1"/>
  <c r="O264" i="8" s="1"/>
  <c r="P264" i="8" s="1"/>
  <c r="Q264" i="8" s="1"/>
  <c r="N268" i="8"/>
  <c r="M268" i="8" s="1"/>
  <c r="O268" i="8" s="1"/>
  <c r="P268" i="8" s="1"/>
  <c r="Q268" i="8" s="1"/>
  <c r="N251" i="8"/>
  <c r="M251" i="8" s="1"/>
  <c r="O251" i="8" s="1"/>
  <c r="P251" i="8" s="1"/>
  <c r="Q251" i="8" s="1"/>
  <c r="N243" i="8"/>
  <c r="M243" i="8" s="1"/>
  <c r="O243" i="8" s="1"/>
  <c r="P243" i="8" s="1"/>
  <c r="Q243" i="8" s="1"/>
  <c r="N239" i="8"/>
  <c r="M239" i="8" s="1"/>
  <c r="O239" i="8" s="1"/>
  <c r="P239" i="8" s="1"/>
  <c r="Q239" i="8" s="1"/>
  <c r="N225" i="8"/>
  <c r="M225" i="8" s="1"/>
  <c r="O225" i="8" s="1"/>
  <c r="P225" i="8" s="1"/>
  <c r="Q225" i="8" s="1"/>
  <c r="N233" i="8"/>
  <c r="M233" i="8" s="1"/>
  <c r="O233" i="8" s="1"/>
  <c r="P233" i="8" s="1"/>
  <c r="Q233" i="8" s="1"/>
  <c r="R233" i="8" s="1"/>
  <c r="S233" i="8" s="1"/>
  <c r="N250" i="8"/>
  <c r="M250" i="8" s="1"/>
  <c r="O250" i="8" s="1"/>
  <c r="P250" i="8" s="1"/>
  <c r="Q250" i="8" s="1"/>
  <c r="N252" i="8"/>
  <c r="M252" i="8" s="1"/>
  <c r="O252" i="8" s="1"/>
  <c r="P252" i="8" s="1"/>
  <c r="Q252" i="8" s="1"/>
  <c r="N249" i="8"/>
  <c r="M249" i="8" s="1"/>
  <c r="O249" i="8" s="1"/>
  <c r="P249" i="8" s="1"/>
  <c r="Q249" i="8" s="1"/>
  <c r="N253" i="8"/>
  <c r="M253" i="8" s="1"/>
  <c r="O253" i="8" s="1"/>
  <c r="P253" i="8" s="1"/>
  <c r="Q253" i="8" s="1"/>
  <c r="N241" i="8"/>
  <c r="M241" i="8" s="1"/>
  <c r="O241" i="8" s="1"/>
  <c r="P241" i="8" s="1"/>
  <c r="Q241" i="8" s="1"/>
  <c r="N238" i="8"/>
  <c r="M238" i="8" s="1"/>
  <c r="O238" i="8" s="1"/>
  <c r="P238" i="8" s="1"/>
  <c r="Q238" i="8" s="1"/>
  <c r="N242" i="8"/>
  <c r="M242" i="8" s="1"/>
  <c r="O242" i="8" s="1"/>
  <c r="P242" i="8" s="1"/>
  <c r="Q242" i="8" s="1"/>
  <c r="N246" i="8"/>
  <c r="M246" i="8" s="1"/>
  <c r="O246" i="8" s="1"/>
  <c r="P246" i="8" s="1"/>
  <c r="Q246" i="8" s="1"/>
  <c r="N240" i="8"/>
  <c r="M240" i="8" s="1"/>
  <c r="O240" i="8" s="1"/>
  <c r="P240" i="8" s="1"/>
  <c r="Q240" i="8" s="1"/>
  <c r="N244" i="8"/>
  <c r="M244" i="8" s="1"/>
  <c r="O244" i="8" s="1"/>
  <c r="P244" i="8" s="1"/>
  <c r="Q244" i="8" s="1"/>
  <c r="N245" i="8"/>
  <c r="M245" i="8" s="1"/>
  <c r="O245" i="8" s="1"/>
  <c r="P245" i="8" s="1"/>
  <c r="Q245" i="8" s="1"/>
  <c r="N232" i="8"/>
  <c r="M232" i="8" s="1"/>
  <c r="O232" i="8" s="1"/>
  <c r="P232" i="8" s="1"/>
  <c r="Q232" i="8" s="1"/>
  <c r="O221" i="8"/>
  <c r="P221" i="8" s="1"/>
  <c r="Q221" i="8" s="1"/>
  <c r="N228" i="8"/>
  <c r="M228" i="8" s="1"/>
  <c r="O228" i="8" s="1"/>
  <c r="P228" i="8" s="1"/>
  <c r="Q228" i="8" s="1"/>
  <c r="N230" i="8"/>
  <c r="M230" i="8" s="1"/>
  <c r="O230" i="8" s="1"/>
  <c r="P230" i="8" s="1"/>
  <c r="Q230" i="8" s="1"/>
  <c r="N226" i="8"/>
  <c r="M226" i="8" s="1"/>
  <c r="O226" i="8" s="1"/>
  <c r="P226" i="8" s="1"/>
  <c r="Q226" i="8" s="1"/>
  <c r="N224" i="8"/>
  <c r="M224" i="8" s="1"/>
  <c r="O224" i="8" s="1"/>
  <c r="P224" i="8" s="1"/>
  <c r="Q224" i="8" s="1"/>
  <c r="N220" i="8"/>
  <c r="M220" i="8" s="1"/>
  <c r="O220" i="8" s="1"/>
  <c r="P220" i="8" s="1"/>
  <c r="Q220" i="8" s="1"/>
  <c r="N222" i="8"/>
  <c r="M222" i="8" s="1"/>
  <c r="O222" i="8" s="1"/>
  <c r="P222" i="8" s="1"/>
  <c r="Q222" i="8" s="1"/>
  <c r="O229" i="8"/>
  <c r="P229" i="8" s="1"/>
  <c r="Q229" i="8" s="1"/>
  <c r="N234" i="8"/>
  <c r="M234" i="8" s="1"/>
  <c r="O234" i="8" s="1"/>
  <c r="P234" i="8" s="1"/>
  <c r="Q234" i="8" s="1"/>
  <c r="N223" i="8"/>
  <c r="M223" i="8" s="1"/>
  <c r="O223" i="8" s="1"/>
  <c r="P223" i="8" s="1"/>
  <c r="Q223" i="8" s="1"/>
  <c r="N227" i="8"/>
  <c r="M227" i="8" s="1"/>
  <c r="O227" i="8" s="1"/>
  <c r="P227" i="8" s="1"/>
  <c r="Q227" i="8" s="1"/>
  <c r="N231" i="8"/>
  <c r="M231" i="8" s="1"/>
  <c r="O231" i="8" s="1"/>
  <c r="P231" i="8" s="1"/>
  <c r="Q231" i="8" s="1"/>
  <c r="N235" i="8"/>
  <c r="M235" i="8" s="1"/>
  <c r="O235" i="8" s="1"/>
  <c r="P235" i="8" s="1"/>
  <c r="Q235" i="8" s="1"/>
  <c r="L214" i="8"/>
  <c r="L213" i="8"/>
  <c r="L212" i="8"/>
  <c r="L211" i="8"/>
  <c r="L210" i="8"/>
  <c r="L209" i="8"/>
  <c r="L208" i="8"/>
  <c r="L207" i="8"/>
  <c r="L204" i="8"/>
  <c r="L203" i="8"/>
  <c r="L188" i="8"/>
  <c r="L198" i="8"/>
  <c r="L197" i="8"/>
  <c r="L196" i="8"/>
  <c r="L195" i="8"/>
  <c r="L194" i="8"/>
  <c r="L193" i="8"/>
  <c r="L192" i="8"/>
  <c r="L191" i="8"/>
  <c r="L190" i="8"/>
  <c r="L189" i="8"/>
  <c r="L185" i="8"/>
  <c r="L184" i="8"/>
  <c r="L183" i="8"/>
  <c r="N183" i="8" s="1"/>
  <c r="M183" i="8" s="1"/>
  <c r="L182" i="8"/>
  <c r="L181" i="8"/>
  <c r="L180" i="8"/>
  <c r="L179" i="8"/>
  <c r="N179" i="8" s="1"/>
  <c r="M179" i="8" s="1"/>
  <c r="L178" i="8"/>
  <c r="L177" i="8"/>
  <c r="L176" i="8"/>
  <c r="L175" i="8"/>
  <c r="L174" i="8"/>
  <c r="L173" i="8"/>
  <c r="L172" i="8"/>
  <c r="L171" i="8"/>
  <c r="N171" i="8" s="1"/>
  <c r="M171" i="8" s="1"/>
  <c r="L170" i="8"/>
  <c r="J166" i="8"/>
  <c r="J155" i="8"/>
  <c r="L165" i="8"/>
  <c r="L164" i="8"/>
  <c r="L163" i="8"/>
  <c r="L162" i="8"/>
  <c r="N162" i="8" s="1"/>
  <c r="M162" i="8" s="1"/>
  <c r="L161" i="8"/>
  <c r="L160" i="8"/>
  <c r="L159" i="8"/>
  <c r="L158" i="8"/>
  <c r="L157" i="8"/>
  <c r="L154" i="8"/>
  <c r="L153" i="8"/>
  <c r="L152" i="8"/>
  <c r="L151" i="8"/>
  <c r="J147" i="8"/>
  <c r="L146" i="8"/>
  <c r="L145" i="8"/>
  <c r="L144" i="8"/>
  <c r="N144" i="8" s="1"/>
  <c r="M144" i="8" s="1"/>
  <c r="L143" i="8"/>
  <c r="L142" i="8"/>
  <c r="L141" i="8"/>
  <c r="L140" i="8"/>
  <c r="N140" i="8" s="1"/>
  <c r="M140" i="8" s="1"/>
  <c r="L139" i="8"/>
  <c r="L138" i="8"/>
  <c r="L137" i="8"/>
  <c r="L136" i="8"/>
  <c r="L133" i="8"/>
  <c r="L132" i="8"/>
  <c r="L131" i="8"/>
  <c r="N131" i="8" s="1"/>
  <c r="M131" i="8" s="1"/>
  <c r="L130" i="8"/>
  <c r="L129" i="8"/>
  <c r="L128" i="8"/>
  <c r="L127" i="8"/>
  <c r="N127" i="8" s="1"/>
  <c r="M127" i="8" s="1"/>
  <c r="L126" i="8"/>
  <c r="L125" i="8"/>
  <c r="L124" i="8"/>
  <c r="J148" i="8" l="1"/>
  <c r="J281" i="8"/>
  <c r="J167" i="8"/>
  <c r="S258" i="8"/>
  <c r="Q254" i="8"/>
  <c r="Q236" i="8"/>
  <c r="Q247" i="8"/>
  <c r="R269" i="8"/>
  <c r="S269" i="8" s="1"/>
  <c r="R274" i="8"/>
  <c r="S274" i="8" s="1"/>
  <c r="R270" i="8"/>
  <c r="R273" i="8"/>
  <c r="R276" i="8"/>
  <c r="S276" i="8" s="1"/>
  <c r="R272" i="8"/>
  <c r="S272" i="8" s="1"/>
  <c r="R277" i="8"/>
  <c r="S277" i="8" s="1"/>
  <c r="R260" i="8"/>
  <c r="S260" i="8" s="1"/>
  <c r="R265" i="8"/>
  <c r="S265" i="8" s="1"/>
  <c r="R268" i="8"/>
  <c r="S268" i="8" s="1"/>
  <c r="R263" i="8"/>
  <c r="S263" i="8" s="1"/>
  <c r="R261" i="8"/>
  <c r="S261" i="8" s="1"/>
  <c r="R259" i="8"/>
  <c r="S259" i="8" s="1"/>
  <c r="R264" i="8"/>
  <c r="S264" i="8" s="1"/>
  <c r="R267" i="8"/>
  <c r="S267" i="8" s="1"/>
  <c r="R251" i="8"/>
  <c r="S251" i="8" s="1"/>
  <c r="R239" i="8"/>
  <c r="S239" i="8" s="1"/>
  <c r="R243" i="8"/>
  <c r="S243" i="8" s="1"/>
  <c r="R225" i="8"/>
  <c r="S225" i="8" s="1"/>
  <c r="R253" i="8"/>
  <c r="S253" i="8" s="1"/>
  <c r="R252" i="8"/>
  <c r="S252" i="8" s="1"/>
  <c r="R249" i="8"/>
  <c r="R250" i="8"/>
  <c r="R240" i="8"/>
  <c r="S240" i="8" s="1"/>
  <c r="R238" i="8"/>
  <c r="R246" i="8"/>
  <c r="R241" i="8"/>
  <c r="R245" i="8"/>
  <c r="S245" i="8" s="1"/>
  <c r="R242" i="8"/>
  <c r="S242" i="8" s="1"/>
  <c r="R244" i="8"/>
  <c r="S244" i="8" s="1"/>
  <c r="R235" i="8"/>
  <c r="S235" i="8" s="1"/>
  <c r="R234" i="8"/>
  <c r="S234" i="8" s="1"/>
  <c r="R230" i="8"/>
  <c r="S230" i="8" s="1"/>
  <c r="R226" i="8"/>
  <c r="S226" i="8" s="1"/>
  <c r="R222" i="8"/>
  <c r="S222" i="8" s="1"/>
  <c r="R227" i="8"/>
  <c r="S227" i="8" s="1"/>
  <c r="R231" i="8"/>
  <c r="S231" i="8" s="1"/>
  <c r="R223" i="8"/>
  <c r="S223" i="8" s="1"/>
  <c r="R229" i="8"/>
  <c r="S229" i="8" s="1"/>
  <c r="R221" i="8"/>
  <c r="S221" i="8" s="1"/>
  <c r="R220" i="8"/>
  <c r="R224" i="8"/>
  <c r="S224" i="8" s="1"/>
  <c r="R228" i="8"/>
  <c r="S228" i="8" s="1"/>
  <c r="R232" i="8"/>
  <c r="S232" i="8" s="1"/>
  <c r="N175" i="8"/>
  <c r="M175" i="8" s="1"/>
  <c r="O175" i="8" s="1"/>
  <c r="P175" i="8" s="1"/>
  <c r="Q175" i="8" s="1"/>
  <c r="N192" i="8"/>
  <c r="M192" i="8" s="1"/>
  <c r="O192" i="8" s="1"/>
  <c r="P192" i="8" s="1"/>
  <c r="Q192" i="8" s="1"/>
  <c r="N191" i="8"/>
  <c r="M191" i="8" s="1"/>
  <c r="O191" i="8" s="1"/>
  <c r="P191" i="8" s="1"/>
  <c r="Q191" i="8" s="1"/>
  <c r="N195" i="8"/>
  <c r="M195" i="8" s="1"/>
  <c r="O195" i="8" s="1"/>
  <c r="P195" i="8" s="1"/>
  <c r="Q195" i="8" s="1"/>
  <c r="N188" i="8"/>
  <c r="M188" i="8" s="1"/>
  <c r="O188" i="8" s="1"/>
  <c r="P188" i="8" s="1"/>
  <c r="Q188" i="8" s="1"/>
  <c r="N196" i="8"/>
  <c r="M196" i="8" s="1"/>
  <c r="O196" i="8" s="1"/>
  <c r="P196" i="8" s="1"/>
  <c r="Q196" i="8" s="1"/>
  <c r="N189" i="8"/>
  <c r="M189" i="8" s="1"/>
  <c r="O189" i="8" s="1"/>
  <c r="P189" i="8" s="1"/>
  <c r="Q189" i="8" s="1"/>
  <c r="N193" i="8"/>
  <c r="M193" i="8" s="1"/>
  <c r="O193" i="8" s="1"/>
  <c r="P193" i="8" s="1"/>
  <c r="Q193" i="8" s="1"/>
  <c r="N197" i="8"/>
  <c r="M197" i="8" s="1"/>
  <c r="O197" i="8" s="1"/>
  <c r="P197" i="8" s="1"/>
  <c r="Q197" i="8" s="1"/>
  <c r="N190" i="8"/>
  <c r="M190" i="8" s="1"/>
  <c r="O190" i="8" s="1"/>
  <c r="P190" i="8" s="1"/>
  <c r="Q190" i="8" s="1"/>
  <c r="N194" i="8"/>
  <c r="M194" i="8" s="1"/>
  <c r="O194" i="8" s="1"/>
  <c r="P194" i="8" s="1"/>
  <c r="Q194" i="8" s="1"/>
  <c r="N198" i="8"/>
  <c r="M198" i="8" s="1"/>
  <c r="O198" i="8" s="1"/>
  <c r="P198" i="8" s="1"/>
  <c r="Q198" i="8" s="1"/>
  <c r="O171" i="8"/>
  <c r="P171" i="8" s="1"/>
  <c r="Q171" i="8" s="1"/>
  <c r="N178" i="8"/>
  <c r="M178" i="8" s="1"/>
  <c r="O178" i="8" s="1"/>
  <c r="P178" i="8" s="1"/>
  <c r="Q178" i="8" s="1"/>
  <c r="N180" i="8"/>
  <c r="M180" i="8" s="1"/>
  <c r="O180" i="8" s="1"/>
  <c r="P180" i="8" s="1"/>
  <c r="Q180" i="8" s="1"/>
  <c r="N174" i="8"/>
  <c r="M174" i="8" s="1"/>
  <c r="O174" i="8" s="1"/>
  <c r="P174" i="8" s="1"/>
  <c r="Q174" i="8" s="1"/>
  <c r="N176" i="8"/>
  <c r="M176" i="8" s="1"/>
  <c r="O176" i="8" s="1"/>
  <c r="P176" i="8" s="1"/>
  <c r="Q176" i="8" s="1"/>
  <c r="O183" i="8"/>
  <c r="P183" i="8" s="1"/>
  <c r="Q183" i="8" s="1"/>
  <c r="N182" i="8"/>
  <c r="M182" i="8" s="1"/>
  <c r="O182" i="8" s="1"/>
  <c r="P182" i="8" s="1"/>
  <c r="Q182" i="8" s="1"/>
  <c r="N170" i="8"/>
  <c r="M170" i="8" s="1"/>
  <c r="O170" i="8" s="1"/>
  <c r="P170" i="8" s="1"/>
  <c r="Q170" i="8" s="1"/>
  <c r="N172" i="8"/>
  <c r="M172" i="8" s="1"/>
  <c r="O172" i="8" s="1"/>
  <c r="P172" i="8" s="1"/>
  <c r="Q172" i="8" s="1"/>
  <c r="O179" i="8"/>
  <c r="P179" i="8" s="1"/>
  <c r="Q179" i="8" s="1"/>
  <c r="N184" i="8"/>
  <c r="M184" i="8" s="1"/>
  <c r="O184" i="8" s="1"/>
  <c r="P184" i="8" s="1"/>
  <c r="Q184" i="8" s="1"/>
  <c r="N173" i="8"/>
  <c r="M173" i="8" s="1"/>
  <c r="O173" i="8" s="1"/>
  <c r="P173" i="8" s="1"/>
  <c r="Q173" i="8" s="1"/>
  <c r="N177" i="8"/>
  <c r="M177" i="8" s="1"/>
  <c r="O177" i="8" s="1"/>
  <c r="P177" i="8" s="1"/>
  <c r="Q177" i="8" s="1"/>
  <c r="N181" i="8"/>
  <c r="M181" i="8" s="1"/>
  <c r="O181" i="8" s="1"/>
  <c r="P181" i="8" s="1"/>
  <c r="Q181" i="8" s="1"/>
  <c r="N185" i="8"/>
  <c r="M185" i="8" s="1"/>
  <c r="O185" i="8" s="1"/>
  <c r="P185" i="8" s="1"/>
  <c r="Q185" i="8" s="1"/>
  <c r="N153" i="8"/>
  <c r="M153" i="8" s="1"/>
  <c r="O153" i="8" s="1"/>
  <c r="P153" i="8" s="1"/>
  <c r="Q153" i="8" s="1"/>
  <c r="R153" i="8" s="1"/>
  <c r="S153" i="8" s="1"/>
  <c r="O162" i="8"/>
  <c r="P162" i="8" s="1"/>
  <c r="Q162" i="8" s="1"/>
  <c r="N160" i="8"/>
  <c r="M160" i="8" s="1"/>
  <c r="O160" i="8" s="1"/>
  <c r="P160" i="8" s="1"/>
  <c r="Q160" i="8" s="1"/>
  <c r="N161" i="8"/>
  <c r="M161" i="8" s="1"/>
  <c r="O161" i="8" s="1"/>
  <c r="P161" i="8" s="1"/>
  <c r="Q161" i="8" s="1"/>
  <c r="N159" i="8"/>
  <c r="M159" i="8" s="1"/>
  <c r="O159" i="8" s="1"/>
  <c r="P159" i="8" s="1"/>
  <c r="Q159" i="8" s="1"/>
  <c r="N163" i="8"/>
  <c r="M163" i="8" s="1"/>
  <c r="O163" i="8" s="1"/>
  <c r="P163" i="8" s="1"/>
  <c r="Q163" i="8" s="1"/>
  <c r="N151" i="8"/>
  <c r="M151" i="8" s="1"/>
  <c r="O151" i="8" s="1"/>
  <c r="P151" i="8" s="1"/>
  <c r="Q151" i="8" s="1"/>
  <c r="N152" i="8"/>
  <c r="M152" i="8" s="1"/>
  <c r="O152" i="8" s="1"/>
  <c r="P152" i="8" s="1"/>
  <c r="Q152" i="8" s="1"/>
  <c r="N154" i="8"/>
  <c r="M154" i="8" s="1"/>
  <c r="O154" i="8" s="1"/>
  <c r="P154" i="8" s="1"/>
  <c r="Q154" i="8" s="1"/>
  <c r="N136" i="8"/>
  <c r="M136" i="8" s="1"/>
  <c r="O136" i="8" s="1"/>
  <c r="P136" i="8" s="1"/>
  <c r="Q136" i="8" s="1"/>
  <c r="N143" i="8"/>
  <c r="M143" i="8" s="1"/>
  <c r="O143" i="8" s="1"/>
  <c r="P143" i="8" s="1"/>
  <c r="Q143" i="8" s="1"/>
  <c r="N139" i="8"/>
  <c r="M139" i="8" s="1"/>
  <c r="O139" i="8" s="1"/>
  <c r="P139" i="8" s="1"/>
  <c r="Q139" i="8" s="1"/>
  <c r="N141" i="8"/>
  <c r="M141" i="8" s="1"/>
  <c r="O141" i="8" s="1"/>
  <c r="P141" i="8" s="1"/>
  <c r="Q141" i="8" s="1"/>
  <c r="N137" i="8"/>
  <c r="M137" i="8" s="1"/>
  <c r="O137" i="8" s="1"/>
  <c r="P137" i="8" s="1"/>
  <c r="Q137" i="8" s="1"/>
  <c r="O144" i="8"/>
  <c r="P144" i="8" s="1"/>
  <c r="Q144" i="8" s="1"/>
  <c r="O140" i="8"/>
  <c r="P140" i="8" s="1"/>
  <c r="Q140" i="8" s="1"/>
  <c r="N145" i="8"/>
  <c r="M145" i="8" s="1"/>
  <c r="O145" i="8" s="1"/>
  <c r="P145" i="8" s="1"/>
  <c r="Q145" i="8" s="1"/>
  <c r="N138" i="8"/>
  <c r="M138" i="8" s="1"/>
  <c r="O138" i="8" s="1"/>
  <c r="P138" i="8" s="1"/>
  <c r="Q138" i="8" s="1"/>
  <c r="N142" i="8"/>
  <c r="M142" i="8" s="1"/>
  <c r="O142" i="8" s="1"/>
  <c r="P142" i="8" s="1"/>
  <c r="Q142" i="8" s="1"/>
  <c r="N146" i="8"/>
  <c r="M146" i="8" s="1"/>
  <c r="O146" i="8" s="1"/>
  <c r="P146" i="8" s="1"/>
  <c r="Q146" i="8" s="1"/>
  <c r="N126" i="8"/>
  <c r="M126" i="8" s="1"/>
  <c r="O126" i="8" s="1"/>
  <c r="P126" i="8" s="1"/>
  <c r="Q126" i="8" s="1"/>
  <c r="N128" i="8"/>
  <c r="M128" i="8" s="1"/>
  <c r="O128" i="8" s="1"/>
  <c r="P128" i="8" s="1"/>
  <c r="Q128" i="8" s="1"/>
  <c r="N130" i="8"/>
  <c r="M130" i="8" s="1"/>
  <c r="O130" i="8" s="1"/>
  <c r="P130" i="8" s="1"/>
  <c r="Q130" i="8" s="1"/>
  <c r="N124" i="8"/>
  <c r="M124" i="8" s="1"/>
  <c r="O124" i="8" s="1"/>
  <c r="P124" i="8" s="1"/>
  <c r="Q124" i="8" s="1"/>
  <c r="O131" i="8"/>
  <c r="P131" i="8" s="1"/>
  <c r="Q131" i="8" s="1"/>
  <c r="O127" i="8"/>
  <c r="P127" i="8" s="1"/>
  <c r="Q127" i="8" s="1"/>
  <c r="N132" i="8"/>
  <c r="M132" i="8" s="1"/>
  <c r="O132" i="8" s="1"/>
  <c r="P132" i="8" s="1"/>
  <c r="Q132" i="8" s="1"/>
  <c r="N129" i="8"/>
  <c r="M129" i="8" s="1"/>
  <c r="O129" i="8" s="1"/>
  <c r="P129" i="8" s="1"/>
  <c r="Q129" i="8" s="1"/>
  <c r="N133" i="8"/>
  <c r="M133" i="8" s="1"/>
  <c r="O133" i="8" s="1"/>
  <c r="P133" i="8" s="1"/>
  <c r="Q133" i="8" s="1"/>
  <c r="N125" i="8"/>
  <c r="M125" i="8" s="1"/>
  <c r="O125" i="8" s="1"/>
  <c r="P125" i="8" s="1"/>
  <c r="Q125" i="8" s="1"/>
  <c r="J120" i="8"/>
  <c r="L119" i="8"/>
  <c r="L118" i="8"/>
  <c r="L117" i="8"/>
  <c r="N117" i="8" s="1"/>
  <c r="M117" i="8" s="1"/>
  <c r="L116" i="8"/>
  <c r="L115" i="8"/>
  <c r="L114" i="8"/>
  <c r="L111" i="8"/>
  <c r="L110" i="8"/>
  <c r="L109" i="8"/>
  <c r="L108" i="8"/>
  <c r="L105" i="8"/>
  <c r="L104" i="8"/>
  <c r="L103" i="8"/>
  <c r="L102" i="8"/>
  <c r="J282" i="8" l="1"/>
  <c r="J121" i="8"/>
  <c r="J217" i="8" s="1"/>
  <c r="S270" i="8"/>
  <c r="S250" i="8"/>
  <c r="R247" i="8"/>
  <c r="S241" i="8"/>
  <c r="S220" i="8"/>
  <c r="S236" i="8" s="1"/>
  <c r="R236" i="8"/>
  <c r="S249" i="8"/>
  <c r="R254" i="8"/>
  <c r="S273" i="8"/>
  <c r="Q255" i="8"/>
  <c r="S246" i="8"/>
  <c r="S238" i="8"/>
  <c r="Q199" i="8"/>
  <c r="Q186" i="8"/>
  <c r="Q155" i="8"/>
  <c r="R175" i="8"/>
  <c r="S175" i="8" s="1"/>
  <c r="R190" i="8"/>
  <c r="R197" i="8"/>
  <c r="S197" i="8" s="1"/>
  <c r="R196" i="8"/>
  <c r="S196" i="8" s="1"/>
  <c r="R193" i="8"/>
  <c r="S193" i="8" s="1"/>
  <c r="R188" i="8"/>
  <c r="R189" i="8"/>
  <c r="S189" i="8" s="1"/>
  <c r="R195" i="8"/>
  <c r="S195" i="8" s="1"/>
  <c r="R192" i="8"/>
  <c r="S192" i="8" s="1"/>
  <c r="R198" i="8"/>
  <c r="S198" i="8" s="1"/>
  <c r="R191" i="8"/>
  <c r="S191" i="8" s="1"/>
  <c r="R194" i="8"/>
  <c r="R177" i="8"/>
  <c r="R182" i="8"/>
  <c r="S182" i="8" s="1"/>
  <c r="R173" i="8"/>
  <c r="S173" i="8" s="1"/>
  <c r="R176" i="8"/>
  <c r="S176" i="8" s="1"/>
  <c r="R178" i="8"/>
  <c r="S178" i="8" s="1"/>
  <c r="R181" i="8"/>
  <c r="S181" i="8" s="1"/>
  <c r="R170" i="8"/>
  <c r="R172" i="8"/>
  <c r="S172" i="8" s="1"/>
  <c r="R174" i="8"/>
  <c r="S174" i="8" s="1"/>
  <c r="R183" i="8"/>
  <c r="S183" i="8" s="1"/>
  <c r="R179" i="8"/>
  <c r="S179" i="8" s="1"/>
  <c r="R180" i="8"/>
  <c r="S180" i="8" s="1"/>
  <c r="R171" i="8"/>
  <c r="S171" i="8" s="1"/>
  <c r="R185" i="8"/>
  <c r="S185" i="8" s="1"/>
  <c r="R184" i="8"/>
  <c r="S184" i="8" s="1"/>
  <c r="Q134" i="8"/>
  <c r="R136" i="8"/>
  <c r="Q147" i="8"/>
  <c r="R160" i="8"/>
  <c r="S160" i="8" s="1"/>
  <c r="R163" i="8"/>
  <c r="S163" i="8" s="1"/>
  <c r="R161" i="8"/>
  <c r="S161" i="8" s="1"/>
  <c r="R159" i="8"/>
  <c r="S159" i="8" s="1"/>
  <c r="R162" i="8"/>
  <c r="S162" i="8" s="1"/>
  <c r="R152" i="8"/>
  <c r="S152" i="8" s="1"/>
  <c r="R154" i="8"/>
  <c r="S154" i="8" s="1"/>
  <c r="R151" i="8"/>
  <c r="S151" i="8" s="1"/>
  <c r="R145" i="8"/>
  <c r="S145" i="8" s="1"/>
  <c r="R146" i="8"/>
  <c r="S146" i="8" s="1"/>
  <c r="R138" i="8"/>
  <c r="S138" i="8" s="1"/>
  <c r="R142" i="8"/>
  <c r="S142" i="8" s="1"/>
  <c r="R141" i="8"/>
  <c r="R143" i="8"/>
  <c r="S143" i="8" s="1"/>
  <c r="R140" i="8"/>
  <c r="S140" i="8" s="1"/>
  <c r="R137" i="8"/>
  <c r="S137" i="8" s="1"/>
  <c r="R144" i="8"/>
  <c r="R139" i="8"/>
  <c r="S139" i="8" s="1"/>
  <c r="R129" i="8"/>
  <c r="S129" i="8" s="1"/>
  <c r="R132" i="8"/>
  <c r="S132" i="8" s="1"/>
  <c r="R124" i="8"/>
  <c r="R125" i="8"/>
  <c r="S125" i="8" s="1"/>
  <c r="R126" i="8"/>
  <c r="S126" i="8" s="1"/>
  <c r="R128" i="8"/>
  <c r="R131" i="8"/>
  <c r="S131" i="8" s="1"/>
  <c r="R127" i="8"/>
  <c r="S127" i="8" s="1"/>
  <c r="R133" i="8"/>
  <c r="S133" i="8" s="1"/>
  <c r="R130" i="8"/>
  <c r="S130" i="8" s="1"/>
  <c r="N109" i="8"/>
  <c r="M109" i="8" s="1"/>
  <c r="O109" i="8" s="1"/>
  <c r="P109" i="8" s="1"/>
  <c r="Q109" i="8" s="1"/>
  <c r="R109" i="8" s="1"/>
  <c r="S109" i="8" s="1"/>
  <c r="N103" i="8"/>
  <c r="M103" i="8" s="1"/>
  <c r="O103" i="8" s="1"/>
  <c r="P103" i="8" s="1"/>
  <c r="Q103" i="8" s="1"/>
  <c r="N116" i="8"/>
  <c r="M116" i="8" s="1"/>
  <c r="O116" i="8" s="1"/>
  <c r="P116" i="8" s="1"/>
  <c r="Q116" i="8" s="1"/>
  <c r="O117" i="8"/>
  <c r="P117" i="8" s="1"/>
  <c r="Q117" i="8" s="1"/>
  <c r="N114" i="8"/>
  <c r="M114" i="8" s="1"/>
  <c r="O114" i="8" s="1"/>
  <c r="P114" i="8" s="1"/>
  <c r="Q114" i="8" s="1"/>
  <c r="N118" i="8"/>
  <c r="M118" i="8" s="1"/>
  <c r="O118" i="8" s="1"/>
  <c r="P118" i="8" s="1"/>
  <c r="Q118" i="8" s="1"/>
  <c r="N115" i="8"/>
  <c r="M115" i="8" s="1"/>
  <c r="O115" i="8" s="1"/>
  <c r="P115" i="8" s="1"/>
  <c r="Q115" i="8" s="1"/>
  <c r="N119" i="8"/>
  <c r="M119" i="8" s="1"/>
  <c r="O119" i="8" s="1"/>
  <c r="P119" i="8" s="1"/>
  <c r="Q119" i="8" s="1"/>
  <c r="N108" i="8"/>
  <c r="M108" i="8" s="1"/>
  <c r="O108" i="8" s="1"/>
  <c r="P108" i="8" s="1"/>
  <c r="Q108" i="8" s="1"/>
  <c r="N110" i="8"/>
  <c r="M110" i="8" s="1"/>
  <c r="O110" i="8" s="1"/>
  <c r="P110" i="8" s="1"/>
  <c r="Q110" i="8" s="1"/>
  <c r="N111" i="8"/>
  <c r="M111" i="8" s="1"/>
  <c r="O111" i="8" s="1"/>
  <c r="P111" i="8" s="1"/>
  <c r="Q111" i="8" s="1"/>
  <c r="N102" i="8"/>
  <c r="M102" i="8" s="1"/>
  <c r="O102" i="8" s="1"/>
  <c r="P102" i="8" s="1"/>
  <c r="Q102" i="8" s="1"/>
  <c r="N104" i="8"/>
  <c r="M104" i="8" s="1"/>
  <c r="O104" i="8" s="1"/>
  <c r="P104" i="8" s="1"/>
  <c r="Q104" i="8" s="1"/>
  <c r="N105" i="8"/>
  <c r="M105" i="8" s="1"/>
  <c r="O105" i="8" s="1"/>
  <c r="P105" i="8" s="1"/>
  <c r="Q105" i="8" s="1"/>
  <c r="S254" i="8" l="1"/>
  <c r="R255" i="8"/>
  <c r="S247" i="8"/>
  <c r="S255" i="8" s="1"/>
  <c r="Q200" i="8"/>
  <c r="S188" i="8"/>
  <c r="R199" i="8"/>
  <c r="S170" i="8"/>
  <c r="R186" i="8"/>
  <c r="S155" i="8"/>
  <c r="S194" i="8"/>
  <c r="S190" i="8"/>
  <c r="S177" i="8"/>
  <c r="R155" i="8"/>
  <c r="S124" i="8"/>
  <c r="R134" i="8"/>
  <c r="S144" i="8"/>
  <c r="Q148" i="8"/>
  <c r="S136" i="8"/>
  <c r="R147" i="8"/>
  <c r="R148" i="8" s="1"/>
  <c r="S141" i="8"/>
  <c r="S128" i="8"/>
  <c r="Q112" i="8"/>
  <c r="Q120" i="8"/>
  <c r="Q282" i="8" s="1"/>
  <c r="Q106" i="8"/>
  <c r="Q121" i="8" s="1"/>
  <c r="R103" i="8"/>
  <c r="S103" i="8" s="1"/>
  <c r="R115" i="8"/>
  <c r="S115" i="8" s="1"/>
  <c r="R119" i="8"/>
  <c r="S119" i="8" s="1"/>
  <c r="R114" i="8"/>
  <c r="R118" i="8"/>
  <c r="S118" i="8" s="1"/>
  <c r="R116" i="8"/>
  <c r="S116" i="8" s="1"/>
  <c r="R117" i="8"/>
  <c r="S117" i="8" s="1"/>
  <c r="R111" i="8"/>
  <c r="S111" i="8" s="1"/>
  <c r="R110" i="8"/>
  <c r="S110" i="8" s="1"/>
  <c r="R108" i="8"/>
  <c r="S108" i="8" s="1"/>
  <c r="R105" i="8"/>
  <c r="S105" i="8" s="1"/>
  <c r="R104" i="8"/>
  <c r="R102" i="8"/>
  <c r="S102" i="8" s="1"/>
  <c r="J86" i="8"/>
  <c r="L85" i="8"/>
  <c r="L84" i="8"/>
  <c r="L83" i="8"/>
  <c r="L82" i="8"/>
  <c r="L81" i="8"/>
  <c r="L80" i="8"/>
  <c r="L71" i="8"/>
  <c r="L72" i="8"/>
  <c r="L73" i="8"/>
  <c r="L74" i="8"/>
  <c r="L75" i="8"/>
  <c r="L76" i="8"/>
  <c r="L77" i="8"/>
  <c r="L70" i="8"/>
  <c r="J78" i="8"/>
  <c r="S134" i="8" l="1"/>
  <c r="J90" i="8"/>
  <c r="S186" i="8"/>
  <c r="R200" i="8"/>
  <c r="S199" i="8"/>
  <c r="S112" i="8"/>
  <c r="S147" i="8"/>
  <c r="S148" i="8" s="1"/>
  <c r="R106" i="8"/>
  <c r="R112" i="8"/>
  <c r="S114" i="8"/>
  <c r="S120" i="8" s="1"/>
  <c r="S282" i="8" s="1"/>
  <c r="R120" i="8"/>
  <c r="R282" i="8" s="1"/>
  <c r="S104" i="8"/>
  <c r="S106" i="8" s="1"/>
  <c r="J60" i="8"/>
  <c r="J64" i="8" s="1"/>
  <c r="J346" i="8" s="1"/>
  <c r="J50" i="8"/>
  <c r="J43" i="8"/>
  <c r="J32" i="8"/>
  <c r="J23" i="8"/>
  <c r="J25" i="8" s="1"/>
  <c r="L58" i="8"/>
  <c r="L57" i="8"/>
  <c r="L56" i="8"/>
  <c r="N56" i="8" s="1"/>
  <c r="M56" i="8" s="1"/>
  <c r="L55" i="8"/>
  <c r="L54" i="8"/>
  <c r="L53" i="8"/>
  <c r="L52" i="8"/>
  <c r="N52" i="8" s="1"/>
  <c r="M52" i="8" s="1"/>
  <c r="K49" i="8"/>
  <c r="L49" i="8" s="1"/>
  <c r="L48" i="8"/>
  <c r="L47" i="8"/>
  <c r="N47" i="8" s="1"/>
  <c r="M47" i="8" s="1"/>
  <c r="L46" i="8"/>
  <c r="L45" i="8"/>
  <c r="K42" i="8"/>
  <c r="L42" i="8" s="1"/>
  <c r="N42" i="8" s="1"/>
  <c r="M42" i="8" s="1"/>
  <c r="L41" i="8"/>
  <c r="L40" i="8"/>
  <c r="L39" i="8"/>
  <c r="L38" i="8"/>
  <c r="N38" i="8" s="1"/>
  <c r="M38" i="8" s="1"/>
  <c r="L37" i="8"/>
  <c r="L31" i="8"/>
  <c r="L30" i="8"/>
  <c r="L29" i="8"/>
  <c r="S200" i="8" l="1"/>
  <c r="S121" i="8"/>
  <c r="R121" i="8"/>
  <c r="J63" i="8"/>
  <c r="J345" i="8" s="1"/>
  <c r="J62" i="8"/>
  <c r="J61" i="8"/>
  <c r="J33" i="8"/>
  <c r="N37" i="8"/>
  <c r="M37" i="8" s="1"/>
  <c r="O37" i="8" s="1"/>
  <c r="P37" i="8" s="1"/>
  <c r="Q37" i="8" s="1"/>
  <c r="N41" i="8"/>
  <c r="M41" i="8" s="1"/>
  <c r="O41" i="8" s="1"/>
  <c r="P41" i="8" s="1"/>
  <c r="Q41" i="8" s="1"/>
  <c r="N55" i="8"/>
  <c r="M55" i="8" s="1"/>
  <c r="O55" i="8" s="1"/>
  <c r="P55" i="8" s="1"/>
  <c r="Q55" i="8" s="1"/>
  <c r="O38" i="8"/>
  <c r="P38" i="8" s="1"/>
  <c r="Q38" i="8" s="1"/>
  <c r="O42" i="8"/>
  <c r="P42" i="8" s="1"/>
  <c r="Q42" i="8" s="1"/>
  <c r="O47" i="8"/>
  <c r="P47" i="8" s="1"/>
  <c r="Q47" i="8" s="1"/>
  <c r="O52" i="8"/>
  <c r="P52" i="8" s="1"/>
  <c r="Q52" i="8" s="1"/>
  <c r="O56" i="8"/>
  <c r="P56" i="8" s="1"/>
  <c r="Q56" i="8" s="1"/>
  <c r="N46" i="8"/>
  <c r="M46" i="8" s="1"/>
  <c r="O46" i="8" s="1"/>
  <c r="P46" i="8" s="1"/>
  <c r="Q46" i="8" s="1"/>
  <c r="N39" i="8"/>
  <c r="M39" i="8" s="1"/>
  <c r="O39" i="8" s="1"/>
  <c r="P39" i="8" s="1"/>
  <c r="Q39" i="8" s="1"/>
  <c r="N48" i="8"/>
  <c r="M48" i="8" s="1"/>
  <c r="O48" i="8" s="1"/>
  <c r="P48" i="8" s="1"/>
  <c r="Q48" i="8" s="1"/>
  <c r="N53" i="8"/>
  <c r="M53" i="8" s="1"/>
  <c r="O53" i="8" s="1"/>
  <c r="P53" i="8" s="1"/>
  <c r="Q53" i="8" s="1"/>
  <c r="N57" i="8"/>
  <c r="M57" i="8" s="1"/>
  <c r="O57" i="8" s="1"/>
  <c r="P57" i="8" s="1"/>
  <c r="Q57" i="8" s="1"/>
  <c r="N40" i="8"/>
  <c r="M40" i="8" s="1"/>
  <c r="O40" i="8" s="1"/>
  <c r="P40" i="8" s="1"/>
  <c r="Q40" i="8" s="1"/>
  <c r="N45" i="8"/>
  <c r="M45" i="8" s="1"/>
  <c r="O45" i="8" s="1"/>
  <c r="P45" i="8" s="1"/>
  <c r="Q45" i="8" s="1"/>
  <c r="N49" i="8"/>
  <c r="M49" i="8" s="1"/>
  <c r="O49" i="8" s="1"/>
  <c r="P49" i="8" s="1"/>
  <c r="Q49" i="8" s="1"/>
  <c r="N54" i="8"/>
  <c r="M54" i="8" s="1"/>
  <c r="O54" i="8" s="1"/>
  <c r="P54" i="8" s="1"/>
  <c r="Q54" i="8" s="1"/>
  <c r="N58" i="8"/>
  <c r="M58" i="8" s="1"/>
  <c r="O58" i="8" s="1"/>
  <c r="P58" i="8" s="1"/>
  <c r="Q58" i="8" s="1"/>
  <c r="L13" i="8"/>
  <c r="L16" i="8"/>
  <c r="L12" i="8"/>
  <c r="L14" i="8"/>
  <c r="N14" i="8" s="1"/>
  <c r="M14" i="8" s="1"/>
  <c r="L15" i="8"/>
  <c r="K17" i="8"/>
  <c r="L17" i="8" s="1"/>
  <c r="K18" i="8"/>
  <c r="L18" i="8" s="1"/>
  <c r="N18" i="8" s="1"/>
  <c r="M18" i="8" s="1"/>
  <c r="K19" i="8"/>
  <c r="L19" i="8" s="1"/>
  <c r="N19" i="8" s="1"/>
  <c r="M19" i="8" s="1"/>
  <c r="K20" i="8"/>
  <c r="L20" i="8" s="1"/>
  <c r="K21" i="8"/>
  <c r="L21" i="8" s="1"/>
  <c r="K22" i="8"/>
  <c r="L22" i="8" s="1"/>
  <c r="N22" i="8" s="1"/>
  <c r="M22" i="8" s="1"/>
  <c r="K24" i="8"/>
  <c r="L24" i="8" s="1"/>
  <c r="N24" i="8" s="1"/>
  <c r="M24" i="8" s="1"/>
  <c r="J65" i="8" l="1"/>
  <c r="Q50" i="8"/>
  <c r="Q60" i="8"/>
  <c r="Q64" i="8" s="1"/>
  <c r="Q346" i="8" s="1"/>
  <c r="Q43" i="8"/>
  <c r="R39" i="8"/>
  <c r="S39" i="8" s="1"/>
  <c r="R37" i="8"/>
  <c r="R40" i="8"/>
  <c r="R49" i="8"/>
  <c r="S49" i="8" s="1"/>
  <c r="R53" i="8"/>
  <c r="S53" i="8" s="1"/>
  <c r="R55" i="8"/>
  <c r="S55" i="8" s="1"/>
  <c r="R58" i="8"/>
  <c r="S58" i="8" s="1"/>
  <c r="R45" i="8"/>
  <c r="R48" i="8"/>
  <c r="S48" i="8" s="1"/>
  <c r="R47" i="8"/>
  <c r="R41" i="8"/>
  <c r="S41" i="8" s="1"/>
  <c r="R42" i="8"/>
  <c r="R46" i="8"/>
  <c r="S46" i="8" s="1"/>
  <c r="R57" i="8"/>
  <c r="R56" i="8"/>
  <c r="S56" i="8" s="1"/>
  <c r="R38" i="8"/>
  <c r="S38" i="8" s="1"/>
  <c r="R54" i="8"/>
  <c r="S54" i="8" s="1"/>
  <c r="R52" i="8"/>
  <c r="N17" i="8"/>
  <c r="M17" i="8" s="1"/>
  <c r="O17" i="8" s="1"/>
  <c r="P17" i="8" s="1"/>
  <c r="Q17" i="8" s="1"/>
  <c r="N16" i="8"/>
  <c r="M16" i="8" s="1"/>
  <c r="O16" i="8" s="1"/>
  <c r="P16" i="8" s="1"/>
  <c r="Q16" i="8" s="1"/>
  <c r="N20" i="8"/>
  <c r="M20" i="8" s="1"/>
  <c r="O20" i="8" s="1"/>
  <c r="P20" i="8" s="1"/>
  <c r="Q20" i="8" s="1"/>
  <c r="N21" i="8"/>
  <c r="M21" i="8" s="1"/>
  <c r="O21" i="8" s="1"/>
  <c r="N13" i="8"/>
  <c r="M13" i="8" s="1"/>
  <c r="O13" i="8" s="1"/>
  <c r="P13" i="8" s="1"/>
  <c r="Q13" i="8" s="1"/>
  <c r="O24" i="8"/>
  <c r="P24" i="8" s="1"/>
  <c r="O19" i="8"/>
  <c r="P19" i="8" s="1"/>
  <c r="Q19" i="8" s="1"/>
  <c r="O22" i="8"/>
  <c r="P22" i="8" s="1"/>
  <c r="Q22" i="8" s="1"/>
  <c r="O18" i="8"/>
  <c r="N15" i="8"/>
  <c r="M15" i="8" s="1"/>
  <c r="O15" i="8" s="1"/>
  <c r="P15" i="8" s="1"/>
  <c r="Q15" i="8" s="1"/>
  <c r="O14" i="8"/>
  <c r="P14" i="8" s="1"/>
  <c r="Q14" i="8" s="1"/>
  <c r="N12" i="8"/>
  <c r="M12" i="8" s="1"/>
  <c r="Q61" i="8" l="1"/>
  <c r="R43" i="8"/>
  <c r="S52" i="8"/>
  <c r="R60" i="8"/>
  <c r="S45" i="8"/>
  <c r="R50" i="8"/>
  <c r="S57" i="8"/>
  <c r="S47" i="8"/>
  <c r="S42" i="8"/>
  <c r="S40" i="8"/>
  <c r="S37" i="8"/>
  <c r="O12" i="8"/>
  <c r="R16" i="8"/>
  <c r="S16" i="8" s="1"/>
  <c r="R15" i="8"/>
  <c r="S15" i="8" s="1"/>
  <c r="R19" i="8"/>
  <c r="S19" i="8" s="1"/>
  <c r="R22" i="8"/>
  <c r="S22" i="8" s="1"/>
  <c r="R13" i="8"/>
  <c r="R20" i="8"/>
  <c r="S20" i="8" s="1"/>
  <c r="R14" i="8"/>
  <c r="S14" i="8" s="1"/>
  <c r="R17" i="8"/>
  <c r="S17" i="8" s="1"/>
  <c r="P12" i="8" l="1"/>
  <c r="Q12" i="8" s="1"/>
  <c r="Q23" i="8" s="1"/>
  <c r="S43" i="8"/>
  <c r="S50" i="8"/>
  <c r="R64" i="8"/>
  <c r="R346" i="8" s="1"/>
  <c r="R61" i="8"/>
  <c r="S60" i="8"/>
  <c r="S13" i="8"/>
  <c r="Q62" i="8" l="1"/>
  <c r="R12" i="8"/>
  <c r="S61" i="8"/>
  <c r="S64" i="8"/>
  <c r="S346" i="8" s="1"/>
  <c r="S12" i="8" l="1"/>
  <c r="S23" i="8" s="1"/>
  <c r="R23" i="8"/>
  <c r="Q25" i="8"/>
  <c r="R62" i="8" l="1"/>
  <c r="R25" i="8"/>
  <c r="S25" i="8"/>
  <c r="S62" i="8"/>
  <c r="J266" i="8" l="1"/>
  <c r="J278" i="8" s="1"/>
  <c r="J280" i="8" s="1"/>
  <c r="I214" i="8"/>
  <c r="N214" i="8" s="1"/>
  <c r="M214" i="8" s="1"/>
  <c r="O214" i="8" s="1"/>
  <c r="P214" i="8" s="1"/>
  <c r="Q214" i="8" s="1"/>
  <c r="R214" i="8" s="1"/>
  <c r="S214" i="8" s="1"/>
  <c r="I213" i="8"/>
  <c r="N213" i="8" s="1"/>
  <c r="M213" i="8" s="1"/>
  <c r="O213" i="8" s="1"/>
  <c r="P213" i="8" s="1"/>
  <c r="Q213" i="8" s="1"/>
  <c r="R213" i="8" s="1"/>
  <c r="S213" i="8" s="1"/>
  <c r="I212" i="8"/>
  <c r="N212" i="8" s="1"/>
  <c r="M212" i="8" s="1"/>
  <c r="O212" i="8" s="1"/>
  <c r="P212" i="8" s="1"/>
  <c r="Q212" i="8" s="1"/>
  <c r="R212" i="8" s="1"/>
  <c r="S212" i="8" s="1"/>
  <c r="I211" i="8"/>
  <c r="N211" i="8" s="1"/>
  <c r="M211" i="8" s="1"/>
  <c r="O211" i="8" s="1"/>
  <c r="P211" i="8" s="1"/>
  <c r="Q211" i="8" s="1"/>
  <c r="I210" i="8"/>
  <c r="N210" i="8" s="1"/>
  <c r="M210" i="8" s="1"/>
  <c r="O210" i="8" s="1"/>
  <c r="P210" i="8" s="1"/>
  <c r="Q210" i="8" s="1"/>
  <c r="I209" i="8"/>
  <c r="N209" i="8" s="1"/>
  <c r="M209" i="8" s="1"/>
  <c r="O209" i="8" s="1"/>
  <c r="P209" i="8" s="1"/>
  <c r="Q209" i="8" s="1"/>
  <c r="R209" i="8" s="1"/>
  <c r="S209" i="8" s="1"/>
  <c r="I208" i="8"/>
  <c r="N208" i="8" s="1"/>
  <c r="M208" i="8" s="1"/>
  <c r="O208" i="8" s="1"/>
  <c r="P208" i="8" s="1"/>
  <c r="Q208" i="8" s="1"/>
  <c r="R208" i="8" s="1"/>
  <c r="S208" i="8" s="1"/>
  <c r="I207" i="8"/>
  <c r="N207" i="8" s="1"/>
  <c r="M207" i="8" s="1"/>
  <c r="O207" i="8" s="1"/>
  <c r="P207" i="8" s="1"/>
  <c r="Q207" i="8" s="1"/>
  <c r="I204" i="8"/>
  <c r="N204" i="8" s="1"/>
  <c r="M204" i="8" s="1"/>
  <c r="O204" i="8" s="1"/>
  <c r="P204" i="8" s="1"/>
  <c r="Q204" i="8" s="1"/>
  <c r="I203" i="8"/>
  <c r="N203" i="8" s="1"/>
  <c r="M203" i="8" s="1"/>
  <c r="O203" i="8" s="1"/>
  <c r="P203" i="8" s="1"/>
  <c r="Q203" i="8" s="1"/>
  <c r="I165" i="8"/>
  <c r="N165" i="8" s="1"/>
  <c r="M165" i="8" s="1"/>
  <c r="O165" i="8" s="1"/>
  <c r="P165" i="8" s="1"/>
  <c r="Q165" i="8" s="1"/>
  <c r="R165" i="8" s="1"/>
  <c r="S165" i="8" s="1"/>
  <c r="I164" i="8"/>
  <c r="N164" i="8" s="1"/>
  <c r="M164" i="8" s="1"/>
  <c r="O164" i="8" s="1"/>
  <c r="P164" i="8" s="1"/>
  <c r="Q164" i="8" s="1"/>
  <c r="R164" i="8" s="1"/>
  <c r="S164" i="8" s="1"/>
  <c r="I158" i="8"/>
  <c r="N158" i="8" s="1"/>
  <c r="M158" i="8" s="1"/>
  <c r="O158" i="8" s="1"/>
  <c r="P158" i="8" s="1"/>
  <c r="Q158" i="8" s="1"/>
  <c r="I157" i="8"/>
  <c r="N157" i="8" s="1"/>
  <c r="M157" i="8" s="1"/>
  <c r="O157" i="8" s="1"/>
  <c r="P157" i="8" s="1"/>
  <c r="Q157" i="8" s="1"/>
  <c r="J284" i="8" l="1"/>
  <c r="J344" i="8"/>
  <c r="J348" i="8" s="1"/>
  <c r="Q215" i="8"/>
  <c r="P266" i="8"/>
  <c r="Q266" i="8" s="1"/>
  <c r="R204" i="8"/>
  <c r="S204" i="8" s="1"/>
  <c r="R207" i="8"/>
  <c r="S207" i="8" s="1"/>
  <c r="R203" i="8"/>
  <c r="Q205" i="8"/>
  <c r="R210" i="8"/>
  <c r="R211" i="8"/>
  <c r="S211" i="8" s="1"/>
  <c r="Q166" i="8"/>
  <c r="R157" i="8"/>
  <c r="R158" i="8"/>
  <c r="S158" i="8" s="1"/>
  <c r="I76" i="8"/>
  <c r="N76" i="8" s="1"/>
  <c r="M76" i="8" s="1"/>
  <c r="O76" i="8" s="1"/>
  <c r="P76" i="8" s="1"/>
  <c r="Q76" i="8" s="1"/>
  <c r="R76" i="8" s="1"/>
  <c r="S76" i="8" s="1"/>
  <c r="J87" i="8"/>
  <c r="I85" i="8"/>
  <c r="N85" i="8" s="1"/>
  <c r="M85" i="8" s="1"/>
  <c r="O85" i="8" s="1"/>
  <c r="P85" i="8" s="1"/>
  <c r="Q85" i="8" s="1"/>
  <c r="R85" i="8" s="1"/>
  <c r="S85" i="8" s="1"/>
  <c r="I84" i="8"/>
  <c r="N84" i="8" s="1"/>
  <c r="M84" i="8" s="1"/>
  <c r="O84" i="8" s="1"/>
  <c r="P84" i="8" s="1"/>
  <c r="Q84" i="8" s="1"/>
  <c r="R84" i="8" s="1"/>
  <c r="S84" i="8" s="1"/>
  <c r="I83" i="8"/>
  <c r="N83" i="8" s="1"/>
  <c r="M83" i="8" s="1"/>
  <c r="O83" i="8" s="1"/>
  <c r="P83" i="8" s="1"/>
  <c r="Q83" i="8" s="1"/>
  <c r="R83" i="8" s="1"/>
  <c r="S83" i="8" s="1"/>
  <c r="I82" i="8"/>
  <c r="N82" i="8" s="1"/>
  <c r="M82" i="8" s="1"/>
  <c r="O82" i="8" s="1"/>
  <c r="P82" i="8" s="1"/>
  <c r="Q82" i="8" s="1"/>
  <c r="I81" i="8"/>
  <c r="N81" i="8" s="1"/>
  <c r="M81" i="8" s="1"/>
  <c r="O81" i="8" s="1"/>
  <c r="P81" i="8" s="1"/>
  <c r="Q81" i="8" s="1"/>
  <c r="R81" i="8" s="1"/>
  <c r="S81" i="8" s="1"/>
  <c r="I80" i="8"/>
  <c r="N80" i="8" s="1"/>
  <c r="M80" i="8" s="1"/>
  <c r="O80" i="8" s="1"/>
  <c r="P80" i="8" s="1"/>
  <c r="Q80" i="8" s="1"/>
  <c r="I77" i="8"/>
  <c r="N77" i="8" s="1"/>
  <c r="M77" i="8" s="1"/>
  <c r="O77" i="8" s="1"/>
  <c r="P77" i="8" s="1"/>
  <c r="Q77" i="8" s="1"/>
  <c r="I75" i="8"/>
  <c r="N75" i="8" s="1"/>
  <c r="M75" i="8" s="1"/>
  <c r="O75" i="8" s="1"/>
  <c r="P75" i="8" s="1"/>
  <c r="Q75" i="8" s="1"/>
  <c r="R75" i="8" s="1"/>
  <c r="S75" i="8" s="1"/>
  <c r="I74" i="8"/>
  <c r="N74" i="8" s="1"/>
  <c r="M74" i="8" s="1"/>
  <c r="O74" i="8" s="1"/>
  <c r="P74" i="8" s="1"/>
  <c r="Q74" i="8" s="1"/>
  <c r="I73" i="8"/>
  <c r="N73" i="8" s="1"/>
  <c r="M73" i="8" s="1"/>
  <c r="O73" i="8" s="1"/>
  <c r="P73" i="8" s="1"/>
  <c r="Q73" i="8" s="1"/>
  <c r="I72" i="8"/>
  <c r="N72" i="8" s="1"/>
  <c r="M72" i="8" s="1"/>
  <c r="O72" i="8" s="1"/>
  <c r="P72" i="8" s="1"/>
  <c r="Q72" i="8" s="1"/>
  <c r="I71" i="8"/>
  <c r="N71" i="8" s="1"/>
  <c r="M71" i="8" s="1"/>
  <c r="O71" i="8" s="1"/>
  <c r="P71" i="8" s="1"/>
  <c r="Q71" i="8" s="1"/>
  <c r="I70" i="8"/>
  <c r="N70" i="8" s="1"/>
  <c r="M70" i="8" s="1"/>
  <c r="O70" i="8" s="1"/>
  <c r="P70" i="8" s="1"/>
  <c r="Q70" i="8" s="1"/>
  <c r="R205" i="8" l="1"/>
  <c r="Q216" i="8"/>
  <c r="Q167" i="8"/>
  <c r="Q217" i="8" s="1"/>
  <c r="Q281" i="8"/>
  <c r="R266" i="8"/>
  <c r="Q278" i="8"/>
  <c r="Q280" i="8" s="1"/>
  <c r="J279" i="8"/>
  <c r="J291" i="8" s="1"/>
  <c r="R166" i="8"/>
  <c r="S203" i="8"/>
  <c r="S205" i="8" s="1"/>
  <c r="R215" i="8"/>
  <c r="R216" i="8" s="1"/>
  <c r="S210" i="8"/>
  <c r="S215" i="8" s="1"/>
  <c r="S157" i="8"/>
  <c r="S166" i="8" s="1"/>
  <c r="S281" i="8" s="1"/>
  <c r="R70" i="8"/>
  <c r="S70" i="8" s="1"/>
  <c r="R80" i="8"/>
  <c r="Q86" i="8"/>
  <c r="Q78" i="8"/>
  <c r="Q344" i="8" s="1"/>
  <c r="R71" i="8"/>
  <c r="R72" i="8"/>
  <c r="S72" i="8" s="1"/>
  <c r="R77" i="8"/>
  <c r="S77" i="8" s="1"/>
  <c r="R82" i="8"/>
  <c r="S82" i="8" s="1"/>
  <c r="R73" i="8"/>
  <c r="S73" i="8" s="1"/>
  <c r="R74" i="8"/>
  <c r="S74" i="8" s="1"/>
  <c r="Q284" i="8" l="1"/>
  <c r="Q279" i="8"/>
  <c r="Q291" i="8"/>
  <c r="S167" i="8"/>
  <c r="R167" i="8"/>
  <c r="R217" i="8" s="1"/>
  <c r="R281" i="8"/>
  <c r="S266" i="8"/>
  <c r="S278" i="8" s="1"/>
  <c r="S280" i="8" s="1"/>
  <c r="S284" i="8" s="1"/>
  <c r="R278" i="8"/>
  <c r="R280" i="8" s="1"/>
  <c r="R284" i="8" s="1"/>
  <c r="S216" i="8"/>
  <c r="Q90" i="8"/>
  <c r="S80" i="8"/>
  <c r="S86" i="8" s="1"/>
  <c r="R86" i="8"/>
  <c r="S71" i="8"/>
  <c r="S78" i="8" s="1"/>
  <c r="R78" i="8"/>
  <c r="I31" i="8"/>
  <c r="N31" i="8" s="1"/>
  <c r="M31" i="8" s="1"/>
  <c r="O31" i="8" s="1"/>
  <c r="P31" i="8" s="1"/>
  <c r="Q31" i="8" s="1"/>
  <c r="R31" i="8" s="1"/>
  <c r="S31" i="8" s="1"/>
  <c r="I30" i="8"/>
  <c r="N30" i="8" s="1"/>
  <c r="M30" i="8" s="1"/>
  <c r="O30" i="8" s="1"/>
  <c r="P30" i="8" s="1"/>
  <c r="Q30" i="8" s="1"/>
  <c r="R30" i="8" s="1"/>
  <c r="S30" i="8" s="1"/>
  <c r="I29" i="8"/>
  <c r="N29" i="8" s="1"/>
  <c r="M29" i="8" s="1"/>
  <c r="O29" i="8" s="1"/>
  <c r="P29" i="8" s="1"/>
  <c r="Q29" i="8" s="1"/>
  <c r="R344" i="8" l="1"/>
  <c r="S344" i="8"/>
  <c r="S217" i="8"/>
  <c r="S279" i="8"/>
  <c r="R279" i="8"/>
  <c r="R90" i="8"/>
  <c r="S90" i="8"/>
  <c r="Q32" i="8"/>
  <c r="R29" i="8"/>
  <c r="R32" i="8" s="1"/>
  <c r="J18" i="8"/>
  <c r="P18" i="8" s="1"/>
  <c r="Q18" i="8" s="1"/>
  <c r="R18" i="8" s="1"/>
  <c r="S18" i="8" s="1"/>
  <c r="J21" i="8"/>
  <c r="P21" i="8" s="1"/>
  <c r="Q21" i="8" s="1"/>
  <c r="R33" i="8" l="1"/>
  <c r="R63" i="8"/>
  <c r="R345" i="8" s="1"/>
  <c r="R348" i="8" s="1"/>
  <c r="Q33" i="8"/>
  <c r="Q63" i="8"/>
  <c r="Q345" i="8" s="1"/>
  <c r="Q348" i="8" s="1"/>
  <c r="S29" i="8"/>
  <c r="S32" i="8" s="1"/>
  <c r="R21" i="8"/>
  <c r="Q65" i="8" l="1"/>
  <c r="R65" i="8"/>
  <c r="S33" i="8"/>
  <c r="S63" i="8"/>
  <c r="S345" i="8" s="1"/>
  <c r="S348" i="8" s="1"/>
  <c r="S21" i="8"/>
  <c r="S6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VM_Sandra_Kasparenko</author>
  </authors>
  <commentList>
    <comment ref="I75" authorId="0" shapeId="0" xr:uid="{ECC73F2A-5087-4DF9-9CF5-3C7956F7D5E6}">
      <text>
        <r>
          <rPr>
            <sz val="9"/>
            <color indexed="81"/>
            <rFont val="Tahoma"/>
            <family val="2"/>
            <charset val="186"/>
          </rPr>
          <t xml:space="preserve">VADC medicīnas māsām ir 5  % piemaksa par asins komponentu apstarošanu (piemaksa ir uz gadu) - </t>
        </r>
        <r>
          <rPr>
            <u/>
            <sz val="9"/>
            <color indexed="81"/>
            <rFont val="Tahoma"/>
            <family val="2"/>
            <charset val="186"/>
          </rPr>
          <t>piemaksa par papildus pienākumu pildīšanu</t>
        </r>
      </text>
    </comment>
  </commentList>
</comments>
</file>

<file path=xl/sharedStrings.xml><?xml version="1.0" encoding="utf-8"?>
<sst xmlns="http://schemas.openxmlformats.org/spreadsheetml/2006/main" count="2703" uniqueCount="642">
  <si>
    <t>Amata nosaukums</t>
  </si>
  <si>
    <t>Slodzes (normālā darba laika ietvaros)</t>
  </si>
  <si>
    <t>Ārsts</t>
  </si>
  <si>
    <t>Faktiskā mēneš-algas likme par  1 slodzi</t>
  </si>
  <si>
    <t>Kopā</t>
  </si>
  <si>
    <t>Līmenis</t>
  </si>
  <si>
    <t xml:space="preserve">Ar VK saskaņotā amata saime </t>
  </si>
  <si>
    <t>Amatam atbilstošā mēneš-algu grupa</t>
  </si>
  <si>
    <t>Informācija par ārstniecības personām</t>
  </si>
  <si>
    <t>Darbiniekam piešķirtā kategorija</t>
  </si>
  <si>
    <t>Ārstniecības un pacientu aprūpes personas</t>
  </si>
  <si>
    <t>Ārstniecības un pacientu aprūpes atbalsta personas</t>
  </si>
  <si>
    <t>Ārsta palīgs (feldšeris)</t>
  </si>
  <si>
    <t>5.1.</t>
  </si>
  <si>
    <t>III</t>
  </si>
  <si>
    <t>IA</t>
  </si>
  <si>
    <t>06.01.00"Valsts policija"</t>
  </si>
  <si>
    <t xml:space="preserve">  Ārsti un funkcionālie speciālisti</t>
  </si>
  <si>
    <t xml:space="preserve">
Piemaksa</t>
  </si>
  <si>
    <t>Ārsts*</t>
  </si>
  <si>
    <t>Ārsti un funkcionālie speciālisti</t>
  </si>
  <si>
    <t>5.1</t>
  </si>
  <si>
    <t>5.2</t>
  </si>
  <si>
    <t>speciālists (feldšeris)</t>
  </si>
  <si>
    <t>Virsmāsa</t>
  </si>
  <si>
    <t>Medicīnas māsa</t>
  </si>
  <si>
    <t>Radiologa asistents</t>
  </si>
  <si>
    <t>Biomedicinas laborants</t>
  </si>
  <si>
    <t>Laboratorijas speciālists</t>
  </si>
  <si>
    <t>Psihologs</t>
  </si>
  <si>
    <t>Pacientu reģistratots</t>
  </si>
  <si>
    <t>Sanitāre</t>
  </si>
  <si>
    <t>Ārsta palīgs</t>
  </si>
  <si>
    <t>IIA</t>
  </si>
  <si>
    <t>Daļas vadītājs</t>
  </si>
  <si>
    <t>IVA</t>
  </si>
  <si>
    <t>Nodaļas vadītājs</t>
  </si>
  <si>
    <t>IC</t>
  </si>
  <si>
    <t>Virsārsts</t>
  </si>
  <si>
    <t>IVB</t>
  </si>
  <si>
    <t>Farmaceits</t>
  </si>
  <si>
    <t>5.3.</t>
  </si>
  <si>
    <t>IIIA</t>
  </si>
  <si>
    <t>Māsa</t>
  </si>
  <si>
    <t>5.2.</t>
  </si>
  <si>
    <t>II</t>
  </si>
  <si>
    <t>Māsas palīgs</t>
  </si>
  <si>
    <t>IB</t>
  </si>
  <si>
    <t>Vecākā māsa</t>
  </si>
  <si>
    <t>IV</t>
  </si>
  <si>
    <t>04.05.00 "Valsts sociālās apdrošināšanas aģentūras speciālais budžets"</t>
  </si>
  <si>
    <t>Sociālo pakalpojumu centrs "Pīlādzis" (31.01.2017. līgums Nr.LM2017/24-1-06/12 par ilgstošas sociālās aprūpes un sociālās rehabilitācijas pakalpojumu sniegšanu pilngadīgām personām ar smagiem garīga rakstura traucējumiem (personām ar I un II grupas invaliditāti))</t>
  </si>
  <si>
    <t xml:space="preserve">Psihiatrs </t>
  </si>
  <si>
    <t>Medicīnas māsa (sertificēta)</t>
  </si>
  <si>
    <t>Kopā iestāde</t>
  </si>
  <si>
    <t>VSIA Strenču psihoneiroloģiskā slimnīca (19.01.2017. līgums Nr.2017/24-1-04/11  par ilgstošas sociālās aprūpes un sociālās rehabilitācijas pakalpojumu sniegšanu pilngadīgām personām ar smagiem garīga rakstura traucējumiem (personām ar I un II grupas invaliditāti))</t>
  </si>
  <si>
    <t>Psihiatrs</t>
  </si>
  <si>
    <t>Garīgās veselības aprūpes māsa</t>
  </si>
  <si>
    <t>VSIA "Rīgas psihiatrijas un narkoloģijas centrs" (19.01.2017. līgums Nr.2017/24-1-04/12  par ilgstošas sociālās aprūpes un sociālās rehabilitācijas pakalpojumu sniegšanu pilngadīgām personām ar smagiem garīga rakstura traucējumiem (personām ar I un II grupas invaliditāti))</t>
  </si>
  <si>
    <t>Vecākā medicīnas māsa</t>
  </si>
  <si>
    <t>PSIA "Veselības un sociālās aprūpes centrs - Sloka" (31.01.2017. līgums Nr.2017/24-1-06/11  par ilgstošas sociālās aprūpes un sociālās rehabilitācijas pakalpojumu sniegšanu pilngadīgām personām ar smagiem garīga rakstura traucējumiem (personām ar I un II grupas invaliditāti))</t>
  </si>
  <si>
    <t>Ārsts - internists</t>
  </si>
  <si>
    <t>Ergoterapeits</t>
  </si>
  <si>
    <t>IIB</t>
  </si>
  <si>
    <t>Zobārsts</t>
  </si>
  <si>
    <t>Fizioterapeits</t>
  </si>
  <si>
    <t>Galvenā medicīnas māsa</t>
  </si>
  <si>
    <t>V</t>
  </si>
  <si>
    <t>Medicīnas māsa (nesertificēta)</t>
  </si>
  <si>
    <t>SIA "Atsaucība" (31.01.2017. līgums Nr.2017/24-1-06/13  par ilgstošas sociālās aprūpes un sociālās rehabilitācijas pakalpojumu sniegšanu pilngadīgām personām ar smagiem garīga rakstura traucējumiem (personām ar I un II grupas invaliditāti))</t>
  </si>
  <si>
    <t>SIA "Veselības centrs "Ilūkste"" (31.01.2017. līgums Nr.2017/24-1-06/17  par ilgstošas sociālās aprūpes un sociālās rehabilitācijas pakalpojumu sniegšanu pilngadīgām personām ar smagiem garīga rakstura traucējumiem (personām ar I un II grupas invaliditāti))</t>
  </si>
  <si>
    <t>Diētas māsa</t>
  </si>
  <si>
    <t xml:space="preserve"> Biedrības "Latvijas Sarkanais Krusts" sociālās aprūpes centrs "Stūrīši" (31.01.2017. līgums Nr.2017/24-1-06/16  par ilgstošas sociālās aprūpes un sociālās rehabilitācijas pakalpojumu sniegšanu pilngadīgām personām ar smagiem garīga rakstura traucējumiem (personām ar I un II grupas invaliditāti))</t>
  </si>
  <si>
    <t>Garīgas veselības aprūpes māsa</t>
  </si>
  <si>
    <t>Galvenā medicīnas māsa (ar GVAM sertifikātu)</t>
  </si>
  <si>
    <t>3</t>
  </si>
  <si>
    <t>6</t>
  </si>
  <si>
    <t>1</t>
  </si>
  <si>
    <t>8</t>
  </si>
  <si>
    <t>2</t>
  </si>
  <si>
    <t xml:space="preserve"> VSIA "Slimnīca "Ģintermuiža"" (31.01.2017. līgums Nr.2017/24-1-06/10 un 12.01.2017. līgums Nr.2017/24-1-04/04  par ilgstošas sociālās aprūpes un sociālās rehabilitācijas pakalpojumu sniegšanu pilngadīgām personām ar smagiem garīga rakstura traucējumiem (personām ar I un II grupas invaliditāti))</t>
  </si>
  <si>
    <t xml:space="preserve"> Rūjienas novada pašvaldības Sociālās aprūpes centrs "Lode" (31.01.2017. līgums Nr.2017/24-1-06/14  par ilgstošas sociālās aprūpes un sociālās rehabilitācijas pakalpojumu sniegšanu pilngadīgām personām ar smagiem garīga rakstura traucējumiem (personām ar I un II grupas invaliditāti))</t>
  </si>
  <si>
    <t>Mākslas terapeits</t>
  </si>
  <si>
    <t>Narkologs</t>
  </si>
  <si>
    <t>Nodibinājums "Latvijas Bērnu fonds" (06.01.2017. līgums Nr.2017/24-1-04/01  par sociālās rehabilitācijas pakalpojumu sniegšanu bērniem, kuri cietuši no vardarbības)</t>
  </si>
  <si>
    <t>Mākslas terapeits (Deju un kustību terapeits, Mūzikas terapeits)</t>
  </si>
  <si>
    <t>Latvijas Nedzirdīgo savienība (10.01.2017. līgums Nr.2017/24-1-04/03  par personu ar dzirdes invaliditāti nodrošināšanu ar tehniskajiem palīglīdzekļiem - surdotehniku)</t>
  </si>
  <si>
    <t>Ārsts otolaringologs</t>
  </si>
  <si>
    <t xml:space="preserve"> VSIA "Nacionālais rehabilitācijas centrs "Vaivari" (18.01.2017. līgums Nr.2017/24-1-04/09  par personu nodrošināšanu ar tehniskajiem palīglīdzekļiem)</t>
  </si>
  <si>
    <t>Vecākais ārsts - konsultants rehabilitācijas un tehnisko palīglīdzekļu pakalpojumu (palīgtehnoloģiju) jautājumos</t>
  </si>
  <si>
    <t>Ārsts konsultants</t>
  </si>
  <si>
    <t>Ārsts konsultants (stažieris)</t>
  </si>
  <si>
    <t>Galvenais ergoterapeits</t>
  </si>
  <si>
    <t>Vecākais ergoterapeits</t>
  </si>
  <si>
    <t>Ergoterapeits (sertificēts)</t>
  </si>
  <si>
    <t>Ergoterapeits (nesertificēts)</t>
  </si>
  <si>
    <t>Vecākais fizioterapeits</t>
  </si>
  <si>
    <t>Fizioterapeits (sertificēts)</t>
  </si>
  <si>
    <t>Fizioterapeits (nesertificēts)</t>
  </si>
  <si>
    <t>Audiologopēds</t>
  </si>
  <si>
    <t>Vecākais tehniskais ortopēds</t>
  </si>
  <si>
    <t>Tehniskais ortopēds (sertificēts)</t>
  </si>
  <si>
    <t>VSIA "Paula Stradiņa klīniskā universitātes slimnīca (27.01.2017. līgums Nr.2017/24-1-04/15  par Černobiļas atomelektrostacijas avāriju seku likvidēšanas dalībnieku un Černobiļas atomelektrostacijas avārijas rezultātā cietušo personu sociālās aizsardzības likuma 6. panta 1.puntā deleģēto valsts pārvaldes uzdevumu veikšanu saistībā ar Černobiļas atomelektrostacijas avāriju seku likvidēšanas dalībnieku un Černobiļas atomelektrostacijas avārijas rezultātā cietušo personu (turpmāk kopā – personas) uzskaiti, šim nolūkam izveidojot un uzturot minēto personu uzskaites vienotu datu bāzi un veicot personu statusu apliecinošo apliecību izsniegšanu)</t>
  </si>
  <si>
    <t>Arodveselības un arodslimību ārsts</t>
  </si>
  <si>
    <t>Ambulatorās aprūpes māsa</t>
  </si>
  <si>
    <t>05.01.00 Kopā</t>
  </si>
  <si>
    <t xml:space="preserve">05.03.00 "Aprūpe valsts sociālās aprūpes institūcijās" </t>
  </si>
  <si>
    <t>VSAC "Vidzeme"</t>
  </si>
  <si>
    <t>Ginekologs</t>
  </si>
  <si>
    <t>II B</t>
  </si>
  <si>
    <t xml:space="preserve">5.2. </t>
  </si>
  <si>
    <t>Internās aprūpes māsa</t>
  </si>
  <si>
    <t>I B</t>
  </si>
  <si>
    <t>Vecākais eksperts - veselības aprūpes jautājumos</t>
  </si>
  <si>
    <t>23</t>
  </si>
  <si>
    <t xml:space="preserve"> IIIB</t>
  </si>
  <si>
    <t>Veselības aprūpes sektora vadītājs</t>
  </si>
  <si>
    <t>Dezinfektors</t>
  </si>
  <si>
    <t>VSAC "Latgale"</t>
  </si>
  <si>
    <t xml:space="preserve">Fizioterapeits </t>
  </si>
  <si>
    <t>9</t>
  </si>
  <si>
    <t xml:space="preserve">III </t>
  </si>
  <si>
    <t xml:space="preserve">5.1 </t>
  </si>
  <si>
    <t>Pediatrs</t>
  </si>
  <si>
    <t>10</t>
  </si>
  <si>
    <t>7</t>
  </si>
  <si>
    <t xml:space="preserve">Medicīnas māsa </t>
  </si>
  <si>
    <t>Fizikālās terapijas māsa</t>
  </si>
  <si>
    <t>Vecākā medicīnas māsa (līdz 149 klientiem)</t>
  </si>
  <si>
    <t>Vecākā medicīnas māsa (no 150-300 klientiem)</t>
  </si>
  <si>
    <t>Masieris</t>
  </si>
  <si>
    <t>VSAC "Kurzeme"</t>
  </si>
  <si>
    <t>Bērnu aprūpes māsa</t>
  </si>
  <si>
    <t>Psihiatrijas māsa</t>
  </si>
  <si>
    <t>VSAC "Rīga"</t>
  </si>
  <si>
    <t>Psihiatri</t>
  </si>
  <si>
    <t>Internisti</t>
  </si>
  <si>
    <t>Oftalmologs</t>
  </si>
  <si>
    <t>Pediatri</t>
  </si>
  <si>
    <t>Fizioterapeiti</t>
  </si>
  <si>
    <t>Uztura speciālisti</t>
  </si>
  <si>
    <t>Ergoterapeiti</t>
  </si>
  <si>
    <t>Mākslas terapeits (mūzikas terapeits)</t>
  </si>
  <si>
    <t>Mākslas terapeits (deju un kustības terapeits)</t>
  </si>
  <si>
    <t>Medicīnas māsas</t>
  </si>
  <si>
    <t>Medicīnas māsas  (nesertificētas)</t>
  </si>
  <si>
    <t>Vecākās medicīnas māsas</t>
  </si>
  <si>
    <t>Fizikālās terapijas māsas</t>
  </si>
  <si>
    <t>Diētas māsas</t>
  </si>
  <si>
    <t>Masieri</t>
  </si>
  <si>
    <t>Veselības aprūpes sektora vadītājs līdz 50 darbiniekiem</t>
  </si>
  <si>
    <t>Ergoterapeita asistenti</t>
  </si>
  <si>
    <t>Fizioterapeita asistenti</t>
  </si>
  <si>
    <t>Podologs</t>
  </si>
  <si>
    <t>VSAC "Zemgale"</t>
  </si>
  <si>
    <t>Veselības aprūpes sektora vadītājs - vecākā medicīnas māsa</t>
  </si>
  <si>
    <t>39</t>
  </si>
  <si>
    <t>05.03.00 Kopā</t>
  </si>
  <si>
    <t>05.37.00 "Sociālās integrācijas valsts aģentūras administrēšana un profesionālās un sociālās rehabilitācijas pakalpojumu nodrošināšana"</t>
  </si>
  <si>
    <t>Vecākais ārsts</t>
  </si>
  <si>
    <t>Ārsts (nesertificēts)</t>
  </si>
  <si>
    <t>Ārsts -psihiatrs</t>
  </si>
  <si>
    <t xml:space="preserve">Dežūrārsts </t>
  </si>
  <si>
    <t xml:space="preserve">Nodaļas vadītāja vietnieks </t>
  </si>
  <si>
    <t>IIIB</t>
  </si>
  <si>
    <t>Medicīnas māsa (dežūrmāsa)</t>
  </si>
  <si>
    <t>Trenažieru zāles instruktors</t>
  </si>
  <si>
    <t>Masieris (nesertificēts)</t>
  </si>
  <si>
    <t>Aprūpētājs</t>
  </si>
  <si>
    <t>Sociālais aprūpētājs</t>
  </si>
  <si>
    <t>Sanitārs</t>
  </si>
  <si>
    <t xml:space="preserve">Sociālais rehabilitētājs </t>
  </si>
  <si>
    <t>05.37.00 Kopā</t>
  </si>
  <si>
    <t>05.62.00 "Invaliditātes ekspertīžu nodrošināšana"( Veselības un darbspēju ekspertīzes ārstu valsts komisija)</t>
  </si>
  <si>
    <t>Vadītāja vietnieks</t>
  </si>
  <si>
    <t>Vecākais ārsts eksperts - nodaļas vadītājs</t>
  </si>
  <si>
    <t xml:space="preserve">Vecākais ārsts eksperts </t>
  </si>
  <si>
    <t>Ārsts eksperts</t>
  </si>
  <si>
    <t xml:space="preserve"> 05.62.00 Kopā</t>
  </si>
  <si>
    <t>14. Iekšlietu ministrija</t>
  </si>
  <si>
    <t>19.Tieslietu ministrija</t>
  </si>
  <si>
    <t>18. Labklājības ministrija</t>
  </si>
  <si>
    <t>Ārstniecības personu darba samaksas pieauguma 2018.gadā aprēķins 14.Iekšlietu ministrijai, 15.Izglītības un zinātnes ministrijai, 18.Labklājības ministrijai, 19.Tieslietu ministrijai un 62.Mērķdotācijas pašvaldībām</t>
  </si>
  <si>
    <t>pieaugums regulārai piemaksai</t>
  </si>
  <si>
    <t>regulārā piemaksa 
ar pieau-gumu</t>
  </si>
  <si>
    <t>kopā pieaugums uz vienu slodzi (ievērojot MK not.)</t>
  </si>
  <si>
    <t>kopā pieaugums uz visām slodzēm mēnesī</t>
  </si>
  <si>
    <t>papildus līdzekļi atalgojumam  
(1100 kods) gadā</t>
  </si>
  <si>
    <t>darba devēja VSAOI 
24,09%
(1200 kods)
gadā</t>
  </si>
  <si>
    <t>papildus līdzekļi atlīdzībai (1000 kods) 
gadā</t>
  </si>
  <si>
    <t>2019.gada jaunā amatalga ar  pieaugumu (ievērojot MK not. Nr.66 max)</t>
  </si>
  <si>
    <t>38.05.00 Kopā</t>
  </si>
  <si>
    <t>06.01.00 Kopā</t>
  </si>
  <si>
    <t>10.00.00 Kopā</t>
  </si>
  <si>
    <t>KOPĀ  IeM</t>
  </si>
  <si>
    <t>KOPĀ  TM</t>
  </si>
  <si>
    <t>10.00.00 "Valsts robežsardzes darbība"</t>
  </si>
  <si>
    <t>38.05.00 "Veselības aprūpe un fiziskā sagatavošana"</t>
  </si>
  <si>
    <t xml:space="preserve"> 04.01.00 "Ieslodzījuma vietas"</t>
  </si>
  <si>
    <t>Kopā VSAC "Vidzeme"</t>
  </si>
  <si>
    <t>Kopā VSAC "Latgale"</t>
  </si>
  <si>
    <t>Kopā VSAC "Kurzeme"</t>
  </si>
  <si>
    <t>Kopā VSAC "Rīga"</t>
  </si>
  <si>
    <t>Kopā VSAC "Zemgale"</t>
  </si>
  <si>
    <t>KOPĀ  LM</t>
  </si>
  <si>
    <t>I A</t>
  </si>
  <si>
    <t>Fizioterapeita asistents</t>
  </si>
  <si>
    <t>I C</t>
  </si>
  <si>
    <t>09.10.00. "Murjāņu sporta ģimnāzija"</t>
  </si>
  <si>
    <t xml:space="preserve">Ārsts </t>
  </si>
  <si>
    <t xml:space="preserve"> 01.03.00 Kopā</t>
  </si>
  <si>
    <t xml:space="preserve"> 02.01.00 Kopā</t>
  </si>
  <si>
    <t>01.03.00 "Sociālās korekcijas izglītības iestāde" ("Naukšēni")</t>
  </si>
  <si>
    <t>02.01.00 "Profesionālās izglītības programmu īstenošana"</t>
  </si>
  <si>
    <t>62. Mērķdotācijas pašvaldībām (papildus aprēķins - pielikuma turpinājumā)</t>
  </si>
  <si>
    <t>KOPĀ  62.resors</t>
  </si>
  <si>
    <t>KOPĀ  IzM</t>
  </si>
  <si>
    <t xml:space="preserve">Pašvaldību speciālajās internātskolās un Izglītības iestāžu reģistrā reģistrētajos attīstības un rehabilitācijas centros
nodarbināto ārstniecības personu faktiskā darba samaksa par slodzi 2018.gadā </t>
  </si>
  <si>
    <t>Ārstniecības personas amata kvalifikācijas kategorija</t>
  </si>
  <si>
    <t>Slodzes (strādājošo skaits normālā darba laika ietvaros)</t>
  </si>
  <si>
    <r>
      <t xml:space="preserve">Faktiskā mēnešalgas likme par           </t>
    </r>
    <r>
      <rPr>
        <u/>
        <sz val="9"/>
        <color indexed="8"/>
        <rFont val="Times New Roman"/>
        <family val="1"/>
      </rPr>
      <t>1 (vienu)</t>
    </r>
    <r>
      <rPr>
        <sz val="9"/>
        <color indexed="8"/>
        <rFont val="Times New Roman"/>
        <family val="1"/>
      </rPr>
      <t xml:space="preserve"> 
slodzi </t>
    </r>
  </si>
  <si>
    <t>Palielinājums par darba stāžu</t>
  </si>
  <si>
    <t>Piemaksas</t>
  </si>
  <si>
    <r>
      <t>Faktiskā darba samaksa</t>
    </r>
    <r>
      <rPr>
        <sz val="9"/>
        <color indexed="8"/>
        <rFont val="Times New Roman"/>
        <family val="1"/>
      </rPr>
      <t xml:space="preserve"> (atalgojums par slodzi) mēnesī</t>
    </r>
  </si>
  <si>
    <t>62.resors "Mērķdotācijas pašvaldībām"</t>
  </si>
  <si>
    <t>01.00.00. "Mērķdotācijas izglītības pasākumiem"</t>
  </si>
  <si>
    <t>Medicīnas māsa *</t>
  </si>
  <si>
    <t>Medicīnas māsa **</t>
  </si>
  <si>
    <t>Acu ārsts</t>
  </si>
  <si>
    <t>Pirmskolas iestāžu un skolu māsa</t>
  </si>
  <si>
    <t>Alergologs</t>
  </si>
  <si>
    <t>Struktūrvienības vadītājs
veselības jomā</t>
  </si>
  <si>
    <t>Otolaringologs</t>
  </si>
  <si>
    <t>Dietologs</t>
  </si>
  <si>
    <t>Optometrists</t>
  </si>
  <si>
    <t>Logopēds</t>
  </si>
  <si>
    <t>Aprūpes māsa</t>
  </si>
  <si>
    <t>*   Dundagas novads - Mazirbes internātpamatskola (speciālā internātskola) ar 31.08.2018. tiek likvidēta</t>
  </si>
  <si>
    <t>** Baltinavas novads - Baltinavas kristīgā internātpamatskola (speciālā internātskola) ar 31.08.2018. tiek likvidēta</t>
  </si>
  <si>
    <t>Papildus līdzekļi darba samaksas pieaugumam visām slodzēm gadā, EUR</t>
  </si>
  <si>
    <t>Kopā ar 
sociālo nodokli 24,09%, 
EUR</t>
  </si>
  <si>
    <t>2019.gads</t>
  </si>
  <si>
    <t>15. Izglītības un zinātnes ministrija</t>
  </si>
  <si>
    <t>KOPĀ  -  CITAS MINISTRIJAS</t>
  </si>
  <si>
    <r>
      <t xml:space="preserve">jaunā amatalga  
ar pieaugumu - </t>
    </r>
    <r>
      <rPr>
        <b/>
        <sz val="9"/>
        <rFont val="Times New Roman"/>
        <family val="1"/>
        <charset val="186"/>
      </rPr>
      <t>plus 20%</t>
    </r>
  </si>
  <si>
    <t xml:space="preserve">Labklājības ministrijas līgumorganizācijas, kuras sociālos pakalpojumus sniedz uz līguma par Valsts pārvaldes deleģēto funkciju izpildi vai publiskā iepirkuma līguma pamata, nodarbināto ārstniecības personu slodzes un faktiskā darba samaksa 2018.gadā. </t>
  </si>
  <si>
    <r>
      <t xml:space="preserve">Darba samaksas pieaugums mēnesī </t>
    </r>
    <r>
      <rPr>
        <b/>
        <sz val="9"/>
        <color theme="1"/>
        <rFont val="Times New Roman"/>
        <family val="1"/>
        <charset val="186"/>
      </rPr>
      <t>-  20%</t>
    </r>
    <r>
      <rPr>
        <sz val="9"/>
        <color theme="1"/>
        <rFont val="Times New Roman"/>
        <family val="1"/>
      </rPr>
      <t xml:space="preserve">
</t>
    </r>
  </si>
  <si>
    <r>
      <t xml:space="preserve">Darba samaksas pieaugums mēnesī -  </t>
    </r>
    <r>
      <rPr>
        <b/>
        <sz val="9"/>
        <color theme="1"/>
        <rFont val="Times New Roman"/>
        <family val="1"/>
        <charset val="186"/>
      </rPr>
      <t>20%</t>
    </r>
    <r>
      <rPr>
        <sz val="9"/>
        <color theme="1"/>
        <rFont val="Times New Roman"/>
        <family val="1"/>
      </rPr>
      <t xml:space="preserve">
</t>
    </r>
  </si>
  <si>
    <t>Ārsts - eksperts</t>
  </si>
  <si>
    <t xml:space="preserve"> 04.05.00 Kopā</t>
  </si>
  <si>
    <t>VSIA "Daugavpils psihoneiroloģiskā slimnīcas" (31.01.2017. līgums Nr.2017/24-1-06/15  par ilgstošas sociālās aprūpes un sociālās rehabilitācijas pakalpojumu sniegšanu pilngadīgām personām ar smagiem garīga rakstura traucējumiem (personām ar I un II grupas invaliditāti))</t>
  </si>
  <si>
    <t>VSIA "Daugavpils psihoneiroloģiskā slimnīcas" (12.01.2017. līgums Nr.2017/24-1-04/05  par ilgstošas sociālās aprūpes un sociālās rehabilitācijas pakalpojumu sniegšanu pilngadīgām personām ar smagiem garīga rakstura traucējumiem (personām ar I un II grupas invaliditāti))</t>
  </si>
  <si>
    <t>VSIA "Slimnīca "Ģintermuiža"" (21.12.2017. līgums Nr.2017/24-1-06/20  par sociālās rehabilitācijas pakalpojumu sniegšanu no psihoaktīvām vielām atkarīgām pilngadīgām personām)</t>
  </si>
  <si>
    <t>18. Labklājības ministrija  05.01.00 "Sociālās rehabilitācijas valsts programmas"</t>
  </si>
  <si>
    <t>Ārstniecības personas Labklājības ministrijas līgumorganizācijās, kuras sociālos pakalpojumus sniedz uz līguma par Valsts pārvaldes deleģēto funkciju izpildi vai publiskā iepirkuma līguma pamata 05.01.00 "Sociālās rehabilitācijas valsts programmas"</t>
  </si>
  <si>
    <t xml:space="preserve">* Valsts policijas koledžā ar 2018.gada 1.jūliju ārsta amats tiks likvidēts. </t>
  </si>
  <si>
    <t xml:space="preserve"> 09.10.00 Kopā</t>
  </si>
  <si>
    <t>A</t>
  </si>
  <si>
    <t>B</t>
  </si>
  <si>
    <t>D</t>
  </si>
  <si>
    <t>E</t>
  </si>
  <si>
    <t>F</t>
  </si>
  <si>
    <t>G</t>
  </si>
  <si>
    <t>2020.gads</t>
  </si>
  <si>
    <t>2021.gads</t>
  </si>
  <si>
    <t>Turpmāk katru gadu (ja pasākums nav terminēts)</t>
  </si>
  <si>
    <t xml:space="preserve">Izdevumi kopā, euro </t>
  </si>
  <si>
    <t>Veselības ministrijai:</t>
  </si>
  <si>
    <t>t.sk. 33.00.00 Veselības aprūpes nodrošināšana</t>
  </si>
  <si>
    <t>t.sk. 39.03.00 Asins un asins komponentu nodrošināšana</t>
  </si>
  <si>
    <t>t.sk. 39.04.00 Neatliekamā medicīniskā palīdzība</t>
  </si>
  <si>
    <t>t.sk. 39.06.00 Tiesu medicīniskā ekspertīze</t>
  </si>
  <si>
    <t>t.sk. 02.04.00 Rezidentu apmācība</t>
  </si>
  <si>
    <t>t.sk. 46.01.00 Uzraudzība un kontrole</t>
  </si>
  <si>
    <t>t.sk. 46.03.00 Slimību profilakses nodrošināšana</t>
  </si>
  <si>
    <t>Labklājības ministrijai</t>
  </si>
  <si>
    <t>Tieslietu ministrijai</t>
  </si>
  <si>
    <t>Iekšlietu ministrijai</t>
  </si>
  <si>
    <t>10.</t>
  </si>
  <si>
    <t>Aprēķins atlīdzības palielinājumam 2019.gadā</t>
  </si>
  <si>
    <t>Paskaidrojumi</t>
  </si>
  <si>
    <t>Papildus nepieciešamais valsts budžeta finansējums, t.sk.:</t>
  </si>
  <si>
    <t>Veselības ministrijas padotības iestādēs strādājošo atlīdzības palielinājuma aprēķins</t>
  </si>
  <si>
    <t>EUR</t>
  </si>
  <si>
    <t>Aktualizēta informācija par ārstniecības personām (2018.gada jūnijs)</t>
  </si>
  <si>
    <t>Aprēķins atalgojuma palielinājumam 2019.gadā pret 2018.gadu</t>
  </si>
  <si>
    <t>amata nosaukums</t>
  </si>
  <si>
    <t>saime, apakš-saime</t>
  </si>
  <si>
    <t>līmenis</t>
  </si>
  <si>
    <t>mēneš-algu grupa</t>
  </si>
  <si>
    <t>kvalifi-kācijas katego-rija 
(1 - 3)</t>
  </si>
  <si>
    <t>amatalga (par pilnu slodzi)</t>
  </si>
  <si>
    <t xml:space="preserve">regulārā piemaksa </t>
  </si>
  <si>
    <t>amata vietas (slodzes)</t>
  </si>
  <si>
    <t>Valsts tiesu medicīnas ekspertīzes centrs</t>
  </si>
  <si>
    <t xml:space="preserve">Direktora vietnieks, Ekspertīzes un izpētes departamenta vadītājs </t>
  </si>
  <si>
    <t>Ekspertīzes un izpētes departamenta vadītāja vietnieks</t>
  </si>
  <si>
    <t>Reģionālās nodaļas vadītājs, vecākais tiesu medicīnas eksperts</t>
  </si>
  <si>
    <t>Nodaļas vadītājs, vecākais tiesu medicīnas eksperts</t>
  </si>
  <si>
    <t>Laboratorijas vadītājs, vecākais tiesu medicīnas eksperts</t>
  </si>
  <si>
    <t>Laboratorijas vadītājs, vecākais speciālists - tiesu medicīnas eksperts</t>
  </si>
  <si>
    <t xml:space="preserve">Nodaļas vadītāja vietnieks, vecākais tiesu medicīnas eksperts </t>
  </si>
  <si>
    <t xml:space="preserve">Vecākais tiesu medicīnas eksperts </t>
  </si>
  <si>
    <t>Vecākais speciālists - tiesu medicīnas eksperts</t>
  </si>
  <si>
    <t>Ārsts patologs</t>
  </si>
  <si>
    <t>Tiesu medicīnas eksperts</t>
  </si>
  <si>
    <t>Speciālists - tiesu medicīnas eksperts</t>
  </si>
  <si>
    <t>Ārsts stažieris</t>
  </si>
  <si>
    <t>Galvenā  māsa</t>
  </si>
  <si>
    <t>Biomedicīnas laborants</t>
  </si>
  <si>
    <t>IE</t>
  </si>
  <si>
    <t>Eksperta palīgs</t>
  </si>
  <si>
    <t xml:space="preserve">Sanitārs </t>
  </si>
  <si>
    <t>I</t>
  </si>
  <si>
    <t>Reģistrators</t>
  </si>
  <si>
    <t>KOPĀ  IESTĀDE</t>
  </si>
  <si>
    <t>Valsts asinsdonoru centrs</t>
  </si>
  <si>
    <t>Transfuzioloģiskā departamenta direktors</t>
  </si>
  <si>
    <t>35</t>
  </si>
  <si>
    <t>Laboratoriju departamenta direktors</t>
  </si>
  <si>
    <t>Nodaļas vadītājs (virsārsts)</t>
  </si>
  <si>
    <t>12</t>
  </si>
  <si>
    <t>Laboratorijas vadītājs</t>
  </si>
  <si>
    <t>Nodaļas vadītājs (virsārsts) - krājuma nodaļa</t>
  </si>
  <si>
    <t>11</t>
  </si>
  <si>
    <t>Donoru nodaļas vadītājs</t>
  </si>
  <si>
    <t>Eksperts Asins dienestā</t>
  </si>
  <si>
    <t>Vecākais biomedicīnas laborants</t>
  </si>
  <si>
    <t xml:space="preserve">Biomedicīnas laborants </t>
  </si>
  <si>
    <t>Medicīnas laborants</t>
  </si>
  <si>
    <t xml:space="preserve">Izbraukumu projektu vadītājs (izbraukumu organizators) </t>
  </si>
  <si>
    <t>32</t>
  </si>
  <si>
    <t>vecākais ārsta palīgs (feldšeris)</t>
  </si>
  <si>
    <t>Ārsta palīgs (feldšeris) - nesertificēts</t>
  </si>
  <si>
    <t>Medicīniskās noliktavas pārzinis</t>
  </si>
  <si>
    <t xml:space="preserve">Autobusa vadītājs - izbraukumos </t>
  </si>
  <si>
    <t>41</t>
  </si>
  <si>
    <t>māsa (medicīnas māsa) - nesertificēta</t>
  </si>
  <si>
    <t>Klientu apkalpošanas speciālists</t>
  </si>
  <si>
    <t>5</t>
  </si>
  <si>
    <t>klientu un pacientu reģistrators</t>
  </si>
  <si>
    <t>centrbēdzes separatora operators</t>
  </si>
  <si>
    <t>13</t>
  </si>
  <si>
    <t>sanitārs</t>
  </si>
  <si>
    <t>Valsts asinsdonoru centrs - slimnīcu Asins sagatavošanas nodaļās strādājošie</t>
  </si>
  <si>
    <t>māsas palīgs</t>
  </si>
  <si>
    <t>Kopā iestādei</t>
  </si>
  <si>
    <t>Neatliekamās medicīniskās palīdzības dienests</t>
  </si>
  <si>
    <t>OVC vadītājs</t>
  </si>
  <si>
    <t>5.4</t>
  </si>
  <si>
    <t>VID</t>
  </si>
  <si>
    <t>15</t>
  </si>
  <si>
    <t>MKMC vadītājs</t>
  </si>
  <si>
    <t>VIB</t>
  </si>
  <si>
    <t>14</t>
  </si>
  <si>
    <t>OVC vadītāja vietnieks</t>
  </si>
  <si>
    <t>VIA</t>
  </si>
  <si>
    <t>Liela BAC vadītājs (Rīga)</t>
  </si>
  <si>
    <t>VA</t>
  </si>
  <si>
    <t>Ļoti liela BAC vadītājs (Rīga)</t>
  </si>
  <si>
    <t>VB</t>
  </si>
  <si>
    <t>Operatīvais dežurants (vadības ārsts)</t>
  </si>
  <si>
    <t>Vadības ārsts (Operatīvais dežurants)</t>
  </si>
  <si>
    <t>SMC vadītājs</t>
  </si>
  <si>
    <t>SMC vadītāja vietnieks</t>
  </si>
  <si>
    <t>Pacientu drošības sistēmas vadītājs</t>
  </si>
  <si>
    <t xml:space="preserve">Ārsts - eksperts </t>
  </si>
  <si>
    <t>Kardiologs - koordinators</t>
  </si>
  <si>
    <t>Ārsts (sertificēts)  - praktisko treniņu vadītājs</t>
  </si>
  <si>
    <t>Galvenais speciālists medicīniskās evakuācijas jautājumos</t>
  </si>
  <si>
    <t xml:space="preserve">Ārsts stažieris </t>
  </si>
  <si>
    <t>Ārsts stažieris, nesertificēts ārsts</t>
  </si>
  <si>
    <t>Ārsts (sertificēts radniecīgā specialitātē)</t>
  </si>
  <si>
    <t>Ārsts stažieris; Ārsts (sertificēts citā specialitātē)</t>
  </si>
  <si>
    <t>Nesertificēts ārsts</t>
  </si>
  <si>
    <t>Ārsts (sertificēts citā specialitātē)</t>
  </si>
  <si>
    <t>NM ārsts</t>
  </si>
  <si>
    <t>Specializētās brigādes ārsts, sertificēts</t>
  </si>
  <si>
    <t>IIIC</t>
  </si>
  <si>
    <t>Specializētās brigādes ārsts - eksperts</t>
  </si>
  <si>
    <t>OVC galvenais dežūrārsts</t>
  </si>
  <si>
    <t xml:space="preserve">OVC ārsts konsultants </t>
  </si>
  <si>
    <t>OVC ārsts konsultants (ģimenes ārsts)</t>
  </si>
  <si>
    <t>OVC vecākais dežūrārsts</t>
  </si>
  <si>
    <t>Anesteziologs - reanimatologs</t>
  </si>
  <si>
    <t>Bērnu IT brigādes anesteziologs-reanimatologs</t>
  </si>
  <si>
    <t>Neonatologs</t>
  </si>
  <si>
    <t>Anesteziologs - reanimatologs*</t>
  </si>
  <si>
    <t>Apdegumu traumatologs*</t>
  </si>
  <si>
    <t>Asinsvadu ķirurgs*</t>
  </si>
  <si>
    <t>Bērnu ķirurgs*</t>
  </si>
  <si>
    <t>Bērnu neiroķirurgs*</t>
  </si>
  <si>
    <t>Bronhologs*</t>
  </si>
  <si>
    <t>Gastroenterologs - endoskopists*</t>
  </si>
  <si>
    <t>Ginekologs un dzemdību speciālists*</t>
  </si>
  <si>
    <t>Infektologs*</t>
  </si>
  <si>
    <t>Kardiologs*</t>
  </si>
  <si>
    <t>Ķirurgs*</t>
  </si>
  <si>
    <t>Neirologs*</t>
  </si>
  <si>
    <t>Neiroķirurgs*</t>
  </si>
  <si>
    <t>Otolaringologs*</t>
  </si>
  <si>
    <t>Sejas, mutes, žokļu ķirurgs*</t>
  </si>
  <si>
    <t>Torakālais ķirurgs*</t>
  </si>
  <si>
    <t>Traumatologs - ortopēds*</t>
  </si>
  <si>
    <t>Vertebrologs*</t>
  </si>
  <si>
    <t>Ārsta palīgs (nesertificēts)</t>
  </si>
  <si>
    <t>Ārsta palīgs (sertificēts)</t>
  </si>
  <si>
    <t xml:space="preserve">Vecākais ārsta palīgs (sertificēts) </t>
  </si>
  <si>
    <t>IIC</t>
  </si>
  <si>
    <t>Atbrīvotais NMP punkta vecākais ārsta palīgs</t>
  </si>
  <si>
    <t xml:space="preserve">Liela BAC galvenais ārsta palīgs (sertificēts)                                          </t>
  </si>
  <si>
    <t xml:space="preserve">Ļoti liela BAC galvenais ārsta palīgs (sertificēts)                                     </t>
  </si>
  <si>
    <t>Liela BAC vecākais ārsta palīgs (Rīga, Kuldīga, Liepāja, Ventspils, Jēkabpils, Rēzekne, Valmiera, Cēsis, Gulbene)</t>
  </si>
  <si>
    <t>Ļoti liela BAC vecākais ārsta palīgs (Rīga, Jelgava, Daugavpils)</t>
  </si>
  <si>
    <t>Vidēja lieluma BAC galvenais ārsta palīgs (sertificēts) (Madona)</t>
  </si>
  <si>
    <t>Ārsta palīgs (sertificēts) - praktisko treniņu vadītājs</t>
  </si>
  <si>
    <t>MMSTD ( aptiekas) vadītājs</t>
  </si>
  <si>
    <t>MMSTD ( aptiekas) vadītāja vietnieks</t>
  </si>
  <si>
    <t>5.3</t>
  </si>
  <si>
    <t>Galvenais speciālists NMP medicīniskā nodrošinājuma jautājumos</t>
  </si>
  <si>
    <t>NMP medicīniskā nodrošinājuma un aprites nodaļas vadītājs</t>
  </si>
  <si>
    <t>Medicīnisko maksas pakalpojumu nodaļas vadītājs</t>
  </si>
  <si>
    <t>Galvenais ārsta palīgs (sertificēts) RC</t>
  </si>
  <si>
    <t>Vecākais ārsta palīgs (sertificēts) RC (VRC)</t>
  </si>
  <si>
    <t>DISP dežūrējošais ārsta palīgs</t>
  </si>
  <si>
    <t>DISP ārsta palīgs (nesertificēts) - dispečers</t>
  </si>
  <si>
    <t>DISP ārsta palīgs (sertificēts) - dispečers</t>
  </si>
  <si>
    <t>DISP vadības dispečers LRC</t>
  </si>
  <si>
    <t>DISP BAC ārsta palīgs (nesertificēts) - dispečers</t>
  </si>
  <si>
    <t>DISP BAC ārsta palīgs (sertificēts) - dispečers</t>
  </si>
  <si>
    <t>OVC galvenais dispečers</t>
  </si>
  <si>
    <t>OVC vadības dispečers (ārsta palīgs sertificēts)</t>
  </si>
  <si>
    <t>OVC  vecākais dispečers (ārsta palīgs sertificēts)</t>
  </si>
  <si>
    <t>OVC izsaukumu pieņemšanas dispečers (ārsta palīgs nesertificēts)</t>
  </si>
  <si>
    <t>OVC izsaukumu pieņemšanas dispečers (ārsta palīgs sertificēts)</t>
  </si>
  <si>
    <t>OVC  vecākais dispečers LRC (ārsta palīgs sertificēts)</t>
  </si>
  <si>
    <t>OVC izsaukumu pieņemšanas dispečers LRC (ārsta palīgs nesertificēts)</t>
  </si>
  <si>
    <t>OVC izsaukumu pieņemšanas dispečers LRC (ārsta palīgs sertificēts)</t>
  </si>
  <si>
    <t>SMC vadības dispečers</t>
  </si>
  <si>
    <t xml:space="preserve">SMC galvenais ārsta palīgs </t>
  </si>
  <si>
    <t xml:space="preserve">SMC Ārsta palīgs </t>
  </si>
  <si>
    <t>SMC Medicīnas māsa bērnu IT brigādē</t>
  </si>
  <si>
    <t>SMC Medicīnas māsa neonatologu brigādē</t>
  </si>
  <si>
    <t>SMC Medicīnas māsa</t>
  </si>
  <si>
    <t>SMC operāciju māsa</t>
  </si>
  <si>
    <t>NM Sanitārs</t>
  </si>
  <si>
    <t xml:space="preserve">NM Sanitārs </t>
  </si>
  <si>
    <t>OMT autovadītāji</t>
  </si>
  <si>
    <t>OMT vadītājs</t>
  </si>
  <si>
    <t xml:space="preserve">vecākais OMT vadītājs </t>
  </si>
  <si>
    <t>SMC OMT vadītāji</t>
  </si>
  <si>
    <t>Veselības inspekcija</t>
  </si>
  <si>
    <t>Vecākais ārsts eksperts</t>
  </si>
  <si>
    <t>Ārsts - stažieris</t>
  </si>
  <si>
    <t>35.</t>
  </si>
  <si>
    <t>Veselības aprūpes  analītiķis</t>
  </si>
  <si>
    <t>Vecākais higiēnas ārsts</t>
  </si>
  <si>
    <t>Higiēnas ārsts</t>
  </si>
  <si>
    <t>26.3.</t>
  </si>
  <si>
    <t>Vecākais inspektors</t>
  </si>
  <si>
    <t>Vecākais inspektors veselības aprūpes jomā</t>
  </si>
  <si>
    <t>Inspektors</t>
  </si>
  <si>
    <t>Inspektors veselības aprūpes jomā</t>
  </si>
  <si>
    <t>Vecākais referents</t>
  </si>
  <si>
    <t>Referents</t>
  </si>
  <si>
    <t>Departamenta vadītājs</t>
  </si>
  <si>
    <t>Sabiedrības veselības analītiķis</t>
  </si>
  <si>
    <t xml:space="preserve">Vecākais speciālists - vides veselības analītiķis </t>
  </si>
  <si>
    <t>Vides veselības analītiķis</t>
  </si>
  <si>
    <t>Vecākais speciālists vides veselības jautājumos</t>
  </si>
  <si>
    <t>Vecākais inspektors sabiedrības veselības jomā</t>
  </si>
  <si>
    <t>Inspektors sabiedrības veselības jomā</t>
  </si>
  <si>
    <t>KOPĀ</t>
  </si>
  <si>
    <t>Inspekcijas vadītāja vietnieks, departamenta vadītājs</t>
  </si>
  <si>
    <t xml:space="preserve">Eksperta palīgs </t>
  </si>
  <si>
    <t xml:space="preserve">Higiēnas ārsta palīgs </t>
  </si>
  <si>
    <t xml:space="preserve">II </t>
  </si>
  <si>
    <t>Slimību profilakses un kontroles centrs</t>
  </si>
  <si>
    <t>Infekcijas slimību riska analīzes un profilases departamenta direktors</t>
  </si>
  <si>
    <t>Infekcijas slimību uzraudzības un imunizācijas nodaļas vadītājs</t>
  </si>
  <si>
    <t>Infekcijas slimību profilakses un pretepidēmijas pasākumu nodaļas vadītāja</t>
  </si>
  <si>
    <t>Vecākais epidemiologs (Rīga)</t>
  </si>
  <si>
    <t>Epidemiologs</t>
  </si>
  <si>
    <t>III A</t>
  </si>
  <si>
    <t>Sabiedrības veselības organizators</t>
  </si>
  <si>
    <t>Sabiedrības veselības organizaotrs</t>
  </si>
  <si>
    <t>Statistiķis</t>
  </si>
  <si>
    <t>Vecākais epidemiologs (reģioni)</t>
  </si>
  <si>
    <t>Epidemiologs (reģioni)</t>
  </si>
  <si>
    <t>Vecākais sabiedrības veselības organizators (reģioni)</t>
  </si>
  <si>
    <t>Sabiedrības veselības organizators (reģioni)</t>
  </si>
  <si>
    <t xml:space="preserve">Ārstniecības un pacientu aprūpes atbalsta personas </t>
  </si>
  <si>
    <t>PAVISAM  BUDŽETA IESTĀDES (plus slimnīcu ASN)</t>
  </si>
  <si>
    <r>
      <t xml:space="preserve">jaunā amatalga  
ar pieaugumu </t>
    </r>
    <r>
      <rPr>
        <b/>
        <sz val="10"/>
        <rFont val="Times New Roman"/>
        <family val="1"/>
      </rPr>
      <t xml:space="preserve"> plus 20%</t>
    </r>
  </si>
  <si>
    <t>Nr.p.k.</t>
  </si>
  <si>
    <t>Iestādes nosaukums</t>
  </si>
  <si>
    <t>Samaksa par pagarināto normālo darba laiku</t>
  </si>
  <si>
    <t>Darba devēja valsts sociālās apdrošināšanas obligātās iemaksas</t>
  </si>
  <si>
    <t>VSIA "Bērnu klīniskā universitātes slimnīca"</t>
  </si>
  <si>
    <t>VSIA "Paula Stradiņa klīniskā universitātes slimnīca"</t>
  </si>
  <si>
    <t xml:space="preserve"> VSIA "Rīgas Austrumu klīniskā universitātes slimnīca" </t>
  </si>
  <si>
    <t>SIA "Jūrmalas slimnīca"</t>
  </si>
  <si>
    <t>SIA "Ogres rajona slimnīca"</t>
  </si>
  <si>
    <t>SIA "Tukuma slimnīca"</t>
  </si>
  <si>
    <t>SIA "Liepājas reģionālā slimnīca"</t>
  </si>
  <si>
    <t>SIA "Ziemeļkurzemes reģionālā slimnīca"</t>
  </si>
  <si>
    <t>SIA "Kuldīgas slimnīca"</t>
  </si>
  <si>
    <t>SIA "Daugavpils reģionālā slimnīca"</t>
  </si>
  <si>
    <t>SIA "Rēzeknes slimnīca"</t>
  </si>
  <si>
    <t>SIA "Preiļu slimnīca"</t>
  </si>
  <si>
    <t>SIA "Krāslavas slimnīca"</t>
  </si>
  <si>
    <t>SIA "Vidzemes slimnīca"</t>
  </si>
  <si>
    <t>Madonas novada PSIA "Madonas slimnīca"</t>
  </si>
  <si>
    <t>SIA "Balvu un Gulbenes slimnīcu apvienība"</t>
  </si>
  <si>
    <t>SIA "Cēsu klīnika"</t>
  </si>
  <si>
    <t>SIA "Alūksnes slimnīca"</t>
  </si>
  <si>
    <t>SIA "Jelgavas pilsētas slimnīca"</t>
  </si>
  <si>
    <t>SIA "Jēkabpils reģionālā slimnīca"</t>
  </si>
  <si>
    <t>SIA "Dobeles un apkārtnes slimnīca"</t>
  </si>
  <si>
    <t>SIA "Aizkraukles slimnīca"</t>
  </si>
  <si>
    <t>SIA "Bauskas slimnīca"</t>
  </si>
  <si>
    <t>Līvānu novada domes PSIA "Līvānu slimnīca"</t>
  </si>
  <si>
    <t>SIA "Ludzas medicīnas centrs"</t>
  </si>
  <si>
    <t>SIA "Siguldas slimnīca"</t>
  </si>
  <si>
    <t>SIA "Saldus medicīnas centrs"</t>
  </si>
  <si>
    <t>SIA "Priekules slimnīca";</t>
  </si>
  <si>
    <t>VSIA "Aknīstes psihoneiroloģiskā slimnīca";</t>
  </si>
  <si>
    <t>VSIA "Daugavpils psihoneiroloģiskā slimnīca";</t>
  </si>
  <si>
    <t xml:space="preserve">VSIA "Nacionālais rehabilitācijas centrs "Vaivari""; </t>
  </si>
  <si>
    <t>VSIA "Piejūras slimnīca";</t>
  </si>
  <si>
    <t>Rīgas PSIA "Rīgas Dzemdību nams";</t>
  </si>
  <si>
    <t>VSIA "Rīgas psihiatrijas un narkoloģijas centrs";</t>
  </si>
  <si>
    <t>Rīgas PSIA "Rīgas 2.slimnīca";</t>
  </si>
  <si>
    <t>VSIA "Slimnīca "Ģintermuiža"";</t>
  </si>
  <si>
    <t>VSIA "Strenču psihoneiroloģiskā slimnīca"</t>
  </si>
  <si>
    <t>VSIA "Traumatoloģijas un ortopēdijas slimnīca"</t>
  </si>
  <si>
    <t>39.04.00</t>
  </si>
  <si>
    <t>33.17.00</t>
  </si>
  <si>
    <t>Darba samaksas palielinājums rezidentiem (02.04.00)</t>
  </si>
  <si>
    <r>
      <rPr>
        <b/>
        <sz val="10"/>
        <rFont val="Times New Roman"/>
        <family val="1"/>
        <charset val="186"/>
      </rPr>
      <t xml:space="preserve">Vidējais aprēķins </t>
    </r>
    <r>
      <rPr>
        <sz val="10"/>
        <rFont val="Times New Roman"/>
        <family val="1"/>
        <charset val="186"/>
      </rPr>
      <t xml:space="preserve">- </t>
    </r>
    <r>
      <rPr>
        <b/>
        <sz val="10"/>
        <rFont val="Times New Roman"/>
        <family val="1"/>
        <charset val="186"/>
      </rPr>
      <t>no 01.01.2018</t>
    </r>
  </si>
  <si>
    <r>
      <rPr>
        <b/>
        <sz val="10"/>
        <rFont val="Times New Roman"/>
        <family val="1"/>
        <charset val="186"/>
      </rPr>
      <t xml:space="preserve">Vidējais aprēķins </t>
    </r>
    <r>
      <rPr>
        <sz val="10"/>
        <rFont val="Times New Roman"/>
        <family val="1"/>
        <charset val="186"/>
      </rPr>
      <t xml:space="preserve">- </t>
    </r>
    <r>
      <rPr>
        <b/>
        <sz val="10"/>
        <rFont val="Times New Roman"/>
        <family val="1"/>
        <charset val="186"/>
      </rPr>
      <t>no 01.01.2019</t>
    </r>
  </si>
  <si>
    <r>
      <rPr>
        <b/>
        <sz val="10"/>
        <rFont val="Times New Roman"/>
        <family val="1"/>
        <charset val="186"/>
      </rPr>
      <t xml:space="preserve">Vidējais aprēķins </t>
    </r>
    <r>
      <rPr>
        <sz val="10"/>
        <rFont val="Times New Roman"/>
        <family val="1"/>
        <charset val="186"/>
      </rPr>
      <t xml:space="preserve">- </t>
    </r>
    <r>
      <rPr>
        <b/>
        <sz val="10"/>
        <rFont val="Times New Roman"/>
        <family val="1"/>
        <charset val="186"/>
      </rPr>
      <t>no 01.01.2020</t>
    </r>
  </si>
  <si>
    <r>
      <rPr>
        <b/>
        <sz val="10"/>
        <rFont val="Times New Roman"/>
        <family val="1"/>
        <charset val="186"/>
      </rPr>
      <t xml:space="preserve">Vidējais aprēķins </t>
    </r>
    <r>
      <rPr>
        <sz val="10"/>
        <rFont val="Times New Roman"/>
        <family val="1"/>
        <charset val="186"/>
      </rPr>
      <t xml:space="preserve">- </t>
    </r>
    <r>
      <rPr>
        <b/>
        <sz val="10"/>
        <rFont val="Times New Roman"/>
        <family val="1"/>
        <charset val="186"/>
      </rPr>
      <t>no 01.01.2021</t>
    </r>
  </si>
  <si>
    <t>1.</t>
  </si>
  <si>
    <t>Augstskolas izdevumi</t>
  </si>
  <si>
    <t>2.</t>
  </si>
  <si>
    <t>Ārstniecības iestādes izdevumi</t>
  </si>
  <si>
    <t>2.1.</t>
  </si>
  <si>
    <t>Rezidenta atlīdzība</t>
  </si>
  <si>
    <t>2.1.1.</t>
  </si>
  <si>
    <t>Atalgojums</t>
  </si>
  <si>
    <t>2.1.1.1.</t>
  </si>
  <si>
    <t>t.sk. amatalga</t>
  </si>
  <si>
    <t>2.1.1.2.</t>
  </si>
  <si>
    <t>t.sk. pārējie izdevumi rezidentu atlīdzībai - samaksa par dežūru stundām virs normālā darba laika (24 h mēnesī), piemaksas par nakts dežūrām, svētku dienām, mājas dežūrām un darba samaksas mainīgajai daļai</t>
  </si>
  <si>
    <t>2.1.2.</t>
  </si>
  <si>
    <t>VSAOI</t>
  </si>
  <si>
    <t>2.2.</t>
  </si>
  <si>
    <t>Rezidentu teorētisko un praktisko apmācību saistīto izdevumu apmaksai ārstniecības iestādē</t>
  </si>
  <si>
    <t>2.2.1.</t>
  </si>
  <si>
    <t xml:space="preserve">Ārstu un cita mācību personāla atlīdzībai </t>
  </si>
  <si>
    <t>2.2.1.1.</t>
  </si>
  <si>
    <t xml:space="preserve">Ārstu un cita mācību personāla atlīdzībai par rezidentu teorētisko un praktisko apmācību </t>
  </si>
  <si>
    <t>2.2.1.1.1.</t>
  </si>
  <si>
    <t>t.sk. atalgojums</t>
  </si>
  <si>
    <t>2.2.1.1.2.</t>
  </si>
  <si>
    <t>t.sk. VSAOI</t>
  </si>
  <si>
    <t>2.2.1.2.</t>
  </si>
  <si>
    <t>Ārstu atlīdzībai, kas atbildīgi par rezidentūras organizāciju (atalgojums un VSAOI)</t>
  </si>
  <si>
    <t>2.2.1.2.1.</t>
  </si>
  <si>
    <t>2.2.1.2.2.</t>
  </si>
  <si>
    <t>2.2.2.</t>
  </si>
  <si>
    <t xml:space="preserve">Ar rezidentūras organizēšanu  saistīto izdevumu segšanai </t>
  </si>
  <si>
    <t>2.2.2.1.</t>
  </si>
  <si>
    <t>t.sk.ar rezidenta pašizglītību saistītie izdevumi (izdevumi  medicīniskās literatūras, datu bāžu, grāmatu, u.c. iegādei bibliotēkai, aprīkojuma, datoru iegādei, u.tml., kas paliek ārstniecības iestādes īpašumā)</t>
  </si>
  <si>
    <t>2.2.2.2.</t>
  </si>
  <si>
    <t>t.sk.ar rezidentūras organizēšanu  saistīto izdevumu segšanai saimniecisko, komunālo un ārstniecības iestādes citu kārtējo izdevumu segšanai, kas attiecas uz rezidentūras organizēšanu ārstniecības iestādē, t.sk. rezidentu telpu iekārtošanas, identifikācijas  karšu iegādes, vienotas e-adreses nodrošināšanai, zīmogu izgatavošanas izdevumi u.tml.))</t>
  </si>
  <si>
    <t>Ietekme uz 782 rezidentiem gadā</t>
  </si>
  <si>
    <t>Ārstniecības personu zemāko mēnešalgu izmaiņas - 2019</t>
  </si>
  <si>
    <t>Slodzes (strādājošo skaits normālā darba laika ietvaros</t>
  </si>
  <si>
    <t>Zemākā mēnešalgas likme par slodzi (atbilstoši MK not. Nr.595)</t>
  </si>
  <si>
    <t>Amatalga pēc izmaiņām</t>
  </si>
  <si>
    <t>Starpība, EUR</t>
  </si>
  <si>
    <t>Darba samaksa atbilstoši slodzēm</t>
  </si>
  <si>
    <t>Vidējā darba samaksa 2019.gadam</t>
  </si>
  <si>
    <t>Ārsti un funkcio-nālie speciālisti</t>
  </si>
  <si>
    <t>1 (6)</t>
  </si>
  <si>
    <t>2 (7)</t>
  </si>
  <si>
    <t>3 (8)</t>
  </si>
  <si>
    <t>4 (9)</t>
  </si>
  <si>
    <t>5 (11)</t>
  </si>
  <si>
    <t>6 (13)</t>
  </si>
  <si>
    <t>KOPĀ Ārstniecības personas</t>
  </si>
  <si>
    <t xml:space="preserve">Pārējam personālam </t>
  </si>
  <si>
    <t xml:space="preserve">KOPĀ </t>
  </si>
  <si>
    <t>Plus 37,5% piemaksām</t>
  </si>
  <si>
    <t>Ietekme uz vienu rezidentu mēnesī (pret 2018.gadu) darba samaksas palielinājumam 20% ik gadu</t>
  </si>
  <si>
    <t>Papildus nepieciešamais finansējums aprēķināts, lai nodoršinātu darba samaksas pieaugumu rezidentiem ikgadu 20% apmērā</t>
  </si>
  <si>
    <r>
      <t xml:space="preserve">Darba samaksas palielināšanai ārstniecības personām, kas sniedz valsts apmaksātos veselības aprūpes pakalpojumus, 20% ikgadu  </t>
    </r>
    <r>
      <rPr>
        <b/>
        <i/>
        <u/>
        <sz val="10"/>
        <rFont val="Times New Roman"/>
        <family val="1"/>
        <charset val="186"/>
      </rPr>
      <t>(aprēķins sheetā "33.00.00")</t>
    </r>
  </si>
  <si>
    <r>
      <t xml:space="preserve">citu ministriju t.sk. 62.resora  ārstniecības personu darba samaksas palielināšanai 20% ikgadu </t>
    </r>
    <r>
      <rPr>
        <b/>
        <u/>
        <sz val="10"/>
        <rFont val="Times New Roman"/>
        <family val="1"/>
        <charset val="186"/>
      </rPr>
      <t>(aprēķins sheetā "DS pārējās ministrijas" un papildus sheetos"62.resors", "LM līgumorg")</t>
    </r>
  </si>
  <si>
    <t>Papildus nepieciešamais finansējums 2020.gadam - 20% pieaugums paredzēts pret 2019.gadu. Papildus nepieciešamais finansējums 2021.gadam - 20% pieaugums paredzēts pret 2020.gadu</t>
  </si>
  <si>
    <t>Papildus nepieciešamais finansējums PNDL atcelšanai ar plānoto darba samaksas pieaugmu 20% apmērā ikgadu</t>
  </si>
  <si>
    <t>Papildus nepieciešamais finansējums aprēķināts, lai nodrošinātu darba samaksas pieaugumu ārstniecības personām ikgadu 20% apmērā un pārējam personām pieaugumu 80 EUR ikgadu</t>
  </si>
  <si>
    <t>euro</t>
  </si>
  <si>
    <t xml:space="preserve">Veselības ministre </t>
  </si>
  <si>
    <t>Anda Čakša</t>
  </si>
  <si>
    <t>Kasparenko 67876147</t>
  </si>
  <si>
    <t>Sandra.Kasparenko@vm.gov.lv</t>
  </si>
  <si>
    <t>Izglītības un zinātnes ministrija t.sk. (62.resors "Mērķotācijas pašvaldībām")</t>
  </si>
  <si>
    <r>
      <t xml:space="preserve">Rezidentu darba samaksas palielināšanai 20% ikgadu  </t>
    </r>
    <r>
      <rPr>
        <b/>
        <i/>
        <u/>
        <sz val="10"/>
        <rFont val="Times New Roman"/>
        <family val="1"/>
        <charset val="186"/>
      </rPr>
      <t>(aprēķins sheetā "PNDL" )</t>
    </r>
  </si>
  <si>
    <r>
      <t xml:space="preserve">Veselības ministrijas padotības iestāžu ārstniecības personu darba samaksas palielināšanai 20% ikgadu  </t>
    </r>
    <r>
      <rPr>
        <b/>
        <i/>
        <u/>
        <sz val="10"/>
        <rFont val="Times New Roman"/>
        <family val="1"/>
        <charset val="186"/>
      </rPr>
      <t>(aprēķins sheetā "VM padotības iest")</t>
    </r>
  </si>
  <si>
    <t>Ārstniecības personu un ārstniecības iestāžu pārējā personāla atlīdzības pieauguma nodrošināšanai nepieciešamais finansējums 2019.-2021.gadā</t>
  </si>
  <si>
    <t>DISP LRC vecākais dežūrārsts</t>
  </si>
  <si>
    <t>DISP medicīnas māsa (nesertificēta)</t>
  </si>
  <si>
    <t>max pēc MK not. Nr.66 (2.piel.)</t>
  </si>
  <si>
    <t>max pēc MK not. Nr.66 (2.piel.), EUR</t>
  </si>
  <si>
    <t>Ārstniecības personu zemāko mēnešalgu izmaiņas - 2020</t>
  </si>
  <si>
    <t>Ārstniecības personu zemāko mēnešalgu izmaiņas - 2021</t>
  </si>
  <si>
    <t>Plus 39% piemaksām</t>
  </si>
  <si>
    <t>Vidējā darba samaksa 2020.gadam</t>
  </si>
  <si>
    <t>Plus 40,4% piemaksām</t>
  </si>
  <si>
    <t>Vidējā darba samaksa 2021.gadam</t>
  </si>
  <si>
    <t>Papildus nepieciešamais finansējums 2019.gadam</t>
  </si>
  <si>
    <t>Papildus nepieciešamais finansējums 2020.gadam</t>
  </si>
  <si>
    <t>Papildus nepieciešamais finansējums 2021.gadam</t>
  </si>
  <si>
    <t>Pielikums Nr.2.1</t>
  </si>
  <si>
    <t>Pielikums Nr.2.2</t>
  </si>
  <si>
    <t>Pielikums Nr.2.3</t>
  </si>
  <si>
    <t>Pielikums Nr.2.4</t>
  </si>
  <si>
    <t>Pielikums Nr.2.5</t>
  </si>
  <si>
    <t>Papildus nepieciešamais finansējums saistībā ar pagarinātā normālā darba laika atcelšanu 2019-2021.gadam</t>
  </si>
  <si>
    <t>Pielikums Nr.2.6</t>
  </si>
  <si>
    <t>Pielikums Nr.2.7</t>
  </si>
  <si>
    <t>Kopā ar soc.apdrošināšanas iemaksām</t>
  </si>
  <si>
    <t xml:space="preserve">Pagarinātā normālā darba laika atcelšanai  bez plānotā 20% darba samaksas pieauguma </t>
  </si>
  <si>
    <t>20% darba samaksas pieaugumam pagarinātā normālā darba laikaietvarā</t>
  </si>
  <si>
    <r>
      <t xml:space="preserve">Pagarinātā normālā darba laika atcelšanai  ar plānoto 20% darba samaksas pieaugumu </t>
    </r>
    <r>
      <rPr>
        <b/>
        <i/>
        <u/>
        <sz val="10"/>
        <rFont val="Times New Roman"/>
        <family val="1"/>
        <charset val="186"/>
      </rPr>
      <t>(aprēķins sheetā "PNDL" un papildus failā)</t>
    </r>
  </si>
  <si>
    <t xml:space="preserve">Vīza: Valsts sekretāra p.i.                                         </t>
  </si>
  <si>
    <t xml:space="preserve"> t.sk. 62.resors "Mērķotācijas pašvaldībām"</t>
  </si>
  <si>
    <t>Daina Mūrmane-Umbraško</t>
  </si>
  <si>
    <t>Pielikums Nr.2
Informatīvajam ziņojumam “Par ārstniecības personu un ārstniecības iestāžu pārējā personāla atlīdzības palielināšanu 2019.- 2021.gadam”</t>
  </si>
  <si>
    <r>
      <t xml:space="preserve">Atbilstoši aktualizētai VSAOI prognozei uz 04.10.18. budžeta 74.resora 08.00.00 programmā “Veselības aprūpes sistēmas reformas ieviešanas finansējums”  atlikušais rezervētais finansējums no VSAOI 1% pamatbudžetā veselības aprūpes nodrošināšanai 2019.gadam  ir  11 297 326 euro apmērā, 2020.gadam 17 037 326 euro apmērā un 2021.gadam 22 737 326 euro apmērā. Papildus finansējums pagarinātā normālā darba laika pakāpeniskai atcelšanai 11 156 468 euro apmērā un Nacionālajam veselības dienestam  jauno funkciju izpildes turpināšas nodrošināšanai atbilstoši Ministru kabineta 2018.gada 3.maija noteikumiem Nr.261 “Veselības apdrošināšanas iemaksu veikšanas un atmaksāšanas kārtība”  140 858 euro apmērā tiks rasts augstāk minētā  finansējuma ietvaros. </t>
    </r>
    <r>
      <rPr>
        <b/>
        <i/>
        <sz val="10"/>
        <rFont val="Times New Roman"/>
        <family val="1"/>
        <charset val="186"/>
      </rPr>
      <t>Papildus ir nepieciešams finansējums 2019.gadā 4 941 261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</si>
</sst>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85" x14ac:knownFonts="1">
    <font>
      <sz val="11"/>
      <color theme="1"/>
      <name val="Calibri"/>
      <family val="2"/>
      <charset val="186"/>
      <scheme val="minor"/>
    </font>
    <font>
      <sz val="10"/>
      <color theme="1"/>
      <name val="Times New Roman"/>
      <family val="1"/>
    </font>
    <font>
      <b/>
      <sz val="11"/>
      <color theme="1"/>
      <name val="Times New Roman"/>
      <family val="1"/>
    </font>
    <font>
      <b/>
      <sz val="10"/>
      <color theme="1"/>
      <name val="Times New Roman"/>
      <family val="1"/>
    </font>
    <font>
      <sz val="10"/>
      <color rgb="FF0000CC"/>
      <name val="Times New Roman"/>
      <family val="1"/>
    </font>
    <font>
      <sz val="11"/>
      <color indexed="8"/>
      <name val="Calibri"/>
      <family val="2"/>
      <charset val="186"/>
    </font>
    <font>
      <sz val="12"/>
      <color theme="1"/>
      <name val="Times New Roman"/>
      <family val="1"/>
    </font>
    <font>
      <sz val="10"/>
      <name val="Arial Baltic"/>
      <charset val="186"/>
    </font>
    <font>
      <sz val="10"/>
      <name val="Times New Roman"/>
      <family val="1"/>
    </font>
    <font>
      <b/>
      <i/>
      <sz val="10"/>
      <name val="Times New Roman"/>
      <family val="1"/>
    </font>
    <font>
      <sz val="9"/>
      <color indexed="8"/>
      <name val="Times New Roman"/>
      <family val="1"/>
      <charset val="186"/>
    </font>
    <font>
      <b/>
      <i/>
      <sz val="10"/>
      <color theme="1"/>
      <name val="Times New Roman"/>
      <family val="1"/>
    </font>
    <font>
      <sz val="10"/>
      <color rgb="FFFF0000"/>
      <name val="Times New Roman"/>
      <family val="1"/>
    </font>
    <font>
      <b/>
      <sz val="10"/>
      <color rgb="FFFF0000"/>
      <name val="Times New Roman"/>
      <family val="1"/>
    </font>
    <font>
      <sz val="10"/>
      <name val="Arial"/>
      <family val="2"/>
      <charset val="186"/>
    </font>
    <font>
      <sz val="10"/>
      <name val="Times New Roman"/>
      <family val="1"/>
      <charset val="186"/>
    </font>
    <font>
      <b/>
      <sz val="10"/>
      <color indexed="8"/>
      <name val="Times New Roman"/>
      <family val="1"/>
    </font>
    <font>
      <b/>
      <sz val="10"/>
      <name val="Times New Roman"/>
      <family val="1"/>
    </font>
    <font>
      <b/>
      <sz val="10"/>
      <name val="Times New Roman"/>
      <family val="1"/>
      <charset val="186"/>
    </font>
    <font>
      <sz val="10"/>
      <color rgb="FF0000FF"/>
      <name val="Times New Roman"/>
      <family val="1"/>
    </font>
    <font>
      <b/>
      <i/>
      <sz val="10"/>
      <name val="Times New Roman"/>
      <family val="1"/>
      <charset val="186"/>
    </font>
    <font>
      <b/>
      <i/>
      <sz val="9"/>
      <color theme="1"/>
      <name val="Times New Roman"/>
      <family val="1"/>
    </font>
    <font>
      <b/>
      <sz val="10"/>
      <color theme="1"/>
      <name val="Times New Roman"/>
      <family val="1"/>
      <charset val="186"/>
    </font>
    <font>
      <sz val="9"/>
      <name val="Times New Roman"/>
      <family val="1"/>
      <charset val="186"/>
    </font>
    <font>
      <b/>
      <sz val="10"/>
      <color rgb="FFFF0000"/>
      <name val="Times New Roman"/>
      <family val="1"/>
      <charset val="186"/>
    </font>
    <font>
      <sz val="10"/>
      <color theme="1"/>
      <name val="Times New Roman"/>
      <family val="1"/>
      <charset val="186"/>
    </font>
    <font>
      <b/>
      <sz val="12"/>
      <name val="Times New Roman"/>
      <family val="1"/>
    </font>
    <font>
      <b/>
      <sz val="11"/>
      <name val="Times New Roman"/>
      <family val="1"/>
    </font>
    <font>
      <b/>
      <sz val="9"/>
      <name val="Times New Roman"/>
      <family val="1"/>
      <charset val="186"/>
    </font>
    <font>
      <sz val="9"/>
      <name val="Times New Roman"/>
      <family val="1"/>
    </font>
    <font>
      <b/>
      <sz val="14"/>
      <color theme="1"/>
      <name val="Times New Roman"/>
      <family val="1"/>
    </font>
    <font>
      <sz val="11"/>
      <color theme="1"/>
      <name val="Times New Roman"/>
      <family val="1"/>
    </font>
    <font>
      <sz val="12"/>
      <name val="Times New Roman"/>
      <family val="1"/>
    </font>
    <font>
      <sz val="11"/>
      <name val="Times New Roman"/>
      <family val="1"/>
    </font>
    <font>
      <sz val="9"/>
      <color theme="1"/>
      <name val="Times New Roman"/>
      <family val="1"/>
    </font>
    <font>
      <u/>
      <sz val="9"/>
      <color indexed="8"/>
      <name val="Times New Roman"/>
      <family val="1"/>
    </font>
    <font>
      <sz val="9"/>
      <color indexed="8"/>
      <name val="Times New Roman"/>
      <family val="1"/>
    </font>
    <font>
      <sz val="11"/>
      <color rgb="FFFF0000"/>
      <name val="Times New Roman"/>
      <family val="1"/>
    </font>
    <font>
      <b/>
      <sz val="9"/>
      <color theme="1"/>
      <name val="Times New Roman"/>
      <family val="1"/>
      <charset val="186"/>
    </font>
    <font>
      <b/>
      <i/>
      <sz val="9"/>
      <name val="Times New Roman"/>
      <family val="1"/>
    </font>
    <font>
      <b/>
      <sz val="14"/>
      <name val="Times New Roman"/>
      <family val="1"/>
    </font>
    <font>
      <sz val="11"/>
      <color theme="1"/>
      <name val="Calibri"/>
      <family val="2"/>
      <charset val="186"/>
      <scheme val="minor"/>
    </font>
    <font>
      <sz val="5"/>
      <name val="Arial"/>
      <family val="2"/>
      <charset val="186"/>
    </font>
    <font>
      <b/>
      <sz val="12"/>
      <name val="Times New Roman"/>
      <family val="1"/>
      <charset val="186"/>
    </font>
    <font>
      <b/>
      <sz val="8"/>
      <name val="Times New Roman"/>
      <family val="1"/>
      <charset val="186"/>
    </font>
    <font>
      <i/>
      <sz val="10"/>
      <name val="Times New Roman"/>
      <family val="1"/>
      <charset val="186"/>
    </font>
    <font>
      <i/>
      <sz val="10"/>
      <name val="Arial"/>
      <family val="2"/>
      <charset val="186"/>
    </font>
    <font>
      <i/>
      <sz val="9"/>
      <name val="Times New Roman"/>
      <family val="1"/>
      <charset val="186"/>
    </font>
    <font>
      <b/>
      <sz val="10"/>
      <name val="Arial"/>
      <family val="2"/>
      <charset val="186"/>
    </font>
    <font>
      <sz val="8"/>
      <name val="Times New Roman"/>
      <family val="1"/>
    </font>
    <font>
      <i/>
      <sz val="11"/>
      <name val="Times New Roman"/>
      <family val="1"/>
    </font>
    <font>
      <b/>
      <i/>
      <sz val="11"/>
      <name val="Times New Roman"/>
      <family val="1"/>
    </font>
    <font>
      <sz val="9"/>
      <color indexed="81"/>
      <name val="Tahoma"/>
      <family val="2"/>
      <charset val="186"/>
    </font>
    <font>
      <u/>
      <sz val="9"/>
      <color indexed="81"/>
      <name val="Tahoma"/>
      <family val="2"/>
      <charset val="186"/>
    </font>
    <font>
      <strike/>
      <sz val="10"/>
      <name val="Times New Roman"/>
      <family val="1"/>
    </font>
    <font>
      <i/>
      <sz val="10"/>
      <color rgb="FFFF0000"/>
      <name val="Times New Roman"/>
      <family val="1"/>
      <charset val="186"/>
    </font>
    <font>
      <sz val="14"/>
      <color theme="1"/>
      <name val="Calibri"/>
      <family val="2"/>
      <scheme val="minor"/>
    </font>
    <font>
      <b/>
      <i/>
      <sz val="14"/>
      <color rgb="FF000000"/>
      <name val="Times New Roman"/>
      <family val="1"/>
      <charset val="186"/>
    </font>
    <font>
      <b/>
      <i/>
      <sz val="11"/>
      <color rgb="FF000000"/>
      <name val="Times New Roman"/>
      <family val="1"/>
    </font>
    <font>
      <sz val="14"/>
      <color rgb="FF000000"/>
      <name val="Times New Roman"/>
      <family val="1"/>
    </font>
    <font>
      <sz val="14"/>
      <color theme="1"/>
      <name val="Times New Roman"/>
      <family val="1"/>
    </font>
    <font>
      <b/>
      <sz val="14"/>
      <color theme="1"/>
      <name val="Times New Roman"/>
      <family val="1"/>
      <charset val="186"/>
    </font>
    <font>
      <b/>
      <sz val="10"/>
      <name val="Calibri"/>
      <family val="2"/>
      <charset val="186"/>
      <scheme val="minor"/>
    </font>
    <font>
      <sz val="10"/>
      <name val="Calibri"/>
      <family val="2"/>
      <charset val="186"/>
      <scheme val="minor"/>
    </font>
    <font>
      <b/>
      <i/>
      <sz val="10"/>
      <color rgb="FFFF0000"/>
      <name val="Times New Roman"/>
      <family val="1"/>
      <charset val="186"/>
    </font>
    <font>
      <b/>
      <i/>
      <sz val="10"/>
      <name val="Arial"/>
      <family val="2"/>
      <charset val="186"/>
    </font>
    <font>
      <sz val="11"/>
      <name val="Times New Roman"/>
      <family val="1"/>
      <charset val="186"/>
    </font>
    <font>
      <b/>
      <sz val="11"/>
      <name val="Times New Roman"/>
      <family val="1"/>
      <charset val="186"/>
    </font>
    <font>
      <b/>
      <sz val="7"/>
      <name val="Times New Roman"/>
      <family val="1"/>
      <charset val="186"/>
    </font>
    <font>
      <b/>
      <i/>
      <u/>
      <sz val="10"/>
      <name val="Times New Roman"/>
      <family val="1"/>
      <charset val="186"/>
    </font>
    <font>
      <b/>
      <u/>
      <sz val="10"/>
      <name val="Times New Roman"/>
      <family val="1"/>
      <charset val="186"/>
    </font>
    <font>
      <i/>
      <u/>
      <sz val="10"/>
      <name val="Times New Roman"/>
      <family val="1"/>
      <charset val="186"/>
    </font>
    <font>
      <strike/>
      <sz val="11"/>
      <name val="Calibri"/>
      <family val="2"/>
      <charset val="186"/>
      <scheme val="minor"/>
    </font>
    <font>
      <sz val="11"/>
      <name val="Calibri"/>
      <family val="2"/>
      <charset val="186"/>
      <scheme val="minor"/>
    </font>
    <font>
      <u/>
      <sz val="11"/>
      <color theme="10"/>
      <name val="Calibri"/>
      <family val="2"/>
      <charset val="186"/>
      <scheme val="minor"/>
    </font>
    <font>
      <sz val="14"/>
      <color theme="1"/>
      <name val="Times New Roman"/>
      <family val="1"/>
      <charset val="186"/>
    </font>
    <font>
      <sz val="11"/>
      <color indexed="8"/>
      <name val="Times New Roman"/>
      <family val="1"/>
      <charset val="186"/>
    </font>
    <font>
      <sz val="11"/>
      <color theme="1"/>
      <name val="Times New Roman"/>
      <family val="1"/>
      <charset val="186"/>
    </font>
    <font>
      <sz val="11"/>
      <color indexed="8"/>
      <name val="Times New Roman"/>
      <family val="1"/>
    </font>
    <font>
      <sz val="12"/>
      <color rgb="FF212121"/>
      <name val="Times New Roman"/>
      <family val="1"/>
    </font>
    <font>
      <b/>
      <sz val="10"/>
      <color rgb="FF212121"/>
      <name val="Times New Roman"/>
      <family val="1"/>
    </font>
    <font>
      <sz val="10"/>
      <color rgb="FF212121"/>
      <name val="Times New Roman"/>
      <family val="1"/>
    </font>
    <font>
      <sz val="12"/>
      <color rgb="FF212121"/>
      <name val="Arial"/>
      <family val="2"/>
    </font>
    <font>
      <i/>
      <sz val="8"/>
      <name val="Times New Roman"/>
      <family val="1"/>
      <charset val="186"/>
    </font>
    <font>
      <b/>
      <i/>
      <sz val="8"/>
      <name val="Times New Roman"/>
      <family val="1"/>
      <charset val="186"/>
    </font>
  </fonts>
  <fills count="2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26"/>
      </patternFill>
    </fill>
    <fill>
      <patternFill patternType="solid">
        <fgColor rgb="FFFFD685"/>
        <bgColor indexed="64"/>
      </patternFill>
    </fill>
    <fill>
      <patternFill patternType="solid">
        <fgColor rgb="FFFFCC66"/>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00B0F0"/>
        <bgColor indexed="64"/>
      </patternFill>
    </fill>
    <fill>
      <patternFill patternType="solid">
        <fgColor indexed="22"/>
        <bgColor indexed="31"/>
      </patternFill>
    </fill>
    <fill>
      <patternFill patternType="solid">
        <fgColor theme="4" tint="0.59999389629810485"/>
        <bgColor indexed="64"/>
      </patternFill>
    </fill>
    <fill>
      <patternFill patternType="solid">
        <fgColor theme="4" tint="0.59999389629810485"/>
        <bgColor indexed="26"/>
      </patternFill>
    </fill>
    <fill>
      <patternFill patternType="solid">
        <fgColor theme="5" tint="0.79998168889431442"/>
        <bgColor indexed="26"/>
      </patternFill>
    </fill>
    <fill>
      <patternFill patternType="solid">
        <fgColor theme="7"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CC"/>
        <bgColor indexed="64"/>
      </patternFill>
    </fill>
    <fill>
      <patternFill patternType="solid">
        <fgColor theme="5"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8"/>
      </bottom>
      <diagonal/>
    </border>
    <border>
      <left style="thin">
        <color indexed="8"/>
      </left>
      <right/>
      <top style="thin">
        <color indexed="8"/>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9">
    <xf numFmtId="0" fontId="0" fillId="0" borderId="0"/>
    <xf numFmtId="0" fontId="5" fillId="0" borderId="0"/>
    <xf numFmtId="0" fontId="7" fillId="0" borderId="0"/>
    <xf numFmtId="0" fontId="14" fillId="0" borderId="0"/>
    <xf numFmtId="0" fontId="14" fillId="0" borderId="0" applyBorder="0"/>
    <xf numFmtId="0" fontId="14" fillId="0" borderId="0"/>
    <xf numFmtId="0" fontId="14" fillId="0" borderId="0"/>
    <xf numFmtId="0" fontId="41" fillId="0" borderId="0"/>
    <xf numFmtId="0" fontId="74" fillId="0" borderId="0" applyNumberFormat="0" applyFill="0" applyBorder="0" applyAlignment="0" applyProtection="0"/>
  </cellStyleXfs>
  <cellXfs count="948">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16" fontId="1" fillId="0" borderId="1" xfId="0" quotePrefix="1" applyNumberFormat="1" applyFont="1" applyBorder="1" applyAlignment="1">
      <alignment horizontal="center"/>
    </xf>
    <xf numFmtId="0" fontId="1" fillId="0" borderId="1" xfId="0" quotePrefix="1" applyFont="1" applyBorder="1" applyAlignment="1">
      <alignment horizont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Alignment="1">
      <alignment horizontal="center"/>
    </xf>
    <xf numFmtId="16" fontId="1" fillId="5" borderId="1" xfId="0" quotePrefix="1" applyNumberFormat="1" applyFont="1" applyFill="1" applyBorder="1" applyAlignment="1">
      <alignment horizontal="center"/>
    </xf>
    <xf numFmtId="0" fontId="1" fillId="5" borderId="1" xfId="0" applyFont="1" applyFill="1" applyBorder="1" applyAlignment="1">
      <alignment horizontal="center"/>
    </xf>
    <xf numFmtId="16" fontId="8" fillId="0" borderId="1" xfId="0" quotePrefix="1" applyNumberFormat="1" applyFont="1" applyBorder="1" applyAlignment="1">
      <alignment horizontal="center" vertical="center"/>
    </xf>
    <xf numFmtId="0" fontId="8" fillId="0" borderId="1" xfId="0" applyFont="1" applyBorder="1" applyAlignment="1">
      <alignment horizontal="center" vertical="center"/>
    </xf>
    <xf numFmtId="1" fontId="8" fillId="2"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2" fontId="1" fillId="0" borderId="1" xfId="0" quotePrefix="1" applyNumberFormat="1" applyFont="1" applyFill="1" applyBorder="1" applyAlignment="1">
      <alignment horizontal="center"/>
    </xf>
    <xf numFmtId="0" fontId="1" fillId="0" borderId="1" xfId="0" applyFont="1" applyFill="1" applyBorder="1" applyAlignment="1">
      <alignment horizontal="center"/>
    </xf>
    <xf numFmtId="1"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xf numFmtId="0" fontId="3" fillId="0" borderId="1" xfId="0" applyFont="1" applyBorder="1" applyAlignment="1">
      <alignment horizontal="center" vertical="center"/>
    </xf>
    <xf numFmtId="16" fontId="8" fillId="7" borderId="1" xfId="0" quotePrefix="1" applyNumberFormat="1" applyFont="1" applyFill="1" applyBorder="1" applyAlignment="1">
      <alignment horizontal="center" vertical="center"/>
    </xf>
    <xf numFmtId="0" fontId="8" fillId="7" borderId="1" xfId="0" applyFont="1" applyFill="1" applyBorder="1" applyAlignment="1">
      <alignment horizontal="center" vertical="center"/>
    </xf>
    <xf numFmtId="1" fontId="8" fillId="7" borderId="1" xfId="0" applyNumberFormat="1" applyFont="1" applyFill="1" applyBorder="1" applyAlignment="1">
      <alignment horizontal="center" vertical="center"/>
    </xf>
    <xf numFmtId="2" fontId="8" fillId="7" borderId="1" xfId="0" applyNumberFormat="1" applyFont="1" applyFill="1" applyBorder="1" applyAlignment="1">
      <alignment horizontal="center" vertical="center"/>
    </xf>
    <xf numFmtId="0" fontId="1" fillId="7" borderId="1" xfId="0" applyFont="1" applyFill="1" applyBorder="1" applyAlignment="1">
      <alignment horizontal="center"/>
    </xf>
    <xf numFmtId="0" fontId="12" fillId="0" borderId="0" xfId="0" applyFont="1"/>
    <xf numFmtId="0" fontId="12" fillId="0" borderId="0" xfId="0" applyFont="1" applyAlignment="1">
      <alignment horizontal="center"/>
    </xf>
    <xf numFmtId="0" fontId="16" fillId="0" borderId="0" xfId="1" applyFont="1" applyAlignment="1">
      <alignment vertical="center"/>
    </xf>
    <xf numFmtId="0" fontId="16" fillId="0" borderId="0" xfId="1" applyFont="1" applyAlignment="1">
      <alignment horizontal="center" vertical="center"/>
    </xf>
    <xf numFmtId="1" fontId="16" fillId="0" borderId="0" xfId="1" applyNumberFormat="1" applyFont="1" applyAlignment="1">
      <alignment horizontal="center" vertical="center"/>
    </xf>
    <xf numFmtId="0" fontId="3" fillId="0" borderId="0" xfId="0" applyFont="1" applyAlignment="1">
      <alignment horizontal="center" vertical="center"/>
    </xf>
    <xf numFmtId="0" fontId="8" fillId="5" borderId="1" xfId="0" applyFont="1" applyFill="1" applyBorder="1" applyAlignment="1">
      <alignment horizontal="center"/>
    </xf>
    <xf numFmtId="4" fontId="8" fillId="5" borderId="1" xfId="0" applyNumberFormat="1" applyFont="1" applyFill="1" applyBorder="1" applyAlignment="1">
      <alignment horizontal="center"/>
    </xf>
    <xf numFmtId="49" fontId="8" fillId="0" borderId="1" xfId="0" quotePrefix="1" applyNumberFormat="1" applyFont="1" applyBorder="1" applyAlignment="1">
      <alignment horizontal="center"/>
    </xf>
    <xf numFmtId="0" fontId="8" fillId="0" borderId="1" xfId="0" applyFont="1" applyBorder="1" applyAlignment="1">
      <alignment horizontal="center"/>
    </xf>
    <xf numFmtId="4" fontId="8" fillId="2" borderId="1" xfId="0" applyNumberFormat="1" applyFont="1" applyFill="1" applyBorder="1" applyAlignment="1">
      <alignment horizontal="center"/>
    </xf>
    <xf numFmtId="4" fontId="8" fillId="0" borderId="1" xfId="0" applyNumberFormat="1" applyFont="1" applyBorder="1" applyAlignment="1">
      <alignment horizontal="center"/>
    </xf>
    <xf numFmtId="4" fontId="18" fillId="8" borderId="1" xfId="0" applyNumberFormat="1" applyFont="1" applyFill="1" applyBorder="1" applyAlignment="1">
      <alignment horizontal="center"/>
    </xf>
    <xf numFmtId="2" fontId="8" fillId="5" borderId="1" xfId="0" applyNumberFormat="1" applyFont="1" applyFill="1" applyBorder="1" applyAlignment="1">
      <alignment horizontal="center"/>
    </xf>
    <xf numFmtId="4" fontId="1" fillId="2" borderId="1" xfId="0" applyNumberFormat="1" applyFont="1" applyFill="1" applyBorder="1" applyAlignment="1">
      <alignment horizontal="center"/>
    </xf>
    <xf numFmtId="4" fontId="1" fillId="0" borderId="1" xfId="0" applyNumberFormat="1" applyFont="1" applyBorder="1" applyAlignment="1">
      <alignment horizontal="center"/>
    </xf>
    <xf numFmtId="2" fontId="1" fillId="0" borderId="1" xfId="0" applyNumberFormat="1" applyFont="1" applyBorder="1" applyAlignment="1">
      <alignment horizontal="center"/>
    </xf>
    <xf numFmtId="4" fontId="18" fillId="9" borderId="1" xfId="0" applyNumberFormat="1" applyFont="1" applyFill="1" applyBorder="1" applyAlignment="1">
      <alignment horizontal="center"/>
    </xf>
    <xf numFmtId="4" fontId="1" fillId="5" borderId="1" xfId="0" applyNumberFormat="1" applyFont="1" applyFill="1" applyBorder="1" applyAlignment="1">
      <alignment horizontal="center"/>
    </xf>
    <xf numFmtId="4" fontId="8" fillId="10" borderId="1" xfId="0" applyNumberFormat="1" applyFont="1" applyFill="1" applyBorder="1" applyAlignment="1" applyProtection="1">
      <alignment horizontal="center"/>
      <protection locked="0"/>
    </xf>
    <xf numFmtId="0" fontId="8" fillId="0" borderId="1" xfId="0" quotePrefix="1" applyFont="1" applyBorder="1" applyAlignment="1">
      <alignment horizontal="center"/>
    </xf>
    <xf numFmtId="0" fontId="8" fillId="0" borderId="1" xfId="0" quotePrefix="1" applyFont="1" applyBorder="1" applyAlignment="1">
      <alignment horizontal="center" vertical="center"/>
    </xf>
    <xf numFmtId="4" fontId="8" fillId="2" borderId="1" xfId="0" applyNumberFormat="1" applyFont="1" applyFill="1" applyBorder="1" applyAlignment="1">
      <alignment horizontal="center" vertical="center"/>
    </xf>
    <xf numFmtId="4" fontId="8" fillId="0" borderId="1" xfId="0" applyNumberFormat="1" applyFont="1" applyBorder="1" applyAlignment="1">
      <alignment horizontal="center" vertical="center"/>
    </xf>
    <xf numFmtId="4" fontId="24" fillId="5" borderId="1" xfId="0" applyNumberFormat="1" applyFont="1" applyFill="1" applyBorder="1" applyAlignment="1">
      <alignment horizontal="center" vertical="center"/>
    </xf>
    <xf numFmtId="4" fontId="22" fillId="5"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xf>
    <xf numFmtId="2" fontId="1" fillId="2" borderId="1" xfId="0" applyNumberFormat="1" applyFont="1" applyFill="1" applyBorder="1" applyAlignment="1">
      <alignment horizontal="center"/>
    </xf>
    <xf numFmtId="0" fontId="8" fillId="0" borderId="1" xfId="0" quotePrefix="1" applyNumberFormat="1" applyFont="1" applyBorder="1" applyAlignment="1">
      <alignment horizontal="center"/>
    </xf>
    <xf numFmtId="0" fontId="8" fillId="0" borderId="0" xfId="0" applyFont="1"/>
    <xf numFmtId="2" fontId="15"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4" fillId="5" borderId="1" xfId="0" applyNumberFormat="1" applyFont="1" applyFill="1" applyBorder="1" applyAlignment="1">
      <alignment horizontal="center"/>
    </xf>
    <xf numFmtId="2" fontId="19" fillId="5" borderId="1"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0" fontId="26" fillId="0" borderId="0" xfId="0" applyFont="1"/>
    <xf numFmtId="0" fontId="8" fillId="8" borderId="7" xfId="0" applyFont="1" applyFill="1" applyBorder="1" applyAlignment="1">
      <alignment horizontal="left" vertical="center" indent="1"/>
    </xf>
    <xf numFmtId="0" fontId="8" fillId="8" borderId="8" xfId="0" applyFont="1" applyFill="1" applyBorder="1" applyAlignment="1">
      <alignment horizontal="left" vertical="center" indent="1"/>
    </xf>
    <xf numFmtId="4" fontId="15" fillId="0" borderId="1" xfId="0" applyNumberFormat="1" applyFont="1" applyFill="1" applyBorder="1" applyAlignment="1">
      <alignment horizontal="center" vertical="center"/>
    </xf>
    <xf numFmtId="3" fontId="15" fillId="0" borderId="1" xfId="0" applyNumberFormat="1" applyFont="1" applyFill="1" applyBorder="1" applyAlignment="1">
      <alignment horizontal="right" vertical="center"/>
    </xf>
    <xf numFmtId="3" fontId="15" fillId="0" borderId="9" xfId="0" applyNumberFormat="1" applyFont="1" applyFill="1" applyBorder="1" applyAlignment="1">
      <alignment horizontal="right" vertical="center"/>
    </xf>
    <xf numFmtId="0" fontId="17" fillId="0" borderId="1" xfId="0" applyFont="1" applyBorder="1"/>
    <xf numFmtId="4" fontId="17" fillId="0" borderId="1"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4" fontId="17" fillId="9" borderId="4" xfId="1" applyNumberFormat="1" applyFont="1" applyFill="1" applyBorder="1" applyAlignment="1">
      <alignment horizontal="center" vertical="center"/>
    </xf>
    <xf numFmtId="2" fontId="17" fillId="9" borderId="1" xfId="0" applyNumberFormat="1" applyFont="1" applyFill="1" applyBorder="1" applyAlignment="1">
      <alignment horizontal="center" vertical="center"/>
    </xf>
    <xf numFmtId="4" fontId="17" fillId="9" borderId="1" xfId="1" applyNumberFormat="1" applyFont="1" applyFill="1" applyBorder="1" applyAlignment="1">
      <alignment horizontal="center" vertical="center"/>
    </xf>
    <xf numFmtId="4" fontId="17" fillId="9" borderId="1" xfId="0" applyNumberFormat="1" applyFont="1" applyFill="1" applyBorder="1" applyAlignment="1">
      <alignment horizontal="center" vertical="center"/>
    </xf>
    <xf numFmtId="3" fontId="17" fillId="9" borderId="1" xfId="0" applyNumberFormat="1" applyFont="1" applyFill="1" applyBorder="1" applyAlignment="1">
      <alignment horizontal="right" vertical="center"/>
    </xf>
    <xf numFmtId="3" fontId="17" fillId="9" borderId="9" xfId="0" applyNumberFormat="1" applyFont="1" applyFill="1" applyBorder="1" applyAlignment="1">
      <alignment horizontal="right" vertical="center"/>
    </xf>
    <xf numFmtId="0" fontId="17" fillId="11" borderId="10" xfId="0" applyFont="1" applyFill="1" applyBorder="1" applyAlignment="1">
      <alignment horizontal="center" vertical="center"/>
    </xf>
    <xf numFmtId="0" fontId="17" fillId="11" borderId="11" xfId="0" applyFont="1" applyFill="1" applyBorder="1" applyAlignment="1">
      <alignment horizontal="center" vertical="center"/>
    </xf>
    <xf numFmtId="3" fontId="17" fillId="11" borderId="11" xfId="0" applyNumberFormat="1" applyFont="1" applyFill="1" applyBorder="1" applyAlignment="1">
      <alignment horizontal="right" vertical="center"/>
    </xf>
    <xf numFmtId="3" fontId="17" fillId="11" borderId="12" xfId="0" applyNumberFormat="1" applyFont="1" applyFill="1" applyBorder="1" applyAlignment="1">
      <alignment horizontal="right" vertical="center"/>
    </xf>
    <xf numFmtId="0" fontId="1" fillId="5" borderId="9" xfId="0" applyFont="1" applyFill="1" applyBorder="1" applyAlignment="1">
      <alignment horizontal="center"/>
    </xf>
    <xf numFmtId="0" fontId="8" fillId="7" borderId="16" xfId="0" applyFont="1" applyFill="1" applyBorder="1" applyAlignment="1">
      <alignment vertical="center"/>
    </xf>
    <xf numFmtId="4" fontId="15" fillId="0" borderId="1" xfId="1" applyNumberFormat="1" applyFont="1" applyFill="1" applyBorder="1" applyAlignment="1">
      <alignment horizontal="center" vertical="center"/>
    </xf>
    <xf numFmtId="0" fontId="8" fillId="0" borderId="16" xfId="0" applyFont="1" applyBorder="1" applyAlignment="1">
      <alignment vertical="center"/>
    </xf>
    <xf numFmtId="0" fontId="1" fillId="5" borderId="16" xfId="0" applyFont="1" applyFill="1" applyBorder="1" applyAlignment="1">
      <alignment horizontal="center" vertical="center" wrapText="1"/>
    </xf>
    <xf numFmtId="0" fontId="1" fillId="0" borderId="16" xfId="0" applyFont="1" applyBorder="1"/>
    <xf numFmtId="0" fontId="3" fillId="0" borderId="16" xfId="0" applyFont="1" applyBorder="1" applyAlignment="1">
      <alignment horizontal="center" vertical="center"/>
    </xf>
    <xf numFmtId="0" fontId="3" fillId="7" borderId="1" xfId="0" applyFont="1" applyFill="1" applyBorder="1" applyAlignment="1">
      <alignment vertical="center"/>
    </xf>
    <xf numFmtId="0" fontId="3" fillId="7" borderId="9" xfId="0" applyFont="1" applyFill="1" applyBorder="1" applyAlignment="1">
      <alignment vertical="center"/>
    </xf>
    <xf numFmtId="0" fontId="12" fillId="0" borderId="1" xfId="0" applyFont="1" applyBorder="1"/>
    <xf numFmtId="0" fontId="1" fillId="0" borderId="9" xfId="0" applyFont="1" applyBorder="1"/>
    <xf numFmtId="0" fontId="1" fillId="5" borderId="16" xfId="0" applyFont="1" applyFill="1" applyBorder="1" applyAlignment="1">
      <alignment horizontal="center"/>
    </xf>
    <xf numFmtId="2" fontId="15" fillId="0" borderId="16"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0" fontId="13" fillId="7" borderId="16" xfId="0" applyFont="1" applyFill="1" applyBorder="1" applyAlignment="1">
      <alignment vertical="center"/>
    </xf>
    <xf numFmtId="0" fontId="12" fillId="0" borderId="16" xfId="0" applyFont="1" applyBorder="1"/>
    <xf numFmtId="0" fontId="17" fillId="0" borderId="0" xfId="0" applyFont="1" applyAlignment="1">
      <alignment vertical="center"/>
    </xf>
    <xf numFmtId="0" fontId="17" fillId="9" borderId="16" xfId="1" applyFont="1" applyFill="1" applyBorder="1" applyAlignment="1">
      <alignment horizontal="left" vertical="center"/>
    </xf>
    <xf numFmtId="49" fontId="17" fillId="9" borderId="1" xfId="1" applyNumberFormat="1" applyFont="1" applyFill="1" applyBorder="1" applyAlignment="1">
      <alignment horizontal="center" vertical="center"/>
    </xf>
    <xf numFmtId="49" fontId="17" fillId="9" borderId="2" xfId="1" applyNumberFormat="1" applyFont="1" applyFill="1" applyBorder="1" applyAlignment="1">
      <alignment horizontal="center" vertical="center"/>
    </xf>
    <xf numFmtId="1" fontId="17" fillId="12" borderId="1" xfId="1" applyNumberFormat="1" applyFont="1" applyFill="1" applyBorder="1" applyAlignment="1">
      <alignment horizontal="center" vertical="center"/>
    </xf>
    <xf numFmtId="2" fontId="17" fillId="12" borderId="1" xfId="1" applyNumberFormat="1" applyFont="1" applyFill="1" applyBorder="1" applyAlignment="1">
      <alignment horizontal="center" vertical="center"/>
    </xf>
    <xf numFmtId="164" fontId="17" fillId="9" borderId="9" xfId="1" applyNumberFormat="1" applyFont="1" applyFill="1" applyBorder="1" applyAlignment="1">
      <alignment horizontal="center" vertical="center"/>
    </xf>
    <xf numFmtId="1" fontId="17" fillId="11" borderId="11" xfId="0" applyNumberFormat="1" applyFont="1" applyFill="1" applyBorder="1" applyAlignment="1">
      <alignment horizontal="center" vertical="center"/>
    </xf>
    <xf numFmtId="2" fontId="17" fillId="11" borderId="11"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2" fontId="17" fillId="0" borderId="18" xfId="0" applyNumberFormat="1" applyFont="1" applyFill="1" applyBorder="1" applyAlignment="1">
      <alignment horizontal="center" vertical="center"/>
    </xf>
    <xf numFmtId="0" fontId="17" fillId="0" borderId="19" xfId="0" applyFont="1" applyBorder="1"/>
    <xf numFmtId="4" fontId="17" fillId="0"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xf>
    <xf numFmtId="3" fontId="17" fillId="0" borderId="19" xfId="0" applyNumberFormat="1" applyFont="1" applyFill="1" applyBorder="1" applyAlignment="1">
      <alignment horizontal="right" vertical="center"/>
    </xf>
    <xf numFmtId="3" fontId="17" fillId="0" borderId="21" xfId="0" applyNumberFormat="1" applyFont="1" applyFill="1" applyBorder="1" applyAlignment="1">
      <alignment horizontal="right" vertical="center"/>
    </xf>
    <xf numFmtId="4" fontId="17" fillId="9" borderId="16" xfId="1" applyNumberFormat="1" applyFont="1" applyFill="1" applyBorder="1" applyAlignment="1">
      <alignment horizontal="center" vertical="center"/>
    </xf>
    <xf numFmtId="0" fontId="17" fillId="9" borderId="16" xfId="1" applyFont="1" applyFill="1" applyBorder="1" applyAlignment="1">
      <alignment horizontal="center" vertical="center" wrapText="1"/>
    </xf>
    <xf numFmtId="0" fontId="1" fillId="0" borderId="18" xfId="0" applyFont="1" applyBorder="1"/>
    <xf numFmtId="0" fontId="1" fillId="0" borderId="19" xfId="0" applyFont="1" applyBorder="1" applyAlignment="1">
      <alignment horizontal="center"/>
    </xf>
    <xf numFmtId="0" fontId="1" fillId="2" borderId="19" xfId="0" applyFont="1" applyFill="1" applyBorder="1" applyAlignment="1">
      <alignment horizontal="center"/>
    </xf>
    <xf numFmtId="2" fontId="17" fillId="9" borderId="9" xfId="1" applyNumberFormat="1" applyFont="1" applyFill="1" applyBorder="1" applyAlignment="1">
      <alignment horizontal="center" vertical="center"/>
    </xf>
    <xf numFmtId="0" fontId="17" fillId="9" borderId="18" xfId="1" applyFont="1" applyFill="1" applyBorder="1" applyAlignment="1">
      <alignment horizontal="left" vertical="center"/>
    </xf>
    <xf numFmtId="49" fontId="17" fillId="9" borderId="19" xfId="1" applyNumberFormat="1" applyFont="1" applyFill="1" applyBorder="1" applyAlignment="1">
      <alignment horizontal="center" vertical="center"/>
    </xf>
    <xf numFmtId="1" fontId="17" fillId="12" borderId="19" xfId="1" applyNumberFormat="1" applyFont="1" applyFill="1" applyBorder="1" applyAlignment="1">
      <alignment horizontal="center" vertical="center"/>
    </xf>
    <xf numFmtId="2" fontId="17" fillId="12" borderId="19" xfId="1" applyNumberFormat="1" applyFont="1" applyFill="1" applyBorder="1" applyAlignment="1">
      <alignment horizontal="center" vertical="center"/>
    </xf>
    <xf numFmtId="2" fontId="17" fillId="9" borderId="19" xfId="0" applyNumberFormat="1" applyFont="1" applyFill="1" applyBorder="1" applyAlignment="1">
      <alignment horizontal="center" vertical="center"/>
    </xf>
    <xf numFmtId="4" fontId="17" fillId="9" borderId="18" xfId="1" applyNumberFormat="1" applyFont="1" applyFill="1" applyBorder="1" applyAlignment="1">
      <alignment horizontal="center" vertical="center"/>
    </xf>
    <xf numFmtId="4" fontId="17" fillId="9" borderId="19" xfId="1" applyNumberFormat="1" applyFont="1" applyFill="1" applyBorder="1" applyAlignment="1">
      <alignment horizontal="center" vertical="center"/>
    </xf>
    <xf numFmtId="4" fontId="17" fillId="9" borderId="19" xfId="0" applyNumberFormat="1" applyFont="1" applyFill="1" applyBorder="1" applyAlignment="1">
      <alignment horizontal="center" vertical="center"/>
    </xf>
    <xf numFmtId="3" fontId="17" fillId="9" borderId="19" xfId="0" applyNumberFormat="1" applyFont="1" applyFill="1" applyBorder="1" applyAlignment="1">
      <alignment horizontal="right" vertical="center"/>
    </xf>
    <xf numFmtId="3" fontId="17" fillId="9" borderId="21" xfId="0" applyNumberFormat="1" applyFont="1" applyFill="1" applyBorder="1" applyAlignment="1">
      <alignment horizontal="right" vertical="center"/>
    </xf>
    <xf numFmtId="2" fontId="17" fillId="11" borderId="12" xfId="0" applyNumberFormat="1"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9" fillId="3" borderId="19" xfId="0" applyFont="1" applyFill="1" applyBorder="1" applyAlignment="1">
      <alignment horizontal="center" vertical="center" wrapText="1"/>
    </xf>
    <xf numFmtId="3" fontId="29" fillId="3" borderId="19" xfId="0" applyNumberFormat="1" applyFont="1" applyFill="1" applyBorder="1" applyAlignment="1">
      <alignment horizontal="center" vertical="center" wrapText="1"/>
    </xf>
    <xf numFmtId="3" fontId="29" fillId="3" borderId="21" xfId="0" applyNumberFormat="1" applyFont="1" applyFill="1" applyBorder="1" applyAlignment="1">
      <alignment horizontal="center" vertical="center" wrapText="1"/>
    </xf>
    <xf numFmtId="3" fontId="18" fillId="8" borderId="1" xfId="0" applyNumberFormat="1" applyFont="1" applyFill="1" applyBorder="1" applyAlignment="1">
      <alignment horizontal="right"/>
    </xf>
    <xf numFmtId="0" fontId="8" fillId="0" borderId="16" xfId="0" applyFont="1" applyBorder="1"/>
    <xf numFmtId="0" fontId="8" fillId="0" borderId="16" xfId="0" applyFont="1" applyBorder="1" applyAlignment="1">
      <alignment wrapText="1"/>
    </xf>
    <xf numFmtId="0" fontId="8" fillId="5" borderId="16" xfId="0" applyFont="1" applyFill="1" applyBorder="1" applyAlignment="1">
      <alignment horizontal="center"/>
    </xf>
    <xf numFmtId="0" fontId="8" fillId="5" borderId="9" xfId="0" applyFont="1" applyFill="1" applyBorder="1" applyAlignment="1">
      <alignment horizontal="center"/>
    </xf>
    <xf numFmtId="2" fontId="19" fillId="5" borderId="9" xfId="0" applyNumberFormat="1" applyFont="1" applyFill="1" applyBorder="1" applyAlignment="1">
      <alignment horizontal="center" vertical="center"/>
    </xf>
    <xf numFmtId="2" fontId="19" fillId="5" borderId="16" xfId="0" applyNumberFormat="1" applyFont="1" applyFill="1" applyBorder="1" applyAlignment="1">
      <alignment horizontal="center" vertical="center"/>
    </xf>
    <xf numFmtId="2" fontId="4" fillId="5" borderId="9" xfId="0" applyNumberFormat="1" applyFont="1" applyFill="1" applyBorder="1" applyAlignment="1">
      <alignment horizontal="center"/>
    </xf>
    <xf numFmtId="2" fontId="4" fillId="5" borderId="9" xfId="0" applyNumberFormat="1" applyFont="1" applyFill="1" applyBorder="1" applyAlignment="1">
      <alignment horizontal="center" vertical="center"/>
    </xf>
    <xf numFmtId="2" fontId="4" fillId="5" borderId="16" xfId="0" applyNumberFormat="1" applyFont="1" applyFill="1" applyBorder="1" applyAlignment="1">
      <alignment horizontal="center" vertical="center"/>
    </xf>
    <xf numFmtId="2" fontId="4" fillId="5" borderId="16" xfId="0" applyNumberFormat="1" applyFont="1" applyFill="1" applyBorder="1" applyAlignment="1">
      <alignment horizontal="center"/>
    </xf>
    <xf numFmtId="4" fontId="18" fillId="8" borderId="16" xfId="0" applyNumberFormat="1" applyFont="1" applyFill="1" applyBorder="1" applyAlignment="1">
      <alignment horizontal="center"/>
    </xf>
    <xf numFmtId="3" fontId="18" fillId="8" borderId="9" xfId="0" applyNumberFormat="1" applyFont="1" applyFill="1" applyBorder="1" applyAlignment="1">
      <alignment horizontal="right"/>
    </xf>
    <xf numFmtId="0" fontId="8" fillId="0" borderId="16" xfId="0" applyFont="1" applyFill="1" applyBorder="1" applyAlignment="1">
      <alignment vertical="center"/>
    </xf>
    <xf numFmtId="0" fontId="8" fillId="0" borderId="16" xfId="0" applyFont="1" applyBorder="1" applyAlignment="1">
      <alignment vertical="center" wrapText="1"/>
    </xf>
    <xf numFmtId="0" fontId="8" fillId="10" borderId="16" xfId="0" applyFont="1" applyFill="1" applyBorder="1" applyAlignment="1">
      <alignment vertical="center"/>
    </xf>
    <xf numFmtId="0" fontId="8" fillId="0" borderId="16" xfId="0" applyFont="1" applyFill="1" applyBorder="1" applyAlignment="1">
      <alignment vertical="center" wrapText="1"/>
    </xf>
    <xf numFmtId="0" fontId="8" fillId="10" borderId="16" xfId="0" applyFont="1" applyFill="1" applyBorder="1" applyAlignment="1">
      <alignment vertical="center" wrapText="1"/>
    </xf>
    <xf numFmtId="0" fontId="1" fillId="11" borderId="25" xfId="0" applyFont="1" applyFill="1" applyBorder="1" applyAlignment="1">
      <alignment vertical="center"/>
    </xf>
    <xf numFmtId="0" fontId="1" fillId="11" borderId="9" xfId="0" applyFont="1" applyFill="1" applyBorder="1" applyAlignment="1">
      <alignment vertical="center"/>
    </xf>
    <xf numFmtId="0" fontId="1" fillId="0" borderId="32" xfId="0" applyFont="1" applyBorder="1"/>
    <xf numFmtId="49" fontId="1" fillId="0" borderId="33" xfId="0" quotePrefix="1" applyNumberFormat="1" applyFont="1" applyBorder="1" applyAlignment="1">
      <alignment horizontal="center"/>
    </xf>
    <xf numFmtId="0" fontId="1" fillId="0" borderId="33" xfId="0" applyFont="1" applyBorder="1" applyAlignment="1">
      <alignment horizontal="center"/>
    </xf>
    <xf numFmtId="0" fontId="1" fillId="2" borderId="33" xfId="0" applyFont="1" applyFill="1" applyBorder="1" applyAlignment="1">
      <alignment horizontal="center"/>
    </xf>
    <xf numFmtId="0" fontId="8" fillId="0" borderId="34" xfId="0" applyFont="1" applyBorder="1" applyAlignment="1">
      <alignment horizontal="center"/>
    </xf>
    <xf numFmtId="0" fontId="1" fillId="0" borderId="24" xfId="0" applyFont="1" applyBorder="1"/>
    <xf numFmtId="49" fontId="1" fillId="0" borderId="25" xfId="0" quotePrefix="1" applyNumberFormat="1" applyFont="1" applyBorder="1" applyAlignment="1">
      <alignment horizontal="center"/>
    </xf>
    <xf numFmtId="0" fontId="1" fillId="0" borderId="25" xfId="0" applyFont="1" applyBorder="1" applyAlignment="1">
      <alignment horizontal="center"/>
    </xf>
    <xf numFmtId="0" fontId="1" fillId="2" borderId="25" xfId="0" applyFont="1" applyFill="1" applyBorder="1" applyAlignment="1">
      <alignment horizontal="center"/>
    </xf>
    <xf numFmtId="0" fontId="8" fillId="0" borderId="26" xfId="0" applyNumberFormat="1" applyFont="1" applyBorder="1" applyAlignment="1">
      <alignment horizontal="center"/>
    </xf>
    <xf numFmtId="0" fontId="8" fillId="0" borderId="9" xfId="0" applyNumberFormat="1" applyFont="1" applyBorder="1" applyAlignment="1">
      <alignment horizontal="center"/>
    </xf>
    <xf numFmtId="49" fontId="1" fillId="0" borderId="1" xfId="0" quotePrefix="1" applyNumberFormat="1" applyFont="1" applyBorder="1" applyAlignment="1">
      <alignment horizontal="center"/>
    </xf>
    <xf numFmtId="0" fontId="1" fillId="11" borderId="1" xfId="0" applyFont="1" applyFill="1" applyBorder="1" applyAlignment="1">
      <alignment vertical="center"/>
    </xf>
    <xf numFmtId="16" fontId="1" fillId="0" borderId="25" xfId="0" quotePrefix="1" applyNumberFormat="1" applyFont="1" applyBorder="1" applyAlignment="1">
      <alignment horizontal="center"/>
    </xf>
    <xf numFmtId="0" fontId="8" fillId="0" borderId="0" xfId="0" applyFont="1" applyFill="1" applyBorder="1" applyAlignment="1">
      <alignment vertical="center"/>
    </xf>
    <xf numFmtId="0" fontId="17" fillId="0" borderId="0" xfId="0" applyFont="1"/>
    <xf numFmtId="0" fontId="30" fillId="0" borderId="0" xfId="0" applyFont="1" applyAlignment="1">
      <alignment wrapText="1"/>
    </xf>
    <xf numFmtId="0" fontId="31" fillId="0" borderId="0" xfId="0" applyFont="1"/>
    <xf numFmtId="0" fontId="32" fillId="0" borderId="0" xfId="0" applyFont="1" applyBorder="1"/>
    <xf numFmtId="0" fontId="33" fillId="0" borderId="0" xfId="0" applyFont="1" applyFill="1" applyBorder="1"/>
    <xf numFmtId="0" fontId="34" fillId="0" borderId="0" xfId="0" applyFont="1" applyAlignment="1">
      <alignment horizontal="center" vertical="center"/>
    </xf>
    <xf numFmtId="0" fontId="1" fillId="0" borderId="0" xfId="0" applyFont="1" applyAlignment="1">
      <alignment horizontal="center" vertical="center"/>
    </xf>
    <xf numFmtId="0" fontId="31" fillId="0" borderId="0" xfId="0" applyFont="1" applyFill="1"/>
    <xf numFmtId="4" fontId="1" fillId="0" borderId="1" xfId="0" applyNumberFormat="1" applyFont="1" applyFill="1" applyBorder="1" applyAlignment="1">
      <alignment horizontal="center"/>
    </xf>
    <xf numFmtId="0" fontId="1" fillId="0" borderId="1" xfId="0" applyFont="1" applyFill="1" applyBorder="1"/>
    <xf numFmtId="4" fontId="8" fillId="0" borderId="1" xfId="0" applyNumberFormat="1" applyFont="1" applyFill="1" applyBorder="1" applyAlignment="1">
      <alignment horizontal="center"/>
    </xf>
    <xf numFmtId="0" fontId="37" fillId="0" borderId="0" xfId="0" applyFont="1"/>
    <xf numFmtId="0" fontId="2" fillId="0" borderId="0" xfId="0" applyFont="1"/>
    <xf numFmtId="0" fontId="13" fillId="0" borderId="0" xfId="0" applyFont="1"/>
    <xf numFmtId="0" fontId="1" fillId="5" borderId="1" xfId="0" applyFont="1" applyFill="1" applyBorder="1" applyAlignment="1">
      <alignment horizontal="left" vertical="center" wrapText="1"/>
    </xf>
    <xf numFmtId="4" fontId="12" fillId="7" borderId="1" xfId="0" applyNumberFormat="1" applyFont="1" applyFill="1" applyBorder="1" applyAlignment="1">
      <alignment horizontal="center"/>
    </xf>
    <xf numFmtId="0" fontId="1" fillId="11" borderId="16" xfId="0" applyFont="1" applyFill="1" applyBorder="1" applyAlignment="1">
      <alignment vertical="center"/>
    </xf>
    <xf numFmtId="49" fontId="1" fillId="0" borderId="19" xfId="0" quotePrefix="1" applyNumberFormat="1" applyFont="1" applyBorder="1" applyAlignment="1">
      <alignment horizontal="center"/>
    </xf>
    <xf numFmtId="0" fontId="8" fillId="0" borderId="21" xfId="0" applyNumberFormat="1" applyFont="1" applyBorder="1" applyAlignment="1">
      <alignment horizontal="center"/>
    </xf>
    <xf numFmtId="1" fontId="17" fillId="9" borderId="21" xfId="1" applyNumberFormat="1" applyFont="1" applyFill="1" applyBorder="1" applyAlignment="1">
      <alignment horizontal="center" vertical="center"/>
    </xf>
    <xf numFmtId="0" fontId="12" fillId="5" borderId="1" xfId="0" applyFont="1" applyFill="1" applyBorder="1" applyAlignment="1">
      <alignment horizontal="center"/>
    </xf>
    <xf numFmtId="4" fontId="12" fillId="5" borderId="1" xfId="0" applyNumberFormat="1" applyFont="1" applyFill="1" applyBorder="1" applyAlignment="1">
      <alignment horizontal="center"/>
    </xf>
    <xf numFmtId="0" fontId="22" fillId="0" borderId="1" xfId="0" applyFont="1" applyFill="1" applyBorder="1" applyAlignment="1">
      <alignment horizontal="center"/>
    </xf>
    <xf numFmtId="4" fontId="18" fillId="5" borderId="2" xfId="0" applyNumberFormat="1" applyFont="1" applyFill="1" applyBorder="1" applyAlignment="1">
      <alignment horizontal="center"/>
    </xf>
    <xf numFmtId="4" fontId="8" fillId="0" borderId="2" xfId="0" applyNumberFormat="1" applyFont="1" applyBorder="1" applyAlignment="1">
      <alignment horizontal="center"/>
    </xf>
    <xf numFmtId="4" fontId="8" fillId="0" borderId="2" xfId="0" applyNumberFormat="1" applyFont="1" applyFill="1" applyBorder="1" applyAlignment="1">
      <alignment horizontal="center"/>
    </xf>
    <xf numFmtId="0" fontId="8" fillId="5" borderId="2" xfId="0" applyFont="1" applyFill="1" applyBorder="1" applyAlignment="1">
      <alignment horizontal="center"/>
    </xf>
    <xf numFmtId="4" fontId="8" fillId="5" borderId="2" xfId="0" applyNumberFormat="1" applyFont="1" applyFill="1" applyBorder="1" applyAlignment="1">
      <alignment horizontal="center"/>
    </xf>
    <xf numFmtId="16" fontId="25" fillId="5" borderId="1" xfId="0" quotePrefix="1" applyNumberFormat="1" applyFont="1" applyFill="1" applyBorder="1" applyAlignment="1">
      <alignment horizontal="left"/>
    </xf>
    <xf numFmtId="0" fontId="25" fillId="5" borderId="1" xfId="0" applyFont="1" applyFill="1" applyBorder="1" applyAlignment="1">
      <alignment horizontal="left" vertical="center" wrapText="1"/>
    </xf>
    <xf numFmtId="0" fontId="27" fillId="13" borderId="13" xfId="1" applyFont="1" applyFill="1" applyBorder="1" applyAlignment="1">
      <alignment vertical="center"/>
    </xf>
    <xf numFmtId="0" fontId="17" fillId="13" borderId="14" xfId="1" applyFont="1" applyFill="1" applyBorder="1" applyAlignment="1">
      <alignment horizontal="center" vertical="center"/>
    </xf>
    <xf numFmtId="1" fontId="17" fillId="13" borderId="14" xfId="1" applyNumberFormat="1" applyFont="1" applyFill="1" applyBorder="1" applyAlignment="1">
      <alignment horizontal="center" vertical="center"/>
    </xf>
    <xf numFmtId="2" fontId="17" fillId="13" borderId="14" xfId="1" applyNumberFormat="1" applyFont="1" applyFill="1" applyBorder="1" applyAlignment="1">
      <alignment horizontal="center" vertical="center"/>
    </xf>
    <xf numFmtId="2" fontId="17" fillId="13" borderId="14" xfId="0" applyNumberFormat="1" applyFont="1" applyFill="1" applyBorder="1" applyAlignment="1">
      <alignment horizontal="center" vertical="center"/>
    </xf>
    <xf numFmtId="164" fontId="17" fillId="13" borderId="15" xfId="1" applyNumberFormat="1" applyFont="1" applyFill="1" applyBorder="1" applyAlignment="1">
      <alignment horizontal="center" vertical="center"/>
    </xf>
    <xf numFmtId="0" fontId="17" fillId="13" borderId="13" xfId="0" applyFont="1" applyFill="1" applyBorder="1" applyAlignment="1">
      <alignment horizontal="center" vertical="center"/>
    </xf>
    <xf numFmtId="0" fontId="17" fillId="13" borderId="14" xfId="0" applyFont="1" applyFill="1" applyBorder="1" applyAlignment="1">
      <alignment horizontal="center" vertical="center"/>
    </xf>
    <xf numFmtId="3" fontId="17" fillId="13" borderId="14" xfId="0" applyNumberFormat="1" applyFont="1" applyFill="1" applyBorder="1" applyAlignment="1">
      <alignment horizontal="right" vertical="center"/>
    </xf>
    <xf numFmtId="3" fontId="17" fillId="13" borderId="15" xfId="0" applyNumberFormat="1" applyFont="1" applyFill="1" applyBorder="1" applyAlignment="1">
      <alignment horizontal="right" vertical="center"/>
    </xf>
    <xf numFmtId="0" fontId="27" fillId="13" borderId="16" xfId="1" applyFont="1" applyFill="1" applyBorder="1" applyAlignment="1">
      <alignment vertical="center"/>
    </xf>
    <xf numFmtId="0" fontId="17" fillId="13" borderId="1" xfId="1" applyFont="1" applyFill="1" applyBorder="1" applyAlignment="1">
      <alignment horizontal="center" vertical="center"/>
    </xf>
    <xf numFmtId="1" fontId="17" fillId="13" borderId="1" xfId="1" applyNumberFormat="1" applyFont="1" applyFill="1" applyBorder="1" applyAlignment="1">
      <alignment horizontal="center" vertical="center"/>
    </xf>
    <xf numFmtId="2" fontId="17" fillId="13" borderId="1" xfId="1" applyNumberFormat="1" applyFont="1" applyFill="1" applyBorder="1" applyAlignment="1">
      <alignment horizontal="center" vertical="center"/>
    </xf>
    <xf numFmtId="2" fontId="17" fillId="13" borderId="1" xfId="0" applyNumberFormat="1" applyFont="1" applyFill="1" applyBorder="1" applyAlignment="1">
      <alignment horizontal="center" vertical="center"/>
    </xf>
    <xf numFmtId="164" fontId="17" fillId="13" borderId="9" xfId="1" applyNumberFormat="1" applyFont="1" applyFill="1" applyBorder="1" applyAlignment="1">
      <alignment horizontal="center" vertical="center"/>
    </xf>
    <xf numFmtId="0" fontId="17" fillId="13" borderId="16" xfId="0" applyFont="1" applyFill="1" applyBorder="1" applyAlignment="1">
      <alignment horizontal="center" vertical="center"/>
    </xf>
    <xf numFmtId="0" fontId="17" fillId="13" borderId="1" xfId="0" applyFont="1" applyFill="1" applyBorder="1" applyAlignment="1">
      <alignment horizontal="center" vertical="center"/>
    </xf>
    <xf numFmtId="3" fontId="17" fillId="13" borderId="1" xfId="0" applyNumberFormat="1" applyFont="1" applyFill="1" applyBorder="1" applyAlignment="1">
      <alignment horizontal="right" vertical="center"/>
    </xf>
    <xf numFmtId="3" fontId="17" fillId="13" borderId="9" xfId="0" applyNumberFormat="1" applyFont="1" applyFill="1" applyBorder="1" applyAlignment="1">
      <alignment horizontal="right" vertical="center"/>
    </xf>
    <xf numFmtId="0" fontId="27" fillId="0" borderId="0" xfId="0" applyFont="1" applyAlignment="1">
      <alignment vertical="center"/>
    </xf>
    <xf numFmtId="0" fontId="27" fillId="14" borderId="38" xfId="0" applyFont="1" applyFill="1" applyBorder="1" applyAlignment="1">
      <alignment horizontal="left" vertical="center" indent="1"/>
    </xf>
    <xf numFmtId="0" fontId="27" fillId="14" borderId="39" xfId="0" applyFont="1" applyFill="1" applyBorder="1" applyAlignment="1">
      <alignment horizontal="center" vertical="center"/>
    </xf>
    <xf numFmtId="1" fontId="27" fillId="14" borderId="39" xfId="0" applyNumberFormat="1" applyFont="1" applyFill="1" applyBorder="1" applyAlignment="1">
      <alignment horizontal="center" vertical="center"/>
    </xf>
    <xf numFmtId="2" fontId="27" fillId="14" borderId="39" xfId="0" applyNumberFormat="1" applyFont="1" applyFill="1" applyBorder="1" applyAlignment="1">
      <alignment horizontal="center" vertical="center"/>
    </xf>
    <xf numFmtId="164" fontId="17" fillId="14" borderId="40" xfId="0" applyNumberFormat="1" applyFont="1" applyFill="1" applyBorder="1" applyAlignment="1">
      <alignment horizontal="center" vertical="center"/>
    </xf>
    <xf numFmtId="0" fontId="17" fillId="14" borderId="38" xfId="0" applyFont="1" applyFill="1" applyBorder="1" applyAlignment="1">
      <alignment horizontal="center" vertical="center"/>
    </xf>
    <xf numFmtId="0" fontId="17" fillId="14" borderId="39" xfId="0" applyFont="1" applyFill="1" applyBorder="1" applyAlignment="1">
      <alignment horizontal="center" vertical="center"/>
    </xf>
    <xf numFmtId="3" fontId="17" fillId="14" borderId="39" xfId="0" applyNumberFormat="1" applyFont="1" applyFill="1" applyBorder="1" applyAlignment="1">
      <alignment horizontal="right" vertical="center"/>
    </xf>
    <xf numFmtId="3" fontId="17" fillId="14" borderId="40" xfId="0" applyNumberFormat="1" applyFont="1" applyFill="1" applyBorder="1" applyAlignment="1">
      <alignment horizontal="right" vertical="center"/>
    </xf>
    <xf numFmtId="2" fontId="4" fillId="0" borderId="0" xfId="0" applyNumberFormat="1" applyFont="1"/>
    <xf numFmtId="4" fontId="8" fillId="5" borderId="16" xfId="0" applyNumberFormat="1" applyFont="1" applyFill="1" applyBorder="1" applyAlignment="1">
      <alignment horizontal="center"/>
    </xf>
    <xf numFmtId="4" fontId="8" fillId="5" borderId="9"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xf>
    <xf numFmtId="3" fontId="17" fillId="0" borderId="11" xfId="0" applyNumberFormat="1" applyFont="1" applyFill="1" applyBorder="1" applyAlignment="1">
      <alignment horizontal="center"/>
    </xf>
    <xf numFmtId="3" fontId="3" fillId="0" borderId="12" xfId="0" quotePrefix="1" applyNumberFormat="1" applyFont="1" applyFill="1" applyBorder="1" applyAlignment="1">
      <alignment horizontal="center"/>
    </xf>
    <xf numFmtId="2" fontId="1" fillId="0" borderId="1" xfId="0" applyNumberFormat="1" applyFont="1" applyBorder="1" applyAlignment="1">
      <alignment wrapText="1"/>
    </xf>
    <xf numFmtId="0" fontId="8" fillId="0" borderId="1" xfId="0" applyFont="1" applyBorder="1" applyAlignment="1">
      <alignment wrapText="1"/>
    </xf>
    <xf numFmtId="0" fontId="1" fillId="5" borderId="1" xfId="0" applyFont="1" applyFill="1" applyBorder="1" applyAlignment="1">
      <alignment horizontal="left" wrapText="1"/>
    </xf>
    <xf numFmtId="4" fontId="22" fillId="0" borderId="1" xfId="0" quotePrefix="1" applyNumberFormat="1" applyFont="1" applyFill="1" applyBorder="1" applyAlignment="1">
      <alignment horizontal="center"/>
    </xf>
    <xf numFmtId="4" fontId="15" fillId="5" borderId="16" xfId="0" applyNumberFormat="1" applyFont="1" applyFill="1" applyBorder="1" applyAlignment="1">
      <alignment horizontal="center"/>
    </xf>
    <xf numFmtId="4" fontId="15" fillId="5" borderId="1" xfId="0" applyNumberFormat="1" applyFont="1" applyFill="1" applyBorder="1" applyAlignment="1">
      <alignment horizontal="center"/>
    </xf>
    <xf numFmtId="4" fontId="15" fillId="5" borderId="9" xfId="0" applyNumberFormat="1" applyFont="1" applyFill="1" applyBorder="1" applyAlignment="1">
      <alignment horizontal="center"/>
    </xf>
    <xf numFmtId="2" fontId="12" fillId="5" borderId="9" xfId="0" applyNumberFormat="1" applyFont="1" applyFill="1" applyBorder="1" applyAlignment="1">
      <alignment horizontal="center"/>
    </xf>
    <xf numFmtId="2" fontId="12" fillId="5" borderId="16" xfId="0" applyNumberFormat="1" applyFont="1" applyFill="1" applyBorder="1" applyAlignment="1">
      <alignment horizontal="center"/>
    </xf>
    <xf numFmtId="2" fontId="12" fillId="5" borderId="1" xfId="0" applyNumberFormat="1" applyFont="1" applyFill="1" applyBorder="1" applyAlignment="1">
      <alignment horizontal="center"/>
    </xf>
    <xf numFmtId="0" fontId="13" fillId="0" borderId="0" xfId="0" applyFont="1" applyAlignment="1">
      <alignment vertical="center"/>
    </xf>
    <xf numFmtId="2" fontId="8" fillId="0" borderId="9" xfId="0" applyNumberFormat="1" applyFont="1" applyBorder="1" applyAlignment="1">
      <alignment horizontal="center"/>
    </xf>
    <xf numFmtId="2" fontId="8" fillId="0" borderId="16" xfId="0"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right" vertical="center"/>
    </xf>
    <xf numFmtId="3" fontId="8" fillId="0" borderId="9" xfId="0" applyNumberFormat="1" applyFont="1" applyFill="1" applyBorder="1" applyAlignment="1">
      <alignment horizontal="right" vertical="center"/>
    </xf>
    <xf numFmtId="4" fontId="17" fillId="8" borderId="1" xfId="0" applyNumberFormat="1" applyFont="1" applyFill="1" applyBorder="1" applyAlignment="1">
      <alignment horizontal="center"/>
    </xf>
    <xf numFmtId="4" fontId="17" fillId="8" borderId="9" xfId="0" applyNumberFormat="1" applyFont="1" applyFill="1" applyBorder="1" applyAlignment="1">
      <alignment horizontal="center"/>
    </xf>
    <xf numFmtId="4" fontId="17" fillId="8" borderId="16" xfId="0" applyNumberFormat="1" applyFont="1" applyFill="1" applyBorder="1" applyAlignment="1">
      <alignment horizontal="center"/>
    </xf>
    <xf numFmtId="3" fontId="17" fillId="8" borderId="1" xfId="0" applyNumberFormat="1" applyFont="1" applyFill="1" applyBorder="1" applyAlignment="1">
      <alignment horizontal="right"/>
    </xf>
    <xf numFmtId="3" fontId="17" fillId="8" borderId="9" xfId="0" applyNumberFormat="1" applyFont="1" applyFill="1" applyBorder="1" applyAlignment="1">
      <alignment horizontal="right"/>
    </xf>
    <xf numFmtId="4" fontId="25" fillId="5" borderId="1" xfId="0" quotePrefix="1" applyNumberFormat="1" applyFont="1" applyFill="1" applyBorder="1" applyAlignment="1">
      <alignment horizontal="center"/>
    </xf>
    <xf numFmtId="16" fontId="25" fillId="5" borderId="16" xfId="0" quotePrefix="1" applyNumberFormat="1" applyFont="1" applyFill="1" applyBorder="1" applyAlignment="1">
      <alignment horizontal="center"/>
    </xf>
    <xf numFmtId="16" fontId="25" fillId="5" borderId="1" xfId="0" quotePrefix="1" applyNumberFormat="1" applyFont="1" applyFill="1" applyBorder="1" applyAlignment="1">
      <alignment horizontal="center"/>
    </xf>
    <xf numFmtId="0" fontId="25" fillId="0" borderId="1" xfId="0" applyFont="1" applyBorder="1"/>
    <xf numFmtId="0" fontId="25" fillId="5" borderId="1" xfId="0" applyFont="1" applyFill="1" applyBorder="1" applyAlignment="1">
      <alignment horizontal="center" vertical="center" wrapText="1"/>
    </xf>
    <xf numFmtId="164" fontId="25" fillId="0" borderId="1" xfId="0" applyNumberFormat="1" applyFont="1" applyBorder="1"/>
    <xf numFmtId="0" fontId="25" fillId="0" borderId="1" xfId="0" applyFont="1" applyBorder="1" applyAlignment="1">
      <alignment horizontal="left"/>
    </xf>
    <xf numFmtId="4" fontId="1" fillId="0" borderId="1" xfId="0" quotePrefix="1" applyNumberFormat="1" applyFont="1" applyBorder="1" applyAlignment="1">
      <alignment horizontal="center"/>
    </xf>
    <xf numFmtId="4" fontId="1" fillId="0" borderId="1" xfId="0" quotePrefix="1" applyNumberFormat="1" applyFont="1" applyFill="1" applyBorder="1" applyAlignment="1">
      <alignment horizontal="center"/>
    </xf>
    <xf numFmtId="4" fontId="12" fillId="7" borderId="1" xfId="0" quotePrefix="1" applyNumberFormat="1" applyFont="1" applyFill="1" applyBorder="1" applyAlignment="1">
      <alignment horizontal="center"/>
    </xf>
    <xf numFmtId="0" fontId="20" fillId="9" borderId="22" xfId="0" applyFont="1" applyFill="1" applyBorder="1" applyAlignment="1">
      <alignment horizontal="center"/>
    </xf>
    <xf numFmtId="164" fontId="18" fillId="9" borderId="1" xfId="0" applyNumberFormat="1" applyFont="1" applyFill="1" applyBorder="1" applyAlignment="1">
      <alignment horizontal="right"/>
    </xf>
    <xf numFmtId="0" fontId="18" fillId="9" borderId="1" xfId="0" applyFont="1" applyFill="1" applyBorder="1" applyAlignment="1">
      <alignment horizontal="right"/>
    </xf>
    <xf numFmtId="165" fontId="25" fillId="0" borderId="1" xfId="0" applyNumberFormat="1" applyFont="1" applyBorder="1"/>
    <xf numFmtId="165" fontId="31" fillId="0" borderId="0" xfId="0" applyNumberFormat="1" applyFont="1"/>
    <xf numFmtId="165" fontId="25" fillId="5" borderId="1" xfId="0" applyNumberFormat="1" applyFont="1" applyFill="1" applyBorder="1" applyAlignment="1">
      <alignment horizontal="center" vertical="center" wrapText="1"/>
    </xf>
    <xf numFmtId="3" fontId="18" fillId="9" borderId="1" xfId="0" applyNumberFormat="1" applyFont="1" applyFill="1" applyBorder="1" applyAlignment="1">
      <alignment horizontal="right"/>
    </xf>
    <xf numFmtId="16" fontId="25" fillId="5" borderId="1" xfId="0" quotePrefix="1" applyNumberFormat="1" applyFont="1" applyFill="1" applyBorder="1" applyAlignment="1">
      <alignment horizontal="left" wrapText="1"/>
    </xf>
    <xf numFmtId="16" fontId="25" fillId="5" borderId="2" xfId="0" quotePrefix="1" applyNumberFormat="1" applyFont="1" applyFill="1" applyBorder="1" applyAlignment="1">
      <alignment horizontal="center"/>
    </xf>
    <xf numFmtId="0" fontId="25" fillId="0" borderId="2" xfId="0" applyFont="1" applyBorder="1"/>
    <xf numFmtId="0" fontId="25" fillId="5" borderId="2" xfId="0" applyFont="1" applyFill="1" applyBorder="1" applyAlignment="1">
      <alignment horizontal="center" vertical="center" wrapText="1"/>
    </xf>
    <xf numFmtId="0" fontId="18" fillId="9" borderId="2" xfId="0" applyFont="1" applyFill="1" applyBorder="1" applyAlignment="1">
      <alignment horizontal="right"/>
    </xf>
    <xf numFmtId="16" fontId="25" fillId="5" borderId="9" xfId="0" quotePrefix="1" applyNumberFormat="1" applyFont="1" applyFill="1" applyBorder="1" applyAlignment="1">
      <alignment horizontal="center"/>
    </xf>
    <xf numFmtId="165" fontId="25" fillId="0" borderId="16" xfId="0" applyNumberFormat="1" applyFont="1" applyBorder="1"/>
    <xf numFmtId="165" fontId="25" fillId="0" borderId="9" xfId="0" applyNumberFormat="1" applyFont="1" applyBorder="1"/>
    <xf numFmtId="165" fontId="25" fillId="5" borderId="16" xfId="0" applyNumberFormat="1" applyFont="1" applyFill="1" applyBorder="1" applyAlignment="1">
      <alignment horizontal="center" vertical="center" wrapText="1"/>
    </xf>
    <xf numFmtId="165" fontId="25" fillId="5" borderId="9" xfId="0" applyNumberFormat="1" applyFont="1" applyFill="1" applyBorder="1" applyAlignment="1">
      <alignment horizontal="center" vertical="center" wrapText="1"/>
    </xf>
    <xf numFmtId="3" fontId="18" fillId="9" borderId="16" xfId="0" applyNumberFormat="1" applyFont="1" applyFill="1" applyBorder="1" applyAlignment="1">
      <alignment horizontal="right"/>
    </xf>
    <xf numFmtId="3" fontId="18" fillId="9" borderId="9" xfId="0" applyNumberFormat="1" applyFont="1" applyFill="1" applyBorder="1" applyAlignment="1">
      <alignment horizontal="right"/>
    </xf>
    <xf numFmtId="0" fontId="11" fillId="4" borderId="0" xfId="0" applyFont="1" applyFill="1" applyBorder="1" applyAlignment="1">
      <alignment vertical="center" wrapText="1"/>
    </xf>
    <xf numFmtId="0" fontId="1" fillId="0" borderId="16" xfId="0" applyFont="1" applyBorder="1" applyAlignment="1">
      <alignment vertical="top" wrapText="1"/>
    </xf>
    <xf numFmtId="2" fontId="18" fillId="9" borderId="1" xfId="0" applyNumberFormat="1" applyFont="1" applyFill="1" applyBorder="1" applyAlignment="1">
      <alignment horizontal="right"/>
    </xf>
    <xf numFmtId="0" fontId="1" fillId="0" borderId="16" xfId="0" applyFont="1" applyBorder="1" applyAlignment="1">
      <alignment wrapText="1"/>
    </xf>
    <xf numFmtId="0" fontId="20" fillId="8" borderId="6" xfId="0" applyFont="1" applyFill="1" applyBorder="1" applyAlignment="1">
      <alignment horizontal="center"/>
    </xf>
    <xf numFmtId="2" fontId="18" fillId="8" borderId="41" xfId="0" applyNumberFormat="1" applyFont="1" applyFill="1" applyBorder="1" applyAlignment="1">
      <alignment horizontal="right"/>
    </xf>
    <xf numFmtId="0" fontId="18" fillId="8" borderId="41" xfId="0" applyFont="1" applyFill="1" applyBorder="1" applyAlignment="1">
      <alignment horizontal="right"/>
    </xf>
    <xf numFmtId="0" fontId="18" fillId="8" borderId="42" xfId="0" applyFont="1" applyFill="1" applyBorder="1" applyAlignment="1">
      <alignment horizontal="right"/>
    </xf>
    <xf numFmtId="3" fontId="18" fillId="8" borderId="43" xfId="0" applyNumberFormat="1" applyFont="1" applyFill="1" applyBorder="1" applyAlignment="1">
      <alignment horizontal="right"/>
    </xf>
    <xf numFmtId="3" fontId="18" fillId="8" borderId="41" xfId="0" applyNumberFormat="1" applyFont="1" applyFill="1" applyBorder="1" applyAlignment="1">
      <alignment horizontal="right"/>
    </xf>
    <xf numFmtId="3" fontId="18" fillId="8" borderId="44" xfId="0" applyNumberFormat="1" applyFont="1" applyFill="1" applyBorder="1" applyAlignment="1">
      <alignment horizontal="right"/>
    </xf>
    <xf numFmtId="166" fontId="31" fillId="0" borderId="0" xfId="0" applyNumberFormat="1" applyFont="1"/>
    <xf numFmtId="0" fontId="40" fillId="0" borderId="0" xfId="0" applyFont="1" applyAlignment="1">
      <alignment wrapText="1"/>
    </xf>
    <xf numFmtId="4" fontId="8" fillId="7" borderId="1" xfId="0" applyNumberFormat="1" applyFont="1" applyFill="1" applyBorder="1" applyAlignment="1">
      <alignment horizontal="center"/>
    </xf>
    <xf numFmtId="0" fontId="33" fillId="0" borderId="0" xfId="0" applyFont="1"/>
    <xf numFmtId="0" fontId="32" fillId="0" borderId="0" xfId="0" applyFont="1" applyAlignment="1">
      <alignment horizontal="center"/>
    </xf>
    <xf numFmtId="0" fontId="8" fillId="3" borderId="20" xfId="0" applyFont="1" applyFill="1" applyBorder="1" applyAlignment="1">
      <alignment horizontal="center" vertical="center" wrapText="1"/>
    </xf>
    <xf numFmtId="0" fontId="8" fillId="7" borderId="2" xfId="0" applyFont="1" applyFill="1" applyBorder="1" applyAlignment="1">
      <alignment horizontal="center"/>
    </xf>
    <xf numFmtId="0" fontId="8" fillId="0" borderId="2" xfId="0" applyFont="1" applyBorder="1" applyAlignment="1">
      <alignment horizontal="center"/>
    </xf>
    <xf numFmtId="164" fontId="17" fillId="0" borderId="2" xfId="0" applyNumberFormat="1" applyFont="1" applyBorder="1" applyAlignment="1">
      <alignment horizontal="center" vertical="center"/>
    </xf>
    <xf numFmtId="0" fontId="8" fillId="0" borderId="2" xfId="0" applyFont="1" applyBorder="1"/>
    <xf numFmtId="2" fontId="8" fillId="0" borderId="2" xfId="0" applyNumberFormat="1" applyFont="1" applyBorder="1" applyAlignment="1">
      <alignment horizontal="center"/>
    </xf>
    <xf numFmtId="2" fontId="17" fillId="0" borderId="20" xfId="0" applyNumberFormat="1" applyFont="1" applyBorder="1" applyAlignment="1">
      <alignment horizontal="center" vertical="center"/>
    </xf>
    <xf numFmtId="0" fontId="8" fillId="0" borderId="9" xfId="0" applyFont="1" applyBorder="1" applyAlignment="1">
      <alignment horizontal="center"/>
    </xf>
    <xf numFmtId="2" fontId="17" fillId="0" borderId="0" xfId="1" applyNumberFormat="1" applyFont="1" applyAlignment="1">
      <alignment horizontal="center" vertical="center"/>
    </xf>
    <xf numFmtId="2" fontId="8" fillId="5" borderId="9" xfId="0" applyNumberFormat="1" applyFont="1" applyFill="1" applyBorder="1" applyAlignment="1">
      <alignment horizontal="center"/>
    </xf>
    <xf numFmtId="2" fontId="8" fillId="0" borderId="9" xfId="0" applyNumberFormat="1" applyFont="1" applyFill="1" applyBorder="1" applyAlignment="1">
      <alignment horizontal="center"/>
    </xf>
    <xf numFmtId="0" fontId="8" fillId="5" borderId="9" xfId="0" applyFont="1" applyFill="1" applyBorder="1" applyAlignment="1">
      <alignment horizontal="center" vertical="center"/>
    </xf>
    <xf numFmtId="2" fontId="8" fillId="5" borderId="9"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4" fontId="17" fillId="9" borderId="9" xfId="0" applyNumberFormat="1" applyFont="1" applyFill="1" applyBorder="1" applyAlignment="1">
      <alignment horizontal="center"/>
    </xf>
    <xf numFmtId="0" fontId="8" fillId="11" borderId="9" xfId="0" applyFont="1" applyFill="1" applyBorder="1" applyAlignment="1">
      <alignment vertical="center"/>
    </xf>
    <xf numFmtId="2" fontId="8" fillId="0" borderId="0" xfId="0" applyNumberFormat="1" applyFont="1"/>
    <xf numFmtId="0" fontId="42" fillId="0" borderId="0" xfId="0" applyFont="1" applyFill="1" applyAlignment="1">
      <alignment wrapText="1"/>
    </xf>
    <xf numFmtId="0" fontId="14" fillId="0" borderId="0" xfId="0" applyFont="1" applyFill="1" applyAlignment="1">
      <alignment wrapText="1"/>
    </xf>
    <xf numFmtId="0" fontId="14" fillId="0" borderId="0" xfId="4" applyFont="1" applyFill="1" applyAlignment="1">
      <alignment wrapText="1"/>
    </xf>
    <xf numFmtId="0" fontId="18" fillId="0" borderId="0" xfId="4" applyFont="1" applyFill="1" applyBorder="1" applyAlignment="1">
      <alignment vertical="center" wrapText="1"/>
    </xf>
    <xf numFmtId="0" fontId="14" fillId="0" borderId="0" xfId="0" applyFont="1" applyBorder="1" applyAlignment="1">
      <alignment wrapText="1"/>
    </xf>
    <xf numFmtId="0" fontId="44" fillId="3"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wrapText="1"/>
    </xf>
    <xf numFmtId="3" fontId="47" fillId="0" borderId="1" xfId="0" applyNumberFormat="1" applyFont="1" applyFill="1" applyBorder="1" applyAlignment="1">
      <alignment horizontal="right" vertical="center" wrapText="1"/>
    </xf>
    <xf numFmtId="0" fontId="46" fillId="0" borderId="0" xfId="0" applyFont="1" applyFill="1" applyAlignment="1">
      <alignment wrapText="1"/>
    </xf>
    <xf numFmtId="0" fontId="48" fillId="0" borderId="0" xfId="0" applyFont="1" applyFill="1" applyAlignment="1">
      <alignment wrapText="1"/>
    </xf>
    <xf numFmtId="1" fontId="48" fillId="0" borderId="0" xfId="0" applyNumberFormat="1" applyFont="1" applyFill="1" applyAlignment="1">
      <alignment wrapText="1"/>
    </xf>
    <xf numFmtId="3" fontId="14" fillId="0" borderId="0" xfId="0" applyNumberFormat="1" applyFont="1" applyFill="1" applyAlignment="1">
      <alignment wrapText="1"/>
    </xf>
    <xf numFmtId="0" fontId="44" fillId="3" borderId="20" xfId="0" applyFont="1" applyFill="1" applyBorder="1" applyAlignment="1">
      <alignment horizontal="center" vertical="center" wrapText="1"/>
    </xf>
    <xf numFmtId="0" fontId="15" fillId="0" borderId="1" xfId="0" applyFont="1" applyFill="1" applyBorder="1" applyAlignment="1">
      <alignment wrapText="1"/>
    </xf>
    <xf numFmtId="3" fontId="23" fillId="0" borderId="1" xfId="0" applyNumberFormat="1" applyFont="1" applyFill="1" applyBorder="1" applyAlignment="1">
      <alignment wrapText="1"/>
    </xf>
    <xf numFmtId="0" fontId="45" fillId="0" borderId="1" xfId="0" applyFont="1" applyFill="1" applyBorder="1" applyAlignment="1">
      <alignment wrapText="1"/>
    </xf>
    <xf numFmtId="0" fontId="33" fillId="0" borderId="0" xfId="0" applyFont="1" applyAlignment="1">
      <alignment vertical="center"/>
    </xf>
    <xf numFmtId="0" fontId="33" fillId="0" borderId="0" xfId="1" applyFont="1" applyAlignment="1">
      <alignment vertical="center"/>
    </xf>
    <xf numFmtId="0" fontId="33" fillId="0" borderId="0" xfId="1" applyFont="1" applyAlignment="1">
      <alignment horizontal="center" vertical="center"/>
    </xf>
    <xf numFmtId="1" fontId="33" fillId="0" borderId="0" xfId="1" applyNumberFormat="1" applyFont="1" applyAlignment="1">
      <alignment horizontal="center" vertical="center"/>
    </xf>
    <xf numFmtId="2" fontId="33" fillId="0" borderId="0" xfId="1" applyNumberFormat="1" applyFont="1" applyAlignment="1">
      <alignment horizontal="center" vertical="center"/>
    </xf>
    <xf numFmtId="0" fontId="33" fillId="0" borderId="0" xfId="0" applyFont="1" applyAlignment="1">
      <alignment horizontal="center" vertical="center"/>
    </xf>
    <xf numFmtId="3" fontId="33" fillId="0" borderId="0" xfId="0" applyNumberFormat="1" applyFont="1" applyAlignment="1">
      <alignment horizontal="right" vertical="center"/>
    </xf>
    <xf numFmtId="0" fontId="32" fillId="0" borderId="0" xfId="0" applyFont="1" applyFill="1" applyBorder="1"/>
    <xf numFmtId="0" fontId="26" fillId="0" borderId="0" xfId="0" applyFont="1" applyAlignment="1">
      <alignment vertical="center"/>
    </xf>
    <xf numFmtId="1" fontId="26" fillId="0" borderId="0" xfId="0" applyNumberFormat="1" applyFont="1" applyAlignment="1">
      <alignment vertical="center"/>
    </xf>
    <xf numFmtId="2" fontId="26" fillId="0" borderId="0" xfId="0" applyNumberFormat="1" applyFont="1" applyAlignment="1">
      <alignment vertical="center"/>
    </xf>
    <xf numFmtId="3" fontId="26" fillId="0" borderId="0" xfId="0" applyNumberFormat="1" applyFont="1" applyAlignment="1">
      <alignment horizontal="right" vertical="center"/>
    </xf>
    <xf numFmtId="0" fontId="8" fillId="0" borderId="0" xfId="0" applyFont="1" applyAlignment="1">
      <alignment vertical="center"/>
    </xf>
    <xf numFmtId="0" fontId="8" fillId="3" borderId="43" xfId="0" applyFont="1" applyFill="1" applyBorder="1" applyAlignment="1">
      <alignment horizontal="center" vertical="center" wrapText="1"/>
    </xf>
    <xf numFmtId="0" fontId="8" fillId="3" borderId="41" xfId="0" applyFont="1" applyFill="1" applyBorder="1" applyAlignment="1">
      <alignment horizontal="center" vertical="center" wrapText="1"/>
    </xf>
    <xf numFmtId="1" fontId="8" fillId="16" borderId="41" xfId="0" applyNumberFormat="1" applyFont="1" applyFill="1" applyBorder="1" applyAlignment="1">
      <alignment horizontal="center" vertical="center" wrapText="1"/>
    </xf>
    <xf numFmtId="2" fontId="8" fillId="3" borderId="41" xfId="0" applyNumberFormat="1"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3" xfId="0" quotePrefix="1" applyFont="1" applyFill="1" applyBorder="1" applyAlignment="1">
      <alignment horizontal="center" vertical="center" wrapText="1"/>
    </xf>
    <xf numFmtId="3" fontId="8" fillId="3" borderId="41" xfId="0" applyNumberFormat="1" applyFont="1" applyFill="1" applyBorder="1" applyAlignment="1">
      <alignment horizontal="center" vertical="center" wrapText="1"/>
    </xf>
    <xf numFmtId="3" fontId="8" fillId="3" borderId="44" xfId="0" applyNumberFormat="1" applyFont="1" applyFill="1" applyBorder="1" applyAlignment="1">
      <alignment horizontal="center" vertical="center" wrapText="1"/>
    </xf>
    <xf numFmtId="0" fontId="8" fillId="0" borderId="0" xfId="0" applyFont="1" applyAlignment="1">
      <alignment horizontal="center" vertical="center"/>
    </xf>
    <xf numFmtId="0" fontId="49" fillId="0" borderId="0" xfId="1" applyFont="1" applyFill="1" applyBorder="1" applyAlignment="1">
      <alignment horizontal="center" vertical="center"/>
    </xf>
    <xf numFmtId="1" fontId="49" fillId="0" borderId="0" xfId="1" applyNumberFormat="1" applyFont="1" applyFill="1" applyBorder="1" applyAlignment="1">
      <alignment horizontal="center" vertical="center"/>
    </xf>
    <xf numFmtId="2" fontId="49" fillId="0" borderId="0" xfId="1" applyNumberFormat="1" applyFont="1" applyFill="1" applyBorder="1" applyAlignment="1">
      <alignment horizontal="center" vertical="center"/>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right" vertical="center"/>
    </xf>
    <xf numFmtId="0" fontId="49" fillId="0" borderId="0" xfId="0" applyFont="1" applyFill="1" applyBorder="1" applyAlignment="1">
      <alignment vertical="center"/>
    </xf>
    <xf numFmtId="0" fontId="50" fillId="0" borderId="0" xfId="0" applyFont="1" applyAlignment="1">
      <alignment vertical="center"/>
    </xf>
    <xf numFmtId="0" fontId="17" fillId="9" borderId="16" xfId="1" applyFont="1" applyFill="1" applyBorder="1" applyAlignment="1">
      <alignment horizontal="right" vertical="center"/>
    </xf>
    <xf numFmtId="0" fontId="8" fillId="0" borderId="0" xfId="1" applyFont="1" applyAlignment="1">
      <alignment vertical="center"/>
    </xf>
    <xf numFmtId="0" fontId="8" fillId="0" borderId="0" xfId="1" applyFont="1" applyAlignment="1">
      <alignment horizontal="center" vertical="center"/>
    </xf>
    <xf numFmtId="1" fontId="8" fillId="0" borderId="0" xfId="1" applyNumberFormat="1" applyFont="1" applyAlignment="1">
      <alignment horizontal="center" vertical="center"/>
    </xf>
    <xf numFmtId="2" fontId="8" fillId="0" borderId="0" xfId="1" applyNumberFormat="1" applyFont="1" applyAlignment="1">
      <alignment horizontal="center" vertical="center"/>
    </xf>
    <xf numFmtId="3" fontId="8" fillId="0" borderId="0" xfId="0" applyNumberFormat="1" applyFont="1" applyAlignment="1">
      <alignment horizontal="right" vertical="center"/>
    </xf>
    <xf numFmtId="0" fontId="8" fillId="0" borderId="16" xfId="0" applyFont="1" applyFill="1" applyBorder="1" applyAlignment="1">
      <alignment horizontal="left" vertical="center" wrapText="1"/>
    </xf>
    <xf numFmtId="49" fontId="8" fillId="0" borderId="1" xfId="0" quotePrefix="1" applyNumberFormat="1" applyFont="1" applyBorder="1" applyAlignment="1">
      <alignment horizontal="center" vertical="center"/>
    </xf>
    <xf numFmtId="1" fontId="8" fillId="16" borderId="1" xfId="0" applyNumberFormat="1" applyFont="1" applyFill="1" applyBorder="1" applyAlignment="1">
      <alignment horizontal="center" vertical="center" wrapText="1"/>
    </xf>
    <xf numFmtId="1" fontId="8" fillId="16" borderId="1" xfId="0" applyNumberFormat="1" applyFont="1" applyFill="1" applyBorder="1" applyAlignment="1">
      <alignment horizontal="center" vertical="center"/>
    </xf>
    <xf numFmtId="0" fontId="27" fillId="18" borderId="22" xfId="1" applyFont="1" applyFill="1" applyBorder="1" applyAlignment="1">
      <alignment vertical="center"/>
    </xf>
    <xf numFmtId="0" fontId="27" fillId="5" borderId="3" xfId="0" applyFont="1" applyFill="1" applyBorder="1" applyAlignment="1">
      <alignment horizontal="center" vertical="center"/>
    </xf>
    <xf numFmtId="1" fontId="27" fillId="5" borderId="3" xfId="0" applyNumberFormat="1" applyFont="1" applyFill="1" applyBorder="1" applyAlignment="1">
      <alignment horizontal="center" vertical="center"/>
    </xf>
    <xf numFmtId="2" fontId="33" fillId="5" borderId="3" xfId="0" applyNumberFormat="1" applyFont="1" applyFill="1" applyBorder="1" applyAlignment="1">
      <alignment horizontal="center" vertical="center"/>
    </xf>
    <xf numFmtId="2" fontId="27" fillId="5" borderId="23" xfId="0" applyNumberFormat="1" applyFont="1" applyFill="1" applyBorder="1" applyAlignment="1">
      <alignment horizontal="center" vertical="center"/>
    </xf>
    <xf numFmtId="49" fontId="33" fillId="4" borderId="16" xfId="0" applyNumberFormat="1" applyFont="1" applyFill="1" applyBorder="1" applyAlignment="1">
      <alignment horizontal="left" vertical="top" wrapText="1"/>
    </xf>
    <xf numFmtId="49" fontId="33" fillId="4" borderId="1" xfId="0" applyNumberFormat="1" applyFont="1" applyFill="1" applyBorder="1" applyAlignment="1">
      <alignment horizontal="center" vertical="top"/>
    </xf>
    <xf numFmtId="1" fontId="33" fillId="16" borderId="1" xfId="0" applyNumberFormat="1" applyFont="1" applyFill="1" applyBorder="1" applyAlignment="1">
      <alignment horizontal="center" vertical="top"/>
    </xf>
    <xf numFmtId="2" fontId="33" fillId="4" borderId="1" xfId="0" applyNumberFormat="1" applyFont="1" applyFill="1" applyBorder="1" applyAlignment="1">
      <alignment horizontal="center" vertical="top"/>
    </xf>
    <xf numFmtId="4" fontId="33" fillId="0" borderId="1" xfId="0" applyNumberFormat="1" applyFont="1" applyBorder="1" applyAlignment="1">
      <alignment horizontal="center" vertical="center"/>
    </xf>
    <xf numFmtId="4" fontId="33" fillId="4" borderId="9" xfId="0" applyNumberFormat="1" applyFont="1" applyFill="1" applyBorder="1" applyAlignment="1">
      <alignment horizontal="center" vertical="top"/>
    </xf>
    <xf numFmtId="49" fontId="33" fillId="0" borderId="16" xfId="0" applyNumberFormat="1" applyFont="1" applyBorder="1" applyAlignment="1">
      <alignment horizontal="left" vertical="top" wrapText="1"/>
    </xf>
    <xf numFmtId="49" fontId="33" fillId="0" borderId="1" xfId="0" applyNumberFormat="1" applyFont="1" applyBorder="1" applyAlignment="1">
      <alignment horizontal="center" vertical="top"/>
    </xf>
    <xf numFmtId="49" fontId="33" fillId="0" borderId="1" xfId="0" applyNumberFormat="1" applyFont="1" applyBorder="1" applyAlignment="1">
      <alignment horizontal="center" vertical="center"/>
    </xf>
    <xf numFmtId="1" fontId="33" fillId="16" borderId="1" xfId="0" applyNumberFormat="1" applyFont="1" applyFill="1" applyBorder="1" applyAlignment="1">
      <alignment horizontal="center" vertical="center"/>
    </xf>
    <xf numFmtId="2" fontId="33" fillId="0" borderId="1" xfId="0" applyNumberFormat="1" applyFont="1" applyBorder="1" applyAlignment="1">
      <alignment horizontal="center" vertical="center"/>
    </xf>
    <xf numFmtId="4" fontId="33" fillId="0" borderId="9" xfId="0" applyNumberFormat="1" applyFont="1" applyFill="1" applyBorder="1" applyAlignment="1">
      <alignment horizontal="center" vertical="center"/>
    </xf>
    <xf numFmtId="49" fontId="33" fillId="4" borderId="16" xfId="0" applyNumberFormat="1" applyFont="1" applyFill="1" applyBorder="1" applyAlignment="1">
      <alignment horizontal="left" wrapText="1"/>
    </xf>
    <xf numFmtId="49" fontId="33" fillId="4" borderId="1" xfId="0" applyNumberFormat="1" applyFont="1" applyFill="1" applyBorder="1" applyAlignment="1">
      <alignment horizontal="center"/>
    </xf>
    <xf numFmtId="2" fontId="33" fillId="4" borderId="1" xfId="0" applyNumberFormat="1" applyFont="1" applyFill="1" applyBorder="1" applyAlignment="1">
      <alignment horizontal="center" vertical="center"/>
    </xf>
    <xf numFmtId="4" fontId="33" fillId="4" borderId="9" xfId="0" applyNumberFormat="1" applyFont="1" applyFill="1" applyBorder="1" applyAlignment="1">
      <alignment horizontal="center" vertical="center"/>
    </xf>
    <xf numFmtId="49" fontId="33" fillId="4" borderId="16" xfId="0" applyNumberFormat="1" applyFont="1" applyFill="1" applyBorder="1" applyAlignment="1">
      <alignment horizontal="left"/>
    </xf>
    <xf numFmtId="49" fontId="33" fillId="4" borderId="16" xfId="0" applyNumberFormat="1" applyFont="1" applyFill="1" applyBorder="1" applyAlignment="1">
      <alignment horizontal="left" vertical="top"/>
    </xf>
    <xf numFmtId="49" fontId="33" fillId="4" borderId="0" xfId="0" applyNumberFormat="1" applyFont="1" applyFill="1" applyBorder="1" applyAlignment="1">
      <alignment horizontal="center" vertical="top"/>
    </xf>
    <xf numFmtId="4" fontId="33" fillId="0" borderId="1" xfId="0" applyNumberFormat="1" applyFont="1" applyFill="1" applyBorder="1" applyAlignment="1">
      <alignment horizontal="center" vertical="center"/>
    </xf>
    <xf numFmtId="49" fontId="33" fillId="4" borderId="16" xfId="0" applyNumberFormat="1" applyFont="1" applyFill="1" applyBorder="1" applyAlignment="1">
      <alignment horizontal="left" vertical="center" wrapText="1"/>
    </xf>
    <xf numFmtId="49" fontId="33" fillId="4" borderId="1" xfId="0" applyNumberFormat="1" applyFont="1" applyFill="1" applyBorder="1" applyAlignment="1">
      <alignment horizontal="center" vertical="center"/>
    </xf>
    <xf numFmtId="49" fontId="33" fillId="4" borderId="16" xfId="0" applyNumberFormat="1" applyFont="1" applyFill="1" applyBorder="1" applyAlignment="1">
      <alignment horizontal="left" vertical="center"/>
    </xf>
    <xf numFmtId="2" fontId="33" fillId="0" borderId="1" xfId="0" applyNumberFormat="1" applyFont="1" applyFill="1" applyBorder="1" applyAlignment="1">
      <alignment horizontal="center" vertical="center"/>
    </xf>
    <xf numFmtId="49" fontId="33" fillId="4" borderId="0" xfId="0" applyNumberFormat="1" applyFont="1" applyFill="1" applyBorder="1" applyAlignment="1">
      <alignment horizontal="center" vertical="center"/>
    </xf>
    <xf numFmtId="49" fontId="33" fillId="4" borderId="16" xfId="6" applyNumberFormat="1" applyFont="1" applyFill="1" applyBorder="1" applyAlignment="1">
      <alignment horizontal="left" vertical="center" wrapText="1"/>
    </xf>
    <xf numFmtId="49" fontId="33" fillId="4" borderId="1" xfId="6" applyNumberFormat="1" applyFont="1" applyFill="1" applyBorder="1" applyAlignment="1">
      <alignment horizontal="center" vertical="center"/>
    </xf>
    <xf numFmtId="1" fontId="33" fillId="16" borderId="1" xfId="6" applyNumberFormat="1" applyFont="1" applyFill="1" applyBorder="1" applyAlignment="1">
      <alignment horizontal="center" vertical="center"/>
    </xf>
    <xf numFmtId="49" fontId="33" fillId="4" borderId="1" xfId="0" applyNumberFormat="1" applyFont="1" applyFill="1" applyBorder="1" applyAlignment="1">
      <alignment horizontal="center" vertical="center" wrapText="1"/>
    </xf>
    <xf numFmtId="4" fontId="33" fillId="0" borderId="9" xfId="0" applyNumberFormat="1"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1" xfId="0" applyFont="1" applyFill="1" applyBorder="1" applyAlignment="1">
      <alignment horizontal="center" vertical="center"/>
    </xf>
    <xf numFmtId="0" fontId="27" fillId="9" borderId="16" xfId="1" applyFont="1" applyFill="1" applyBorder="1" applyAlignment="1">
      <alignment horizontal="right" vertical="center"/>
    </xf>
    <xf numFmtId="49" fontId="27" fillId="9" borderId="1" xfId="1" applyNumberFormat="1" applyFont="1" applyFill="1" applyBorder="1" applyAlignment="1">
      <alignment horizontal="center" vertical="center"/>
    </xf>
    <xf numFmtId="1" fontId="27" fillId="12" borderId="1" xfId="1" applyNumberFormat="1" applyFont="1" applyFill="1" applyBorder="1" applyAlignment="1">
      <alignment horizontal="center" vertical="center"/>
    </xf>
    <xf numFmtId="2" fontId="27" fillId="12" borderId="1" xfId="1" applyNumberFormat="1" applyFont="1" applyFill="1" applyBorder="1" applyAlignment="1">
      <alignment horizontal="center" vertical="center"/>
    </xf>
    <xf numFmtId="4" fontId="27" fillId="9" borderId="1" xfId="0" applyNumberFormat="1" applyFont="1" applyFill="1" applyBorder="1" applyAlignment="1">
      <alignment horizontal="center" vertical="center"/>
    </xf>
    <xf numFmtId="2" fontId="27" fillId="9" borderId="9" xfId="1" applyNumberFormat="1" applyFont="1" applyFill="1" applyBorder="1" applyAlignment="1">
      <alignment horizontal="center" vertical="center"/>
    </xf>
    <xf numFmtId="0" fontId="27" fillId="18" borderId="3" xfId="1" applyFont="1" applyFill="1" applyBorder="1" applyAlignment="1">
      <alignment horizontal="center" vertical="center"/>
    </xf>
    <xf numFmtId="1" fontId="27" fillId="18" borderId="3" xfId="1" applyNumberFormat="1" applyFont="1" applyFill="1" applyBorder="1" applyAlignment="1">
      <alignment horizontal="center" vertical="center"/>
    </xf>
    <xf numFmtId="2" fontId="33" fillId="18" borderId="3" xfId="1" applyNumberFormat="1" applyFont="1" applyFill="1" applyBorder="1" applyAlignment="1">
      <alignment horizontal="center" vertical="center"/>
    </xf>
    <xf numFmtId="2" fontId="27" fillId="18" borderId="23" xfId="1" applyNumberFormat="1" applyFont="1" applyFill="1" applyBorder="1" applyAlignment="1">
      <alignment horizontal="center" vertical="center"/>
    </xf>
    <xf numFmtId="49" fontId="33" fillId="4" borderId="16" xfId="6" applyNumberFormat="1" applyFont="1" applyFill="1" applyBorder="1" applyAlignment="1">
      <alignment horizontal="left" wrapText="1"/>
    </xf>
    <xf numFmtId="2" fontId="33" fillId="4" borderId="1" xfId="6" applyNumberFormat="1" applyFont="1" applyFill="1" applyBorder="1" applyAlignment="1">
      <alignment horizontal="center" vertical="center"/>
    </xf>
    <xf numFmtId="164" fontId="27" fillId="9" borderId="9" xfId="1" applyNumberFormat="1" applyFont="1" applyFill="1" applyBorder="1" applyAlignment="1">
      <alignment horizontal="center" vertical="center"/>
    </xf>
    <xf numFmtId="0" fontId="27" fillId="18" borderId="45" xfId="1" applyFont="1" applyFill="1" applyBorder="1" applyAlignment="1">
      <alignment vertical="center"/>
    </xf>
    <xf numFmtId="0" fontId="27" fillId="18" borderId="53" xfId="1" applyFont="1" applyFill="1" applyBorder="1" applyAlignment="1">
      <alignment horizontal="center" vertical="center"/>
    </xf>
    <xf numFmtId="1" fontId="27" fillId="18" borderId="53" xfId="1" applyNumberFormat="1" applyFont="1" applyFill="1" applyBorder="1" applyAlignment="1">
      <alignment horizontal="center" vertical="center"/>
    </xf>
    <xf numFmtId="2" fontId="33" fillId="18" borderId="53" xfId="1" applyNumberFormat="1" applyFont="1" applyFill="1" applyBorder="1" applyAlignment="1">
      <alignment horizontal="center" vertical="center"/>
    </xf>
    <xf numFmtId="0" fontId="27" fillId="5" borderId="5" xfId="0" applyFont="1" applyFill="1" applyBorder="1" applyAlignment="1">
      <alignment horizontal="center" vertical="center"/>
    </xf>
    <xf numFmtId="2" fontId="27" fillId="18" borderId="54" xfId="1" applyNumberFormat="1" applyFont="1" applyFill="1" applyBorder="1" applyAlignment="1">
      <alignment horizontal="center" vertical="center"/>
    </xf>
    <xf numFmtId="0" fontId="8" fillId="0" borderId="16" xfId="1" applyFont="1" applyBorder="1" applyAlignment="1">
      <alignment horizontal="center" vertical="center"/>
    </xf>
    <xf numFmtId="0" fontId="8" fillId="0" borderId="1" xfId="1" applyFont="1" applyBorder="1" applyAlignment="1">
      <alignment horizontal="center" vertical="center"/>
    </xf>
    <xf numFmtId="3" fontId="8" fillId="0" borderId="1" xfId="0" applyNumberFormat="1" applyFont="1" applyBorder="1" applyAlignment="1">
      <alignment horizontal="right" vertical="center"/>
    </xf>
    <xf numFmtId="3" fontId="8" fillId="0" borderId="9" xfId="0" applyNumberFormat="1" applyFont="1" applyBorder="1" applyAlignment="1">
      <alignment horizontal="right" vertical="center"/>
    </xf>
    <xf numFmtId="49" fontId="33" fillId="4" borderId="18" xfId="6" applyNumberFormat="1" applyFont="1" applyFill="1" applyBorder="1" applyAlignment="1">
      <alignment horizontal="left" wrapText="1"/>
    </xf>
    <xf numFmtId="49" fontId="33" fillId="4" borderId="19" xfId="0" applyNumberFormat="1" applyFont="1" applyFill="1" applyBorder="1" applyAlignment="1">
      <alignment horizontal="center"/>
    </xf>
    <xf numFmtId="0" fontId="27" fillId="9" borderId="55" xfId="1" applyFont="1" applyFill="1" applyBorder="1" applyAlignment="1">
      <alignment horizontal="right" vertical="center"/>
    </xf>
    <xf numFmtId="49" fontId="27" fillId="9" borderId="56" xfId="1" applyNumberFormat="1" applyFont="1" applyFill="1" applyBorder="1" applyAlignment="1">
      <alignment horizontal="center" vertical="center"/>
    </xf>
    <xf numFmtId="1" fontId="27" fillId="12" borderId="56" xfId="1" applyNumberFormat="1" applyFont="1" applyFill="1" applyBorder="1" applyAlignment="1">
      <alignment horizontal="center" vertical="center"/>
    </xf>
    <xf numFmtId="2" fontId="27" fillId="12" borderId="56" xfId="1" applyNumberFormat="1" applyFont="1" applyFill="1" applyBorder="1" applyAlignment="1">
      <alignment horizontal="center" vertical="center"/>
    </xf>
    <xf numFmtId="4" fontId="27" fillId="9" borderId="56" xfId="0" applyNumberFormat="1" applyFont="1" applyFill="1" applyBorder="1" applyAlignment="1">
      <alignment horizontal="center" vertical="center"/>
    </xf>
    <xf numFmtId="164" fontId="27" fillId="9" borderId="57" xfId="1" applyNumberFormat="1" applyFont="1" applyFill="1" applyBorder="1" applyAlignment="1">
      <alignment horizontal="center" vertical="center"/>
    </xf>
    <xf numFmtId="49" fontId="33" fillId="0" borderId="32" xfId="0" applyNumberFormat="1" applyFont="1" applyFill="1" applyBorder="1" applyAlignment="1">
      <alignment horizontal="left" wrapText="1"/>
    </xf>
    <xf numFmtId="49" fontId="33" fillId="0" borderId="33" xfId="0" applyNumberFormat="1" applyFont="1" applyFill="1" applyBorder="1" applyAlignment="1">
      <alignment horizontal="center"/>
    </xf>
    <xf numFmtId="4" fontId="33" fillId="0" borderId="34" xfId="0" applyNumberFormat="1" applyFont="1" applyFill="1" applyBorder="1" applyAlignment="1">
      <alignment horizontal="center" vertical="center"/>
    </xf>
    <xf numFmtId="4" fontId="8" fillId="0" borderId="1" xfId="1" applyNumberFormat="1" applyFont="1" applyBorder="1" applyAlignment="1">
      <alignment horizontal="center" vertical="center"/>
    </xf>
    <xf numFmtId="49" fontId="33" fillId="0" borderId="18" xfId="0" applyNumberFormat="1" applyFont="1" applyFill="1" applyBorder="1" applyAlignment="1">
      <alignment horizontal="left" wrapText="1"/>
    </xf>
    <xf numFmtId="49" fontId="33" fillId="0" borderId="19" xfId="0" applyNumberFormat="1" applyFont="1" applyFill="1" applyBorder="1" applyAlignment="1">
      <alignment horizontal="center"/>
    </xf>
    <xf numFmtId="4" fontId="33" fillId="0" borderId="21" xfId="0" applyNumberFormat="1" applyFont="1" applyFill="1" applyBorder="1" applyAlignment="1">
      <alignment horizontal="center" vertical="center"/>
    </xf>
    <xf numFmtId="167" fontId="8" fillId="0" borderId="1" xfId="0" applyNumberFormat="1" applyFont="1" applyBorder="1" applyAlignment="1">
      <alignment horizontal="center" vertical="center"/>
    </xf>
    <xf numFmtId="49" fontId="33" fillId="0" borderId="55" xfId="0" applyNumberFormat="1" applyFont="1" applyFill="1" applyBorder="1" applyAlignment="1">
      <alignment horizontal="left" wrapText="1"/>
    </xf>
    <xf numFmtId="49" fontId="33" fillId="0" borderId="56" xfId="0" applyNumberFormat="1" applyFont="1" applyFill="1" applyBorder="1" applyAlignment="1">
      <alignment horizontal="center"/>
    </xf>
    <xf numFmtId="4" fontId="33" fillId="0" borderId="57" xfId="0" applyNumberFormat="1" applyFont="1" applyFill="1" applyBorder="1" applyAlignment="1">
      <alignment horizontal="center" vertical="center"/>
    </xf>
    <xf numFmtId="0" fontId="27" fillId="9" borderId="24" xfId="1" applyFont="1" applyFill="1" applyBorder="1" applyAlignment="1">
      <alignment horizontal="right" vertical="center"/>
    </xf>
    <xf numFmtId="49" fontId="27" fillId="9" borderId="25" xfId="1" applyNumberFormat="1" applyFont="1" applyFill="1" applyBorder="1" applyAlignment="1">
      <alignment horizontal="center" vertical="center"/>
    </xf>
    <xf numFmtId="1" fontId="27" fillId="12" borderId="25" xfId="1" applyNumberFormat="1" applyFont="1" applyFill="1" applyBorder="1" applyAlignment="1">
      <alignment horizontal="center" vertical="center"/>
    </xf>
    <xf numFmtId="2" fontId="27" fillId="12" borderId="25" xfId="1" applyNumberFormat="1" applyFont="1" applyFill="1" applyBorder="1" applyAlignment="1">
      <alignment horizontal="center" vertical="center"/>
    </xf>
    <xf numFmtId="4" fontId="27" fillId="9" borderId="25" xfId="0" applyNumberFormat="1" applyFont="1" applyFill="1" applyBorder="1" applyAlignment="1">
      <alignment horizontal="center" vertical="center"/>
    </xf>
    <xf numFmtId="2" fontId="27" fillId="9" borderId="26" xfId="1" applyNumberFormat="1" applyFont="1" applyFill="1" applyBorder="1" applyAlignment="1">
      <alignment horizontal="center" vertical="center"/>
    </xf>
    <xf numFmtId="0" fontId="27" fillId="19" borderId="10" xfId="0" applyFont="1" applyFill="1" applyBorder="1" applyAlignment="1">
      <alignment horizontal="right" vertical="center" wrapText="1"/>
    </xf>
    <xf numFmtId="49" fontId="27" fillId="19" borderId="11" xfId="0" applyNumberFormat="1" applyFont="1" applyFill="1" applyBorder="1" applyAlignment="1">
      <alignment horizontal="center" vertical="center"/>
    </xf>
    <xf numFmtId="1" fontId="27" fillId="19" borderId="11" xfId="0" applyNumberFormat="1" applyFont="1" applyFill="1" applyBorder="1" applyAlignment="1">
      <alignment horizontal="center" vertical="center"/>
    </xf>
    <xf numFmtId="2" fontId="27" fillId="19" borderId="11" xfId="0" applyNumberFormat="1" applyFont="1" applyFill="1" applyBorder="1" applyAlignment="1">
      <alignment horizontal="center" vertical="center"/>
    </xf>
    <xf numFmtId="4" fontId="27" fillId="19" borderId="11" xfId="0" applyNumberFormat="1" applyFont="1" applyFill="1" applyBorder="1" applyAlignment="1">
      <alignment horizontal="center" vertical="center"/>
    </xf>
    <xf numFmtId="2" fontId="27" fillId="19" borderId="12" xfId="0" applyNumberFormat="1" applyFont="1" applyFill="1" applyBorder="1" applyAlignment="1">
      <alignment horizontal="center" vertical="center"/>
    </xf>
    <xf numFmtId="0" fontId="33" fillId="0" borderId="16" xfId="0" applyFont="1" applyFill="1" applyBorder="1" applyAlignment="1">
      <alignment horizontal="left" vertical="center" wrapText="1"/>
    </xf>
    <xf numFmtId="0" fontId="33" fillId="0" borderId="1" xfId="0" applyFont="1" applyFill="1" applyBorder="1" applyAlignment="1">
      <alignment horizontal="center" vertical="center" wrapText="1"/>
    </xf>
    <xf numFmtId="1" fontId="33" fillId="0" borderId="1" xfId="0" applyNumberFormat="1" applyFont="1" applyFill="1" applyBorder="1" applyAlignment="1">
      <alignment horizontal="center" vertical="center"/>
    </xf>
    <xf numFmtId="2" fontId="33" fillId="0" borderId="9" xfId="0" applyNumberFormat="1" applyFont="1" applyFill="1" applyBorder="1" applyAlignment="1">
      <alignment horizontal="center" vertical="center"/>
    </xf>
    <xf numFmtId="0" fontId="33" fillId="0" borderId="24" xfId="1" applyFont="1" applyBorder="1" applyAlignment="1">
      <alignment horizontal="center" vertical="center"/>
    </xf>
    <xf numFmtId="0" fontId="33" fillId="0" borderId="25" xfId="0" applyFont="1" applyBorder="1" applyAlignment="1">
      <alignment horizontal="center" vertical="center"/>
    </xf>
    <xf numFmtId="2" fontId="33" fillId="0" borderId="25" xfId="1" applyNumberFormat="1" applyFont="1" applyBorder="1" applyAlignment="1">
      <alignment horizontal="center" vertical="center"/>
    </xf>
    <xf numFmtId="2" fontId="33" fillId="0" borderId="25" xfId="0" applyNumberFormat="1" applyFont="1" applyBorder="1" applyAlignment="1">
      <alignment horizontal="center" vertical="center"/>
    </xf>
    <xf numFmtId="3" fontId="33" fillId="0" borderId="25" xfId="0" applyNumberFormat="1" applyFont="1" applyBorder="1" applyAlignment="1">
      <alignment horizontal="right" vertical="center"/>
    </xf>
    <xf numFmtId="3" fontId="33" fillId="0" borderId="26" xfId="0" applyNumberFormat="1" applyFont="1" applyBorder="1" applyAlignment="1">
      <alignment horizontal="right" vertical="center"/>
    </xf>
    <xf numFmtId="1" fontId="33" fillId="16" borderId="1" xfId="0" applyNumberFormat="1" applyFont="1" applyFill="1" applyBorder="1" applyAlignment="1">
      <alignment horizontal="center" vertical="center" wrapText="1"/>
    </xf>
    <xf numFmtId="0" fontId="33" fillId="0" borderId="16" xfId="1" applyFont="1" applyBorder="1" applyAlignment="1">
      <alignment horizontal="center" vertical="center"/>
    </xf>
    <xf numFmtId="0" fontId="33" fillId="0" borderId="1" xfId="0" applyFont="1" applyBorder="1" applyAlignment="1">
      <alignment horizontal="center" vertical="center"/>
    </xf>
    <xf numFmtId="2" fontId="33" fillId="0" borderId="1" xfId="1" applyNumberFormat="1" applyFont="1" applyBorder="1" applyAlignment="1">
      <alignment horizontal="center" vertical="center"/>
    </xf>
    <xf numFmtId="3" fontId="33" fillId="0" borderId="1" xfId="0" applyNumberFormat="1" applyFont="1" applyBorder="1" applyAlignment="1">
      <alignment horizontal="right" vertical="center"/>
    </xf>
    <xf numFmtId="3" fontId="33" fillId="0" borderId="9" xfId="0" applyNumberFormat="1" applyFont="1" applyBorder="1" applyAlignment="1">
      <alignment horizontal="right" vertical="center"/>
    </xf>
    <xf numFmtId="0" fontId="33" fillId="10" borderId="1" xfId="0" applyFont="1" applyFill="1" applyBorder="1" applyAlignment="1">
      <alignment horizontal="center" vertical="center" wrapText="1"/>
    </xf>
    <xf numFmtId="0" fontId="33" fillId="10" borderId="16" xfId="0" applyFont="1" applyFill="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4"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xf>
    <xf numFmtId="0" fontId="33" fillId="0" borderId="20" xfId="0" applyFont="1" applyFill="1" applyBorder="1" applyAlignment="1">
      <alignment horizontal="center" vertical="center"/>
    </xf>
    <xf numFmtId="4" fontId="27" fillId="9" borderId="16" xfId="1" applyNumberFormat="1" applyFont="1" applyFill="1" applyBorder="1" applyAlignment="1">
      <alignment horizontal="center" vertical="center"/>
    </xf>
    <xf numFmtId="2" fontId="27" fillId="9" borderId="1" xfId="0" applyNumberFormat="1" applyFont="1" applyFill="1" applyBorder="1" applyAlignment="1">
      <alignment horizontal="center" vertical="center"/>
    </xf>
    <xf numFmtId="4" fontId="27" fillId="9" borderId="1" xfId="1" applyNumberFormat="1" applyFont="1" applyFill="1" applyBorder="1" applyAlignment="1">
      <alignment horizontal="center" vertical="center"/>
    </xf>
    <xf numFmtId="3" fontId="27" fillId="9" borderId="1" xfId="0" applyNumberFormat="1" applyFont="1" applyFill="1" applyBorder="1" applyAlignment="1">
      <alignment horizontal="right" vertical="center"/>
    </xf>
    <xf numFmtId="3" fontId="27" fillId="9" borderId="9" xfId="0" applyNumberFormat="1" applyFont="1" applyFill="1" applyBorder="1" applyAlignment="1">
      <alignment horizontal="right" vertical="center"/>
    </xf>
    <xf numFmtId="0" fontId="33" fillId="18" borderId="22" xfId="1" applyFont="1" applyFill="1" applyBorder="1" applyAlignment="1">
      <alignment horizontal="center" vertical="center"/>
    </xf>
    <xf numFmtId="0" fontId="33" fillId="18" borderId="3" xfId="1" applyFont="1" applyFill="1" applyBorder="1" applyAlignment="1">
      <alignment horizontal="center" vertical="center"/>
    </xf>
    <xf numFmtId="3" fontId="27" fillId="5" borderId="3" xfId="0" applyNumberFormat="1" applyFont="1" applyFill="1" applyBorder="1" applyAlignment="1">
      <alignment horizontal="right" vertical="center"/>
    </xf>
    <xf numFmtId="3" fontId="27" fillId="5" borderId="23" xfId="0" applyNumberFormat="1" applyFont="1" applyFill="1" applyBorder="1" applyAlignment="1">
      <alignment horizontal="right" vertical="center"/>
    </xf>
    <xf numFmtId="1" fontId="33" fillId="0" borderId="1" xfId="1" applyNumberFormat="1" applyFont="1" applyBorder="1" applyAlignment="1">
      <alignment horizontal="center" vertical="center"/>
    </xf>
    <xf numFmtId="1" fontId="33" fillId="0" borderId="1" xfId="0" applyNumberFormat="1" applyFont="1" applyBorder="1" applyAlignment="1">
      <alignment horizontal="center" vertical="center"/>
    </xf>
    <xf numFmtId="0" fontId="33" fillId="0" borderId="1" xfId="1" applyFont="1" applyBorder="1" applyAlignment="1">
      <alignment horizontal="center" vertical="center"/>
    </xf>
    <xf numFmtId="0" fontId="27" fillId="19" borderId="10" xfId="0" applyFont="1" applyFill="1" applyBorder="1" applyAlignment="1">
      <alignment horizontal="right" vertical="center"/>
    </xf>
    <xf numFmtId="49" fontId="27" fillId="19" borderId="10" xfId="0" applyNumberFormat="1" applyFont="1" applyFill="1" applyBorder="1" applyAlignment="1">
      <alignment horizontal="center" vertical="center"/>
    </xf>
    <xf numFmtId="3" fontId="27" fillId="19" borderId="11" xfId="0" applyNumberFormat="1" applyFont="1" applyFill="1" applyBorder="1" applyAlignment="1">
      <alignment horizontal="right" vertical="center"/>
    </xf>
    <xf numFmtId="3" fontId="27" fillId="19" borderId="12" xfId="0" applyNumberFormat="1" applyFont="1" applyFill="1" applyBorder="1" applyAlignment="1">
      <alignment horizontal="right" vertical="center"/>
    </xf>
    <xf numFmtId="0" fontId="27" fillId="15" borderId="13" xfId="1" applyFont="1" applyFill="1" applyBorder="1" applyAlignment="1">
      <alignment vertical="center"/>
    </xf>
    <xf numFmtId="0" fontId="17" fillId="15" borderId="14" xfId="1" applyFont="1" applyFill="1" applyBorder="1" applyAlignment="1">
      <alignment horizontal="center" vertical="center"/>
    </xf>
    <xf numFmtId="1" fontId="17" fillId="15" borderId="14" xfId="1" applyNumberFormat="1" applyFont="1" applyFill="1" applyBorder="1" applyAlignment="1">
      <alignment horizontal="center" vertical="center"/>
    </xf>
    <xf numFmtId="2" fontId="17" fillId="15" borderId="14" xfId="1" applyNumberFormat="1" applyFont="1" applyFill="1" applyBorder="1" applyAlignment="1">
      <alignment horizontal="center" vertical="center"/>
    </xf>
    <xf numFmtId="0" fontId="17" fillId="15" borderId="14" xfId="0" applyFont="1" applyFill="1" applyBorder="1" applyAlignment="1">
      <alignment horizontal="center" vertical="center"/>
    </xf>
    <xf numFmtId="164" fontId="17" fillId="15" borderId="15" xfId="1" applyNumberFormat="1" applyFont="1" applyFill="1" applyBorder="1" applyAlignment="1">
      <alignment horizontal="center" vertical="center"/>
    </xf>
    <xf numFmtId="0" fontId="17" fillId="15" borderId="13" xfId="0" applyFont="1" applyFill="1" applyBorder="1" applyAlignment="1">
      <alignment horizontal="center" vertical="center"/>
    </xf>
    <xf numFmtId="3" fontId="17" fillId="15" borderId="14" xfId="0" applyNumberFormat="1" applyFont="1" applyFill="1" applyBorder="1" applyAlignment="1">
      <alignment horizontal="right" vertical="center"/>
    </xf>
    <xf numFmtId="3" fontId="17" fillId="15" borderId="15" xfId="0" applyNumberFormat="1" applyFont="1" applyFill="1" applyBorder="1" applyAlignment="1">
      <alignment horizontal="right" vertical="center"/>
    </xf>
    <xf numFmtId="0" fontId="27" fillId="15" borderId="16" xfId="1" applyFont="1" applyFill="1" applyBorder="1" applyAlignment="1">
      <alignment vertical="center"/>
    </xf>
    <xf numFmtId="0" fontId="17" fillId="15" borderId="1" xfId="1" applyFont="1" applyFill="1" applyBorder="1" applyAlignment="1">
      <alignment horizontal="center" vertical="center"/>
    </xf>
    <xf numFmtId="1" fontId="17" fillId="15" borderId="1" xfId="1" applyNumberFormat="1" applyFont="1" applyFill="1" applyBorder="1" applyAlignment="1">
      <alignment horizontal="center" vertical="center"/>
    </xf>
    <xf numFmtId="2" fontId="17" fillId="15" borderId="1" xfId="1" applyNumberFormat="1" applyFont="1" applyFill="1" applyBorder="1" applyAlignment="1">
      <alignment horizontal="center" vertical="center"/>
    </xf>
    <xf numFmtId="0" fontId="17" fillId="15" borderId="1" xfId="0" applyFont="1" applyFill="1" applyBorder="1" applyAlignment="1">
      <alignment horizontal="center" vertical="center"/>
    </xf>
    <xf numFmtId="164" fontId="17" fillId="15" borderId="9" xfId="1" applyNumberFormat="1" applyFont="1" applyFill="1" applyBorder="1" applyAlignment="1">
      <alignment horizontal="center" vertical="center"/>
    </xf>
    <xf numFmtId="0" fontId="17" fillId="15" borderId="16" xfId="0" applyFont="1" applyFill="1" applyBorder="1" applyAlignment="1">
      <alignment horizontal="center" vertical="center"/>
    </xf>
    <xf numFmtId="3" fontId="17" fillId="15" borderId="1" xfId="0" applyNumberFormat="1" applyFont="1" applyFill="1" applyBorder="1" applyAlignment="1">
      <alignment horizontal="right" vertical="center"/>
    </xf>
    <xf numFmtId="3" fontId="17" fillId="15" borderId="9" xfId="0" applyNumberFormat="1" applyFont="1" applyFill="1" applyBorder="1" applyAlignment="1">
      <alignment horizontal="right" vertical="center"/>
    </xf>
    <xf numFmtId="0" fontId="27" fillId="22" borderId="38" xfId="0" applyFont="1" applyFill="1" applyBorder="1" applyAlignment="1">
      <alignment horizontal="left" vertical="center"/>
    </xf>
    <xf numFmtId="0" fontId="27" fillId="22" borderId="39" xfId="0" applyFont="1" applyFill="1" applyBorder="1" applyAlignment="1">
      <alignment horizontal="center" vertical="center"/>
    </xf>
    <xf numFmtId="1" fontId="27" fillId="22" borderId="39" xfId="0" applyNumberFormat="1" applyFont="1" applyFill="1" applyBorder="1" applyAlignment="1">
      <alignment horizontal="center" vertical="center"/>
    </xf>
    <xf numFmtId="2" fontId="27" fillId="22" borderId="39" xfId="0" applyNumberFormat="1" applyFont="1" applyFill="1" applyBorder="1" applyAlignment="1">
      <alignment horizontal="center" vertical="center"/>
    </xf>
    <xf numFmtId="164" fontId="27" fillId="22" borderId="40" xfId="0" applyNumberFormat="1" applyFont="1" applyFill="1" applyBorder="1" applyAlignment="1">
      <alignment horizontal="center" vertical="center"/>
    </xf>
    <xf numFmtId="0" fontId="27" fillId="22" borderId="38" xfId="0" applyFont="1" applyFill="1" applyBorder="1" applyAlignment="1">
      <alignment horizontal="center" vertical="center"/>
    </xf>
    <xf numFmtId="3" fontId="27" fillId="22" borderId="39" xfId="0" applyNumberFormat="1" applyFont="1" applyFill="1" applyBorder="1" applyAlignment="1">
      <alignment horizontal="right" vertical="center"/>
    </xf>
    <xf numFmtId="3" fontId="27" fillId="22" borderId="40" xfId="0" applyNumberFormat="1" applyFont="1" applyFill="1" applyBorder="1" applyAlignment="1">
      <alignment horizontal="right" vertical="center"/>
    </xf>
    <xf numFmtId="2" fontId="17" fillId="5" borderId="5" xfId="0" applyNumberFormat="1" applyFont="1" applyFill="1" applyBorder="1" applyAlignment="1">
      <alignment horizontal="center" vertical="center"/>
    </xf>
    <xf numFmtId="1" fontId="17" fillId="5" borderId="5" xfId="0" applyNumberFormat="1" applyFont="1" applyFill="1" applyBorder="1" applyAlignment="1">
      <alignment horizontal="center" vertical="center"/>
    </xf>
    <xf numFmtId="2" fontId="17" fillId="5" borderId="27" xfId="0" applyNumberFormat="1" applyFont="1" applyFill="1" applyBorder="1" applyAlignment="1">
      <alignment horizontal="center" vertical="center"/>
    </xf>
    <xf numFmtId="2" fontId="8" fillId="4" borderId="9"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2" fontId="8" fillId="4" borderId="9" xfId="0" applyNumberFormat="1" applyFont="1" applyFill="1" applyBorder="1" applyAlignment="1">
      <alignment horizontal="center" vertical="center" wrapText="1"/>
    </xf>
    <xf numFmtId="2" fontId="8" fillId="18" borderId="3" xfId="1" applyNumberFormat="1" applyFont="1" applyFill="1" applyBorder="1" applyAlignment="1">
      <alignment horizontal="center" vertical="center"/>
    </xf>
    <xf numFmtId="0" fontId="17" fillId="5" borderId="3" xfId="0" applyFont="1" applyFill="1" applyBorder="1" applyAlignment="1">
      <alignment horizontal="center" vertical="center"/>
    </xf>
    <xf numFmtId="2" fontId="17" fillId="18" borderId="23" xfId="1" applyNumberFormat="1" applyFont="1" applyFill="1" applyBorder="1" applyAlignment="1">
      <alignment horizontal="center" vertical="center"/>
    </xf>
    <xf numFmtId="2" fontId="17" fillId="19" borderId="11" xfId="0" applyNumberFormat="1" applyFont="1" applyFill="1" applyBorder="1" applyAlignment="1">
      <alignment horizontal="center" vertical="center"/>
    </xf>
    <xf numFmtId="49" fontId="17" fillId="19" borderId="11" xfId="0" applyNumberFormat="1" applyFont="1" applyFill="1" applyBorder="1" applyAlignment="1">
      <alignment horizontal="center" vertical="center"/>
    </xf>
    <xf numFmtId="2" fontId="17" fillId="19" borderId="12" xfId="0" applyNumberFormat="1" applyFont="1" applyFill="1" applyBorder="1" applyAlignment="1">
      <alignment horizontal="center" vertical="center"/>
    </xf>
    <xf numFmtId="2" fontId="8" fillId="5" borderId="3" xfId="0" applyNumberFormat="1" applyFont="1" applyFill="1" applyBorder="1" applyAlignment="1">
      <alignment horizontal="center" vertical="center"/>
    </xf>
    <xf numFmtId="2" fontId="17" fillId="5" borderId="23"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2" fontId="8" fillId="0" borderId="9" xfId="0" applyNumberFormat="1" applyFont="1" applyBorder="1" applyAlignment="1">
      <alignment horizontal="center" vertical="center"/>
    </xf>
    <xf numFmtId="4" fontId="8" fillId="0" borderId="9" xfId="0" applyNumberFormat="1" applyFont="1" applyBorder="1" applyAlignment="1">
      <alignment horizontal="center" vertical="center"/>
    </xf>
    <xf numFmtId="0" fontId="8" fillId="0" borderId="9" xfId="0" applyFont="1" applyBorder="1" applyAlignment="1">
      <alignment horizontal="center" vertical="center"/>
    </xf>
    <xf numFmtId="2" fontId="17" fillId="20" borderId="51" xfId="1" applyNumberFormat="1" applyFont="1" applyFill="1" applyBorder="1" applyAlignment="1">
      <alignment horizontal="center" vertical="center"/>
    </xf>
    <xf numFmtId="4" fontId="17" fillId="20" borderId="51" xfId="1" applyNumberFormat="1" applyFont="1" applyFill="1" applyBorder="1" applyAlignment="1">
      <alignment horizontal="center" vertical="center"/>
    </xf>
    <xf numFmtId="2" fontId="17" fillId="20" borderId="52" xfId="1" applyNumberFormat="1" applyFont="1" applyFill="1" applyBorder="1" applyAlignment="1">
      <alignment horizontal="center" vertical="center"/>
    </xf>
    <xf numFmtId="2" fontId="8" fillId="0" borderId="0" xfId="1" applyNumberFormat="1" applyFont="1" applyBorder="1" applyAlignment="1">
      <alignment horizontal="center" vertical="center"/>
    </xf>
    <xf numFmtId="0" fontId="8" fillId="0" borderId="0" xfId="0" applyFont="1" applyBorder="1" applyAlignment="1">
      <alignment horizontal="center" vertical="center"/>
    </xf>
    <xf numFmtId="2" fontId="8" fillId="0" borderId="1" xfId="0" quotePrefix="1" applyNumberFormat="1" applyFont="1" applyBorder="1" applyAlignment="1">
      <alignment horizontal="center" vertical="center"/>
    </xf>
    <xf numFmtId="0" fontId="8" fillId="0" borderId="9" xfId="0" applyFont="1" applyFill="1" applyBorder="1" applyAlignment="1">
      <alignment horizontal="center" vertical="center"/>
    </xf>
    <xf numFmtId="2" fontId="33" fillId="0" borderId="1" xfId="6" applyNumberFormat="1" applyFont="1" applyFill="1" applyBorder="1" applyAlignment="1">
      <alignment horizontal="center" vertical="center"/>
    </xf>
    <xf numFmtId="2" fontId="33" fillId="4"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xf>
    <xf numFmtId="1" fontId="33" fillId="4" borderId="1" xfId="0" applyNumberFormat="1" applyFont="1" applyFill="1" applyBorder="1" applyAlignment="1">
      <alignment horizontal="center" vertical="center"/>
    </xf>
    <xf numFmtId="1" fontId="33" fillId="4" borderId="19" xfId="0" applyNumberFormat="1" applyFont="1" applyFill="1" applyBorder="1" applyAlignment="1">
      <alignment horizontal="center" vertical="center"/>
    </xf>
    <xf numFmtId="4" fontId="33" fillId="0" borderId="19" xfId="0" applyNumberFormat="1" applyFont="1" applyBorder="1" applyAlignment="1">
      <alignment horizontal="center" vertical="center"/>
    </xf>
    <xf numFmtId="4" fontId="33" fillId="4" borderId="21" xfId="0" applyNumberFormat="1" applyFont="1" applyFill="1" applyBorder="1" applyAlignment="1">
      <alignment horizontal="center" vertical="center"/>
    </xf>
    <xf numFmtId="1" fontId="33" fillId="0" borderId="33" xfId="0" applyNumberFormat="1" applyFont="1" applyFill="1" applyBorder="1" applyAlignment="1">
      <alignment horizontal="center" vertical="center"/>
    </xf>
    <xf numFmtId="4" fontId="33" fillId="0" borderId="33" xfId="0" applyNumberFormat="1" applyFont="1" applyFill="1" applyBorder="1" applyAlignment="1">
      <alignment horizontal="center" vertical="center"/>
    </xf>
    <xf numFmtId="1" fontId="33" fillId="0" borderId="19" xfId="0" applyNumberFormat="1" applyFont="1" applyFill="1" applyBorder="1" applyAlignment="1">
      <alignment horizontal="center" vertical="center"/>
    </xf>
    <xf numFmtId="4" fontId="33" fillId="0" borderId="19" xfId="0" applyNumberFormat="1" applyFont="1" applyFill="1" applyBorder="1" applyAlignment="1">
      <alignment horizontal="center" vertical="center"/>
    </xf>
    <xf numFmtId="1" fontId="33" fillId="0" borderId="56" xfId="0" applyNumberFormat="1" applyFont="1" applyFill="1" applyBorder="1" applyAlignment="1">
      <alignment horizontal="center" vertical="center"/>
    </xf>
    <xf numFmtId="4" fontId="33" fillId="0" borderId="56" xfId="0" applyNumberFormat="1" applyFont="1" applyFill="1" applyBorder="1" applyAlignment="1">
      <alignment horizontal="center" vertical="center"/>
    </xf>
    <xf numFmtId="0" fontId="33" fillId="0" borderId="2" xfId="0" applyFont="1" applyFill="1" applyBorder="1" applyAlignment="1">
      <alignment horizontal="center" vertical="center"/>
    </xf>
    <xf numFmtId="3" fontId="8" fillId="0" borderId="1" xfId="0" applyNumberFormat="1" applyFont="1" applyBorder="1" applyAlignment="1">
      <alignment horizontal="center" vertical="center"/>
    </xf>
    <xf numFmtId="4" fontId="8" fillId="0" borderId="2" xfId="0" applyNumberFormat="1" applyFont="1" applyFill="1" applyBorder="1" applyAlignment="1">
      <alignment horizontal="center" vertical="center"/>
    </xf>
    <xf numFmtId="4" fontId="8" fillId="0" borderId="2" xfId="0" applyNumberFormat="1" applyFont="1" applyBorder="1" applyAlignment="1">
      <alignment horizontal="center" vertical="center"/>
    </xf>
    <xf numFmtId="0" fontId="17" fillId="3" borderId="41" xfId="0" applyFont="1" applyFill="1" applyBorder="1" applyAlignment="1">
      <alignment horizontal="center" vertical="center" wrapText="1"/>
    </xf>
    <xf numFmtId="0" fontId="17" fillId="18" borderId="45" xfId="1" applyFont="1" applyFill="1" applyBorder="1" applyAlignment="1">
      <alignment vertical="center"/>
    </xf>
    <xf numFmtId="0" fontId="17" fillId="5" borderId="5" xfId="0" applyFont="1" applyFill="1" applyBorder="1" applyAlignment="1">
      <alignment horizontal="center" vertical="center"/>
    </xf>
    <xf numFmtId="3" fontId="17" fillId="5" borderId="5" xfId="0" applyNumberFormat="1" applyFont="1" applyFill="1" applyBorder="1" applyAlignment="1">
      <alignment horizontal="right" vertical="center"/>
    </xf>
    <xf numFmtId="3" fontId="17" fillId="5" borderId="27" xfId="0" applyNumberFormat="1" applyFont="1" applyFill="1" applyBorder="1" applyAlignment="1">
      <alignment horizontal="right" vertical="center"/>
    </xf>
    <xf numFmtId="0" fontId="8" fillId="4" borderId="16" xfId="0" applyFont="1" applyFill="1" applyBorder="1" applyAlignment="1">
      <alignment vertical="center" wrapText="1"/>
    </xf>
    <xf numFmtId="49" fontId="8" fillId="4" borderId="1"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4" fontId="8" fillId="0" borderId="46" xfId="1" applyNumberFormat="1" applyFont="1" applyFill="1" applyBorder="1" applyAlignment="1">
      <alignment horizontal="center" vertical="center"/>
    </xf>
    <xf numFmtId="49" fontId="8" fillId="4" borderId="1" xfId="0" applyNumberFormat="1" applyFont="1" applyFill="1" applyBorder="1" applyAlignment="1">
      <alignment horizontal="center" vertical="center" wrapText="1"/>
    </xf>
    <xf numFmtId="0" fontId="8" fillId="0" borderId="0" xfId="0" applyFont="1" applyAlignment="1">
      <alignment vertical="center" wrapText="1"/>
    </xf>
    <xf numFmtId="0" fontId="17" fillId="18" borderId="22" xfId="1" applyFont="1" applyFill="1" applyBorder="1" applyAlignment="1">
      <alignment vertical="center"/>
    </xf>
    <xf numFmtId="0" fontId="17" fillId="18" borderId="3" xfId="1" applyFont="1" applyFill="1" applyBorder="1" applyAlignment="1">
      <alignment horizontal="center" vertical="center"/>
    </xf>
    <xf numFmtId="1" fontId="17" fillId="18" borderId="3" xfId="1" applyNumberFormat="1" applyFont="1" applyFill="1" applyBorder="1" applyAlignment="1">
      <alignment horizontal="center" vertical="center"/>
    </xf>
    <xf numFmtId="0" fontId="8" fillId="18" borderId="47" xfId="1" applyFont="1" applyFill="1" applyBorder="1" applyAlignment="1">
      <alignment horizontal="center" vertical="center"/>
    </xf>
    <xf numFmtId="0" fontId="8" fillId="18" borderId="48" xfId="1" applyFont="1" applyFill="1" applyBorder="1" applyAlignment="1">
      <alignment horizontal="center" vertical="center"/>
    </xf>
    <xf numFmtId="3" fontId="17" fillId="5" borderId="3" xfId="0" applyNumberFormat="1" applyFont="1" applyFill="1" applyBorder="1" applyAlignment="1">
      <alignment horizontal="right" vertical="center"/>
    </xf>
    <xf numFmtId="3" fontId="17" fillId="5" borderId="23" xfId="0" applyNumberFormat="1" applyFont="1" applyFill="1" applyBorder="1" applyAlignment="1">
      <alignment horizontal="right" vertical="center"/>
    </xf>
    <xf numFmtId="0" fontId="54" fillId="4" borderId="16" xfId="0" applyFont="1" applyFill="1" applyBorder="1" applyAlignment="1">
      <alignment vertical="center" wrapText="1"/>
    </xf>
    <xf numFmtId="49" fontId="54" fillId="4" borderId="1" xfId="0" applyNumberFormat="1" applyFont="1" applyFill="1" applyBorder="1" applyAlignment="1">
      <alignment horizontal="center" vertical="center"/>
    </xf>
    <xf numFmtId="1" fontId="54" fillId="16"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17" fillId="19" borderId="10" xfId="0" applyFont="1" applyFill="1" applyBorder="1" applyAlignment="1">
      <alignment horizontal="right" vertical="center"/>
    </xf>
    <xf numFmtId="1" fontId="17" fillId="19" borderId="11" xfId="0" applyNumberFormat="1" applyFont="1" applyFill="1" applyBorder="1" applyAlignment="1">
      <alignment horizontal="center" vertical="center"/>
    </xf>
    <xf numFmtId="49" fontId="17" fillId="19" borderId="49" xfId="0" applyNumberFormat="1" applyFont="1" applyFill="1" applyBorder="1" applyAlignment="1">
      <alignment horizontal="center" vertical="center"/>
    </xf>
    <xf numFmtId="3" fontId="17" fillId="19" borderId="11" xfId="0" applyNumberFormat="1" applyFont="1" applyFill="1" applyBorder="1" applyAlignment="1">
      <alignment horizontal="right" vertical="center"/>
    </xf>
    <xf numFmtId="3" fontId="17" fillId="19" borderId="12" xfId="0" applyNumberFormat="1" applyFont="1" applyFill="1" applyBorder="1" applyAlignment="1">
      <alignment horizontal="right" vertical="center"/>
    </xf>
    <xf numFmtId="1" fontId="17" fillId="5" borderId="3" xfId="0" applyNumberFormat="1" applyFont="1" applyFill="1" applyBorder="1" applyAlignment="1">
      <alignment horizontal="center" vertical="center"/>
    </xf>
    <xf numFmtId="0" fontId="8" fillId="18" borderId="22" xfId="1" applyFont="1" applyFill="1" applyBorder="1" applyAlignment="1">
      <alignment horizontal="center" vertical="center"/>
    </xf>
    <xf numFmtId="0" fontId="8" fillId="18" borderId="3" xfId="1" applyFont="1" applyFill="1" applyBorder="1" applyAlignment="1">
      <alignment horizontal="center" vertical="center"/>
    </xf>
    <xf numFmtId="49" fontId="8" fillId="0" borderId="16" xfId="0" applyNumberFormat="1" applyFont="1" applyBorder="1" applyAlignment="1">
      <alignment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17" fillId="20" borderId="50" xfId="1" applyFont="1" applyFill="1" applyBorder="1" applyAlignment="1">
      <alignment horizontal="right" vertical="center"/>
    </xf>
    <xf numFmtId="49" fontId="17" fillId="20" borderId="51" xfId="1" applyNumberFormat="1" applyFont="1" applyFill="1" applyBorder="1" applyAlignment="1">
      <alignment horizontal="center" vertical="center"/>
    </xf>
    <xf numFmtId="1" fontId="17" fillId="20" borderId="51" xfId="1" applyNumberFormat="1" applyFont="1" applyFill="1" applyBorder="1" applyAlignment="1">
      <alignment horizontal="center" vertical="center"/>
    </xf>
    <xf numFmtId="49" fontId="17" fillId="19" borderId="10" xfId="0" applyNumberFormat="1" applyFont="1" applyFill="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center" vertical="center"/>
    </xf>
    <xf numFmtId="1" fontId="8" fillId="0" borderId="0" xfId="1" applyNumberFormat="1" applyFont="1" applyBorder="1" applyAlignment="1">
      <alignment horizontal="center" vertical="center"/>
    </xf>
    <xf numFmtId="0" fontId="8" fillId="4" borderId="16" xfId="4" applyNumberFormat="1" applyFont="1" applyFill="1" applyBorder="1" applyAlignment="1">
      <alignment horizontal="left" vertical="center"/>
    </xf>
    <xf numFmtId="0" fontId="8" fillId="4" borderId="16" xfId="4" applyNumberFormat="1" applyFont="1" applyFill="1" applyBorder="1" applyAlignment="1">
      <alignment horizontal="left"/>
    </xf>
    <xf numFmtId="0" fontId="8" fillId="4" borderId="16" xfId="4" applyNumberFormat="1" applyFont="1" applyFill="1" applyBorder="1" applyAlignment="1">
      <alignment horizontal="left" vertical="center" wrapText="1"/>
    </xf>
    <xf numFmtId="0" fontId="8" fillId="0" borderId="16" xfId="4" applyNumberFormat="1" applyFont="1" applyFill="1" applyBorder="1" applyAlignment="1">
      <alignment horizontal="left" vertical="center"/>
    </xf>
    <xf numFmtId="0" fontId="8" fillId="0" borderId="1" xfId="0" applyFont="1" applyFill="1" applyBorder="1" applyAlignment="1">
      <alignment vertical="center" wrapText="1"/>
    </xf>
    <xf numFmtId="49" fontId="8" fillId="0" borderId="1" xfId="1" applyNumberFormat="1" applyFont="1" applyBorder="1" applyAlignment="1">
      <alignment horizontal="center" vertical="center"/>
    </xf>
    <xf numFmtId="1" fontId="8" fillId="21" borderId="1"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56" fillId="0" borderId="0" xfId="0" applyFont="1" applyAlignment="1">
      <alignment horizontal="center"/>
    </xf>
    <xf numFmtId="0" fontId="41" fillId="0" borderId="0" xfId="7" applyAlignment="1"/>
    <xf numFmtId="0" fontId="57" fillId="0" borderId="56" xfId="0" applyFont="1" applyBorder="1" applyAlignment="1">
      <alignment vertical="center"/>
    </xf>
    <xf numFmtId="0" fontId="57" fillId="0" borderId="56" xfId="0" applyFont="1" applyBorder="1" applyAlignment="1">
      <alignment horizontal="center" vertical="center"/>
    </xf>
    <xf numFmtId="0" fontId="58" fillId="0" borderId="56" xfId="0" applyFont="1" applyBorder="1" applyAlignment="1">
      <alignment horizontal="center" vertical="center" wrapText="1"/>
    </xf>
    <xf numFmtId="0" fontId="56" fillId="0" borderId="25" xfId="0" applyFont="1" applyBorder="1" applyAlignment="1">
      <alignment horizontal="center"/>
    </xf>
    <xf numFmtId="0" fontId="59" fillId="0" borderId="25" xfId="0" applyFont="1" applyBorder="1" applyAlignment="1">
      <alignment vertical="center"/>
    </xf>
    <xf numFmtId="3" fontId="60" fillId="0" borderId="25" xfId="0" applyNumberFormat="1" applyFont="1" applyBorder="1" applyAlignment="1">
      <alignment horizontal="center" vertical="center"/>
    </xf>
    <xf numFmtId="0" fontId="56" fillId="0" borderId="1" xfId="0" applyFont="1" applyBorder="1" applyAlignment="1">
      <alignment horizontal="center"/>
    </xf>
    <xf numFmtId="0" fontId="59" fillId="0" borderId="1" xfId="0" applyFont="1" applyBorder="1" applyAlignment="1">
      <alignment vertical="center"/>
    </xf>
    <xf numFmtId="3" fontId="60" fillId="0" borderId="1" xfId="0" applyNumberFormat="1" applyFont="1" applyBorder="1" applyAlignment="1">
      <alignment horizontal="center" vertical="center"/>
    </xf>
    <xf numFmtId="3" fontId="30" fillId="0" borderId="0" xfId="0" applyNumberFormat="1" applyFont="1" applyAlignment="1">
      <alignment horizontal="center"/>
    </xf>
    <xf numFmtId="0" fontId="61" fillId="0" borderId="0" xfId="0" applyFont="1" applyAlignment="1">
      <alignment horizontal="center"/>
    </xf>
    <xf numFmtId="3" fontId="61" fillId="0" borderId="0" xfId="0" applyNumberFormat="1" applyFont="1" applyAlignment="1">
      <alignment horizontal="center"/>
    </xf>
    <xf numFmtId="3" fontId="0" fillId="0" borderId="0" xfId="0" applyNumberFormat="1"/>
    <xf numFmtId="14" fontId="15" fillId="0" borderId="0" xfId="0" applyNumberFormat="1" applyFont="1"/>
    <xf numFmtId="0" fontId="62" fillId="0" borderId="0" xfId="0" applyFont="1" applyAlignment="1">
      <alignment horizontal="center"/>
    </xf>
    <xf numFmtId="0" fontId="62" fillId="0" borderId="0" xfId="0" applyFont="1" applyFill="1"/>
    <xf numFmtId="0" fontId="63" fillId="0" borderId="0" xfId="0" applyFont="1"/>
    <xf numFmtId="0" fontId="18" fillId="0" borderId="0" xfId="0" applyFont="1"/>
    <xf numFmtId="0" fontId="15" fillId="0" borderId="0" xfId="0" applyFont="1"/>
    <xf numFmtId="0" fontId="18" fillId="0" borderId="0" xfId="0" applyFont="1" applyBorder="1" applyAlignment="1">
      <alignmen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23" borderId="1" xfId="0" applyFont="1" applyFill="1" applyBorder="1" applyAlignment="1">
      <alignment horizontal="center" vertical="center" wrapText="1"/>
    </xf>
    <xf numFmtId="0" fontId="18" fillId="24" borderId="1" xfId="0" applyFont="1" applyFill="1" applyBorder="1"/>
    <xf numFmtId="0" fontId="18" fillId="24" borderId="1" xfId="0" applyFont="1" applyFill="1" applyBorder="1" applyAlignment="1">
      <alignment vertical="center" wrapText="1"/>
    </xf>
    <xf numFmtId="2" fontId="18" fillId="24" borderId="1" xfId="0" applyNumberFormat="1" applyFont="1" applyFill="1" applyBorder="1" applyAlignment="1">
      <alignment horizontal="center" vertical="center"/>
    </xf>
    <xf numFmtId="0" fontId="18" fillId="9" borderId="1" xfId="0" applyFont="1" applyFill="1" applyBorder="1" applyAlignment="1">
      <alignment horizontal="center" vertical="center"/>
    </xf>
    <xf numFmtId="0" fontId="18" fillId="9" borderId="1" xfId="0" applyFont="1" applyFill="1" applyBorder="1" applyAlignment="1">
      <alignment vertical="center" wrapText="1"/>
    </xf>
    <xf numFmtId="2" fontId="18" fillId="9"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2" fontId="18"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2" fontId="20" fillId="0" borderId="1" xfId="0" applyNumberFormat="1" applyFont="1" applyBorder="1" applyAlignment="1">
      <alignment horizontal="center" vertical="center"/>
    </xf>
    <xf numFmtId="0" fontId="15" fillId="0" borderId="1" xfId="0" applyFont="1" applyBorder="1" applyAlignment="1">
      <alignment vertical="center" wrapText="1"/>
    </xf>
    <xf numFmtId="0" fontId="15" fillId="0" borderId="1" xfId="0" applyFont="1" applyFill="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Fill="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vertical="center" wrapText="1"/>
    </xf>
    <xf numFmtId="0" fontId="18" fillId="25" borderId="1" xfId="0" applyFont="1" applyFill="1" applyBorder="1" applyAlignment="1">
      <alignment horizontal="center" wrapText="1"/>
    </xf>
    <xf numFmtId="3" fontId="18" fillId="25" borderId="1" xfId="0" applyNumberFormat="1" applyFont="1" applyFill="1" applyBorder="1" applyAlignment="1">
      <alignment horizontal="center" wrapText="1"/>
    </xf>
    <xf numFmtId="2" fontId="18" fillId="25" borderId="1" xfId="0" applyNumberFormat="1" applyFont="1" applyFill="1" applyBorder="1" applyAlignment="1">
      <alignment horizontal="center" wrapText="1"/>
    </xf>
    <xf numFmtId="0" fontId="65" fillId="0" borderId="0" xfId="0" applyFont="1" applyFill="1" applyAlignment="1">
      <alignment wrapText="1"/>
    </xf>
    <xf numFmtId="0" fontId="66" fillId="0" borderId="0" xfId="0" applyFont="1"/>
    <xf numFmtId="0" fontId="67" fillId="0" borderId="0" xfId="0" applyFont="1"/>
    <xf numFmtId="0" fontId="67" fillId="0" borderId="0" xfId="0" applyFont="1" applyFill="1"/>
    <xf numFmtId="0" fontId="23" fillId="0" borderId="0" xfId="0" applyFont="1" applyAlignment="1">
      <alignment horizontal="center" vertical="center"/>
    </xf>
    <xf numFmtId="1" fontId="68" fillId="0" borderId="28" xfId="0" applyNumberFormat="1" applyFont="1" applyBorder="1" applyAlignment="1">
      <alignment horizontal="center" vertical="center"/>
    </xf>
    <xf numFmtId="1" fontId="68" fillId="0" borderId="67" xfId="0" applyNumberFormat="1" applyFont="1" applyBorder="1" applyAlignment="1">
      <alignment horizontal="center" vertical="center"/>
    </xf>
    <xf numFmtId="1" fontId="68" fillId="0" borderId="14" xfId="0" applyNumberFormat="1" applyFont="1" applyBorder="1" applyAlignment="1">
      <alignment horizontal="center" vertical="center"/>
    </xf>
    <xf numFmtId="1" fontId="68" fillId="0" borderId="15" xfId="0" applyNumberFormat="1" applyFont="1" applyBorder="1" applyAlignment="1">
      <alignment horizontal="center" vertical="center"/>
    </xf>
    <xf numFmtId="1" fontId="67" fillId="0" borderId="60" xfId="0" applyNumberFormat="1" applyFont="1" applyBorder="1" applyAlignment="1">
      <alignment horizontal="center" vertical="center"/>
    </xf>
    <xf numFmtId="1" fontId="68" fillId="0" borderId="0" xfId="0" applyNumberFormat="1" applyFont="1" applyAlignment="1">
      <alignment horizontal="center" vertical="center"/>
    </xf>
    <xf numFmtId="1" fontId="66" fillId="5" borderId="61" xfId="0" applyNumberFormat="1" applyFont="1" applyFill="1" applyBorder="1" applyAlignment="1">
      <alignment horizontal="center" vertical="center"/>
    </xf>
    <xf numFmtId="0" fontId="67" fillId="5" borderId="4" xfId="0" applyFont="1" applyFill="1" applyBorder="1" applyAlignment="1">
      <alignment vertical="center" wrapText="1"/>
    </xf>
    <xf numFmtId="0" fontId="67" fillId="5" borderId="25" xfId="0" applyFont="1" applyFill="1" applyBorder="1" applyAlignment="1">
      <alignment vertical="center" wrapText="1"/>
    </xf>
    <xf numFmtId="0" fontId="67" fillId="5" borderId="9" xfId="0" applyFont="1" applyFill="1" applyBorder="1" applyAlignment="1">
      <alignment vertical="center" wrapText="1"/>
    </xf>
    <xf numFmtId="0" fontId="67" fillId="5" borderId="61" xfId="0" applyFont="1" applyFill="1" applyBorder="1" applyAlignment="1">
      <alignment vertical="center" wrapText="1"/>
    </xf>
    <xf numFmtId="1" fontId="66" fillId="0" borderId="0" xfId="0" applyNumberFormat="1" applyFont="1" applyAlignment="1">
      <alignment horizontal="center" vertical="center"/>
    </xf>
    <xf numFmtId="1" fontId="23" fillId="0" borderId="0" xfId="0" applyNumberFormat="1" applyFont="1" applyAlignment="1">
      <alignment horizontal="center" vertical="center"/>
    </xf>
    <xf numFmtId="0" fontId="67" fillId="4" borderId="22" xfId="0" applyFont="1" applyFill="1" applyBorder="1" applyAlignment="1">
      <alignment horizontal="center" vertical="center"/>
    </xf>
    <xf numFmtId="0" fontId="66" fillId="0" borderId="0" xfId="0" applyFont="1" applyFill="1"/>
    <xf numFmtId="0" fontId="67" fillId="4" borderId="22" xfId="0" applyFont="1" applyFill="1" applyBorder="1" applyAlignment="1">
      <alignment horizontal="center" vertical="center" wrapText="1"/>
    </xf>
    <xf numFmtId="4" fontId="67" fillId="5" borderId="65" xfId="0" applyNumberFormat="1" applyFont="1" applyFill="1" applyBorder="1" applyAlignment="1">
      <alignment horizontal="center" vertical="center"/>
    </xf>
    <xf numFmtId="0" fontId="67" fillId="4" borderId="0" xfId="0" applyFont="1" applyFill="1"/>
    <xf numFmtId="0" fontId="66" fillId="4" borderId="0" xfId="0" applyFont="1" applyFill="1"/>
    <xf numFmtId="0" fontId="43" fillId="26" borderId="22" xfId="0" applyFont="1" applyFill="1" applyBorder="1" applyAlignment="1">
      <alignment horizontal="center" vertical="center" wrapText="1"/>
    </xf>
    <xf numFmtId="0" fontId="43" fillId="0" borderId="0" xfId="0" applyFont="1"/>
    <xf numFmtId="0" fontId="43" fillId="4" borderId="0" xfId="0" applyFont="1" applyFill="1"/>
    <xf numFmtId="3" fontId="23" fillId="0" borderId="0" xfId="0" applyNumberFormat="1" applyFont="1" applyFill="1" applyBorder="1" applyAlignment="1">
      <alignment wrapText="1"/>
    </xf>
    <xf numFmtId="0" fontId="15" fillId="0" borderId="0" xfId="0" applyFont="1" applyFill="1" applyBorder="1" applyAlignment="1">
      <alignment wrapText="1"/>
    </xf>
    <xf numFmtId="0" fontId="64" fillId="0" borderId="0" xfId="0" applyFont="1" applyFill="1" applyBorder="1" applyAlignment="1">
      <alignment wrapText="1"/>
    </xf>
    <xf numFmtId="0" fontId="45" fillId="0" borderId="0" xfId="0" applyFont="1" applyFill="1" applyBorder="1" applyAlignment="1">
      <alignment wrapText="1"/>
    </xf>
    <xf numFmtId="0" fontId="55" fillId="0" borderId="0" xfId="0" applyFont="1" applyFill="1" applyBorder="1" applyAlignment="1">
      <alignment wrapText="1"/>
    </xf>
    <xf numFmtId="0" fontId="64" fillId="0" borderId="73" xfId="0" applyFont="1" applyFill="1" applyBorder="1" applyAlignment="1">
      <alignment wrapText="1"/>
    </xf>
    <xf numFmtId="0" fontId="55" fillId="0" borderId="73" xfId="0" applyFont="1" applyFill="1" applyBorder="1" applyAlignment="1">
      <alignment wrapText="1"/>
    </xf>
    <xf numFmtId="0" fontId="24" fillId="0" borderId="0" xfId="0" applyFont="1" applyFill="1" applyBorder="1" applyAlignment="1">
      <alignment wrapText="1"/>
    </xf>
    <xf numFmtId="3" fontId="18" fillId="0"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0" fontId="20" fillId="0" borderId="1" xfId="0" applyFont="1" applyFill="1" applyBorder="1" applyAlignment="1">
      <alignment wrapText="1"/>
    </xf>
    <xf numFmtId="3" fontId="15" fillId="0" borderId="2" xfId="0" applyNumberFormat="1" applyFont="1" applyFill="1" applyBorder="1" applyAlignment="1">
      <alignment horizontal="right" vertical="center" wrapText="1"/>
    </xf>
    <xf numFmtId="0" fontId="18" fillId="0" borderId="1" xfId="0" applyFont="1" applyFill="1" applyBorder="1" applyAlignment="1">
      <alignment wrapText="1"/>
    </xf>
    <xf numFmtId="0" fontId="44" fillId="0" borderId="0" xfId="0" applyFont="1" applyFill="1" applyBorder="1" applyAlignment="1">
      <alignment horizontal="center" vertical="center" wrapText="1"/>
    </xf>
    <xf numFmtId="3" fontId="48" fillId="0" borderId="0" xfId="0" applyNumberFormat="1" applyFont="1" applyFill="1" applyAlignment="1">
      <alignment wrapText="1"/>
    </xf>
    <xf numFmtId="1" fontId="68" fillId="0" borderId="60" xfId="0" applyNumberFormat="1" applyFont="1" applyBorder="1" applyAlignment="1">
      <alignment horizontal="center" vertical="center"/>
    </xf>
    <xf numFmtId="4" fontId="18" fillId="5" borderId="65" xfId="0" applyNumberFormat="1" applyFont="1" applyFill="1" applyBorder="1" applyAlignment="1">
      <alignment horizontal="center" vertical="center"/>
    </xf>
    <xf numFmtId="4" fontId="67" fillId="4" borderId="65" xfId="0" applyNumberFormat="1" applyFont="1" applyFill="1" applyBorder="1" applyAlignment="1">
      <alignment horizontal="center"/>
    </xf>
    <xf numFmtId="4" fontId="67" fillId="0" borderId="65" xfId="0" applyNumberFormat="1" applyFont="1" applyFill="1" applyBorder="1" applyAlignment="1">
      <alignment horizontal="center"/>
    </xf>
    <xf numFmtId="4" fontId="43" fillId="26" borderId="65" xfId="0" applyNumberFormat="1" applyFont="1" applyFill="1" applyBorder="1" applyAlignment="1">
      <alignment horizontal="center" vertical="center"/>
    </xf>
    <xf numFmtId="0" fontId="72" fillId="0" borderId="0" xfId="0" applyFont="1"/>
    <xf numFmtId="0" fontId="67" fillId="16" borderId="69" xfId="0" applyFont="1" applyFill="1" applyBorder="1" applyAlignment="1">
      <alignment horizontal="center" wrapText="1" readingOrder="1"/>
    </xf>
    <xf numFmtId="0" fontId="73" fillId="0" borderId="0" xfId="0" applyFont="1"/>
    <xf numFmtId="0" fontId="67" fillId="26" borderId="43" xfId="0" applyFont="1" applyFill="1" applyBorder="1" applyAlignment="1">
      <alignment horizontal="center" vertical="center" wrapText="1" readingOrder="1"/>
    </xf>
    <xf numFmtId="4" fontId="67" fillId="26" borderId="41" xfId="0" applyNumberFormat="1" applyFont="1" applyFill="1" applyBorder="1" applyAlignment="1">
      <alignment horizontal="center" vertical="center" wrapText="1"/>
    </xf>
    <xf numFmtId="0" fontId="46" fillId="0" borderId="0" xfId="0" applyFont="1" applyFill="1" applyAlignment="1">
      <alignment horizontal="right" wrapText="1" indent="1"/>
    </xf>
    <xf numFmtId="0" fontId="0" fillId="0" borderId="0" xfId="0" applyAlignment="1"/>
    <xf numFmtId="0" fontId="6" fillId="0" borderId="0" xfId="0" applyFont="1" applyAlignment="1">
      <alignment wrapText="1"/>
    </xf>
    <xf numFmtId="0" fontId="60" fillId="0" borderId="0" xfId="0" applyFont="1"/>
    <xf numFmtId="0" fontId="75" fillId="0" borderId="0" xfId="0" applyFont="1" applyAlignment="1">
      <alignment vertical="center"/>
    </xf>
    <xf numFmtId="0" fontId="76" fillId="0" borderId="0" xfId="0" applyFont="1"/>
    <xf numFmtId="0" fontId="77" fillId="0" borderId="0" xfId="0" applyFont="1" applyAlignment="1">
      <alignment horizontal="justify" vertical="center"/>
    </xf>
    <xf numFmtId="0" fontId="31" fillId="0" borderId="0" xfId="0" applyFont="1" applyAlignment="1">
      <alignment horizontal="justify" vertical="center"/>
    </xf>
    <xf numFmtId="0" fontId="78" fillId="0" borderId="0" xfId="0" applyFont="1"/>
    <xf numFmtId="0" fontId="74" fillId="0" borderId="0" xfId="8"/>
    <xf numFmtId="0" fontId="2" fillId="0" borderId="0" xfId="0" applyFont="1" applyFill="1" applyBorder="1" applyAlignment="1">
      <alignment horizontal="center" vertical="center" wrapText="1"/>
    </xf>
    <xf numFmtId="0" fontId="6" fillId="0" borderId="0" xfId="7" applyFont="1" applyAlignment="1">
      <alignment horizontal="right" wrapText="1"/>
    </xf>
    <xf numFmtId="0" fontId="82" fillId="0" borderId="0" xfId="0" applyFont="1" applyAlignment="1">
      <alignment vertical="center" wrapText="1"/>
    </xf>
    <xf numFmtId="0" fontId="79" fillId="0" borderId="0" xfId="0" applyFont="1" applyAlignment="1">
      <alignment vertical="center" wrapText="1"/>
    </xf>
    <xf numFmtId="3" fontId="67" fillId="0" borderId="0" xfId="0" applyNumberFormat="1" applyFont="1"/>
    <xf numFmtId="4" fontId="66" fillId="0" borderId="0" xfId="0" applyNumberFormat="1" applyFont="1"/>
    <xf numFmtId="3" fontId="66" fillId="0" borderId="0" xfId="0" applyNumberFormat="1" applyFont="1"/>
    <xf numFmtId="3" fontId="47" fillId="4" borderId="1" xfId="0" applyNumberFormat="1" applyFont="1" applyFill="1" applyBorder="1" applyAlignment="1">
      <alignment horizontal="right" vertical="center" wrapText="1"/>
    </xf>
    <xf numFmtId="3" fontId="15" fillId="4" borderId="2" xfId="0" applyNumberFormat="1" applyFont="1" applyFill="1" applyBorder="1" applyAlignment="1">
      <alignment horizontal="right" vertical="center" wrapText="1"/>
    </xf>
    <xf numFmtId="3" fontId="18" fillId="4" borderId="1" xfId="0" applyNumberFormat="1" applyFont="1" applyFill="1" applyBorder="1" applyAlignment="1">
      <alignment horizontal="right" vertical="center" wrapText="1"/>
    </xf>
    <xf numFmtId="3" fontId="18" fillId="4" borderId="2" xfId="0" applyNumberFormat="1" applyFont="1" applyFill="1" applyBorder="1" applyAlignment="1">
      <alignment horizontal="right" vertical="center" wrapText="1"/>
    </xf>
    <xf numFmtId="3" fontId="45" fillId="4" borderId="1" xfId="0" applyNumberFormat="1" applyFont="1" applyFill="1" applyBorder="1" applyAlignment="1">
      <alignment vertical="center" wrapText="1"/>
    </xf>
    <xf numFmtId="3" fontId="45" fillId="4" borderId="2" xfId="0" applyNumberFormat="1" applyFont="1" applyFill="1" applyBorder="1" applyAlignment="1">
      <alignment vertical="center" wrapText="1"/>
    </xf>
    <xf numFmtId="3" fontId="20" fillId="4" borderId="1" xfId="0" applyNumberFormat="1" applyFont="1" applyFill="1" applyBorder="1" applyAlignment="1">
      <alignment horizontal="right" vertical="center" wrapText="1"/>
    </xf>
    <xf numFmtId="0" fontId="8" fillId="4" borderId="1" xfId="0" applyFont="1" applyFill="1" applyBorder="1" applyAlignment="1">
      <alignment horizontal="center"/>
    </xf>
    <xf numFmtId="0" fontId="8" fillId="4" borderId="16" xfId="0" applyFont="1" applyFill="1" applyBorder="1" applyAlignment="1">
      <alignment vertical="center"/>
    </xf>
    <xf numFmtId="4" fontId="67" fillId="5" borderId="66" xfId="0" applyNumberFormat="1" applyFont="1" applyFill="1" applyBorder="1" applyAlignment="1">
      <alignment horizontal="center" vertical="center" wrapText="1"/>
    </xf>
    <xf numFmtId="4" fontId="67" fillId="5" borderId="25" xfId="0" applyNumberFormat="1" applyFont="1" applyFill="1" applyBorder="1" applyAlignment="1">
      <alignment horizontal="center" vertical="center" wrapText="1"/>
    </xf>
    <xf numFmtId="4" fontId="67" fillId="5" borderId="27" xfId="0" applyNumberFormat="1" applyFont="1" applyFill="1" applyBorder="1" applyAlignment="1">
      <alignment horizontal="center" vertical="center" wrapText="1"/>
    </xf>
    <xf numFmtId="4" fontId="67" fillId="5" borderId="61" xfId="0" applyNumberFormat="1" applyFont="1" applyFill="1" applyBorder="1" applyAlignment="1">
      <alignment horizontal="center" vertical="center" wrapText="1"/>
    </xf>
    <xf numFmtId="4" fontId="67" fillId="4" borderId="4" xfId="0" applyNumberFormat="1" applyFont="1" applyFill="1" applyBorder="1" applyAlignment="1">
      <alignment horizontal="center" vertical="center"/>
    </xf>
    <xf numFmtId="4" fontId="67" fillId="4" borderId="1" xfId="0" applyNumberFormat="1" applyFont="1" applyFill="1" applyBorder="1" applyAlignment="1">
      <alignment horizontal="center" vertical="center" wrapText="1"/>
    </xf>
    <xf numFmtId="4" fontId="67" fillId="4" borderId="9" xfId="0" applyNumberFormat="1" applyFont="1" applyFill="1" applyBorder="1" applyAlignment="1">
      <alignment horizontal="center" vertical="center" wrapText="1"/>
    </xf>
    <xf numFmtId="4" fontId="67" fillId="4" borderId="65" xfId="0" applyNumberFormat="1" applyFont="1" applyFill="1" applyBorder="1" applyAlignment="1">
      <alignment horizontal="center" vertical="center" wrapText="1"/>
    </xf>
    <xf numFmtId="4" fontId="67" fillId="4" borderId="4" xfId="0" applyNumberFormat="1" applyFont="1" applyFill="1" applyBorder="1" applyAlignment="1">
      <alignment horizontal="center" vertical="center" wrapText="1"/>
    </xf>
    <xf numFmtId="4" fontId="67" fillId="5" borderId="4" xfId="0" applyNumberFormat="1" applyFont="1" applyFill="1" applyBorder="1" applyAlignment="1">
      <alignment horizontal="center" vertical="center" wrapText="1"/>
    </xf>
    <xf numFmtId="4" fontId="67" fillId="5" borderId="9" xfId="0" applyNumberFormat="1" applyFont="1" applyFill="1" applyBorder="1" applyAlignment="1">
      <alignment horizontal="center" vertical="center" wrapText="1"/>
    </xf>
    <xf numFmtId="4" fontId="67" fillId="4" borderId="25" xfId="0" applyNumberFormat="1" applyFont="1" applyFill="1" applyBorder="1" applyAlignment="1">
      <alignment horizontal="center" vertical="center" wrapText="1"/>
    </xf>
    <xf numFmtId="4" fontId="67" fillId="4" borderId="23" xfId="0" applyNumberFormat="1" applyFont="1" applyFill="1" applyBorder="1" applyAlignment="1">
      <alignment horizontal="center" vertical="center" wrapText="1"/>
    </xf>
    <xf numFmtId="4" fontId="43" fillId="26" borderId="4" xfId="0" applyNumberFormat="1" applyFont="1" applyFill="1" applyBorder="1" applyAlignment="1">
      <alignment horizontal="center" vertical="center"/>
    </xf>
    <xf numFmtId="4" fontId="43" fillId="26" borderId="1" xfId="0" applyNumberFormat="1" applyFont="1" applyFill="1" applyBorder="1" applyAlignment="1">
      <alignment horizontal="center" vertical="center"/>
    </xf>
    <xf numFmtId="4" fontId="67" fillId="26" borderId="65" xfId="0" applyNumberFormat="1" applyFont="1" applyFill="1" applyBorder="1" applyAlignment="1">
      <alignment horizontal="center" vertical="center"/>
    </xf>
    <xf numFmtId="4" fontId="67" fillId="16" borderId="72" xfId="0" applyNumberFormat="1" applyFont="1" applyFill="1" applyBorder="1" applyAlignment="1">
      <alignment horizontal="center" vertical="center" wrapText="1"/>
    </xf>
    <xf numFmtId="4" fontId="67" fillId="16" borderId="70" xfId="0" applyNumberFormat="1" applyFont="1" applyFill="1" applyBorder="1" applyAlignment="1">
      <alignment horizontal="center" vertical="center" wrapText="1"/>
    </xf>
    <xf numFmtId="4" fontId="67" fillId="16" borderId="33" xfId="0" applyNumberFormat="1" applyFont="1" applyFill="1" applyBorder="1" applyAlignment="1">
      <alignment horizontal="center" vertical="center" wrapText="1"/>
    </xf>
    <xf numFmtId="4" fontId="67" fillId="16" borderId="33" xfId="0" applyNumberFormat="1" applyFont="1" applyFill="1" applyBorder="1" applyAlignment="1">
      <alignment horizontal="right" vertical="center" wrapText="1" indent="1" readingOrder="1"/>
    </xf>
    <xf numFmtId="4" fontId="67" fillId="16" borderId="68" xfId="0" applyNumberFormat="1" applyFont="1" applyFill="1" applyBorder="1" applyAlignment="1">
      <alignment horizontal="center" vertical="center" wrapText="1" readingOrder="1"/>
    </xf>
    <xf numFmtId="4" fontId="67" fillId="16" borderId="64" xfId="0" applyNumberFormat="1" applyFont="1" applyFill="1" applyBorder="1" applyAlignment="1">
      <alignment horizontal="center" vertical="center" wrapText="1" readingOrder="1"/>
    </xf>
    <xf numFmtId="4" fontId="67" fillId="26" borderId="71" xfId="0" applyNumberFormat="1" applyFont="1" applyFill="1" applyBorder="1" applyAlignment="1">
      <alignment horizontal="center" vertical="center" wrapText="1" readingOrder="1"/>
    </xf>
    <xf numFmtId="3" fontId="45" fillId="0" borderId="1" xfId="0" applyNumberFormat="1" applyFont="1" applyFill="1" applyBorder="1" applyAlignment="1">
      <alignment horizontal="right" vertical="center" wrapText="1"/>
    </xf>
    <xf numFmtId="0" fontId="83" fillId="0" borderId="1" xfId="0" applyFont="1" applyFill="1" applyBorder="1" applyAlignment="1">
      <alignment wrapText="1"/>
    </xf>
    <xf numFmtId="0" fontId="84" fillId="0" borderId="1" xfId="0" applyFont="1" applyFill="1" applyBorder="1" applyAlignment="1">
      <alignment wrapText="1"/>
    </xf>
    <xf numFmtId="3" fontId="8" fillId="4" borderId="1"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49" fontId="71" fillId="3" borderId="4" xfId="0" applyNumberFormat="1" applyFont="1" applyFill="1" applyBorder="1" applyAlignment="1">
      <alignment horizontal="left" vertical="top" wrapText="1" indent="1"/>
    </xf>
    <xf numFmtId="49" fontId="71" fillId="3" borderId="1" xfId="0" applyNumberFormat="1" applyFont="1" applyFill="1" applyBorder="1" applyAlignment="1">
      <alignment horizontal="left" vertical="top" wrapText="1" indent="1"/>
    </xf>
    <xf numFmtId="2" fontId="18" fillId="3" borderId="4" xfId="0" applyNumberFormat="1" applyFont="1" applyFill="1" applyBorder="1" applyAlignment="1">
      <alignment horizontal="left" vertical="top" wrapText="1" indent="1"/>
    </xf>
    <xf numFmtId="2" fontId="18" fillId="3" borderId="1" xfId="0" applyNumberFormat="1" applyFont="1" applyFill="1" applyBorder="1" applyAlignment="1">
      <alignment horizontal="left" vertical="top" wrapText="1" indent="1"/>
    </xf>
    <xf numFmtId="49" fontId="47" fillId="3" borderId="4" xfId="0" applyNumberFormat="1" applyFont="1" applyFill="1" applyBorder="1" applyAlignment="1">
      <alignment horizontal="left" vertical="top" wrapText="1" indent="2"/>
    </xf>
    <xf numFmtId="49" fontId="47" fillId="3" borderId="1" xfId="0" applyNumberFormat="1" applyFont="1" applyFill="1" applyBorder="1" applyAlignment="1">
      <alignment horizontal="left" vertical="top" wrapText="1" indent="2"/>
    </xf>
    <xf numFmtId="0" fontId="43" fillId="0" borderId="0" xfId="4" applyFont="1" applyFill="1" applyAlignment="1">
      <alignment horizontal="center" vertical="top" wrapText="1"/>
    </xf>
    <xf numFmtId="0" fontId="18" fillId="0" borderId="0" xfId="4" applyFont="1" applyFill="1" applyBorder="1" applyAlignment="1">
      <alignment horizontal="center" vertical="center" wrapText="1"/>
    </xf>
    <xf numFmtId="2" fontId="20" fillId="3" borderId="4" xfId="0" applyNumberFormat="1" applyFont="1" applyFill="1" applyBorder="1" applyAlignment="1">
      <alignment horizontal="right" vertical="top" wrapText="1" indent="1"/>
    </xf>
    <xf numFmtId="2" fontId="20" fillId="3" borderId="1" xfId="0" applyNumberFormat="1" applyFont="1" applyFill="1" applyBorder="1" applyAlignment="1">
      <alignment horizontal="right" vertical="top" wrapText="1" indent="1"/>
    </xf>
    <xf numFmtId="49" fontId="45" fillId="3" borderId="4" xfId="0" applyNumberFormat="1" applyFont="1" applyFill="1" applyBorder="1" applyAlignment="1">
      <alignment horizontal="right" vertical="top" wrapText="1" indent="2"/>
    </xf>
    <xf numFmtId="49" fontId="45" fillId="3" borderId="1" xfId="0" applyNumberFormat="1" applyFont="1" applyFill="1" applyBorder="1" applyAlignment="1">
      <alignment horizontal="right" vertical="top" wrapText="1" indent="2"/>
    </xf>
    <xf numFmtId="2" fontId="71" fillId="3" borderId="4" xfId="0" applyNumberFormat="1" applyFont="1" applyFill="1" applyBorder="1" applyAlignment="1">
      <alignment horizontal="left" vertical="top" wrapText="1" indent="1"/>
    </xf>
    <xf numFmtId="2" fontId="71" fillId="3" borderId="1" xfId="0" applyNumberFormat="1" applyFont="1" applyFill="1" applyBorder="1" applyAlignment="1">
      <alignment horizontal="left" vertical="top" wrapText="1" indent="1"/>
    </xf>
    <xf numFmtId="0" fontId="33" fillId="0" borderId="0" xfId="0" applyFont="1" applyAlignment="1">
      <alignment horizontal="left" vertical="center"/>
    </xf>
    <xf numFmtId="49" fontId="28" fillId="0" borderId="33" xfId="0" applyNumberFormat="1" applyFont="1" applyBorder="1" applyAlignment="1">
      <alignment horizontal="left" vertical="top" wrapText="1"/>
    </xf>
    <xf numFmtId="0" fontId="44" fillId="3" borderId="1" xfId="0" applyFont="1" applyFill="1" applyBorder="1" applyAlignment="1">
      <alignment horizontal="left" wrapText="1"/>
    </xf>
    <xf numFmtId="0" fontId="18"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2" fontId="20" fillId="3" borderId="4" xfId="0" applyNumberFormat="1" applyFont="1" applyFill="1" applyBorder="1" applyAlignment="1">
      <alignment horizontal="left" vertical="top" wrapText="1" indent="1"/>
    </xf>
    <xf numFmtId="2" fontId="20" fillId="3" borderId="1" xfId="0" applyNumberFormat="1" applyFont="1" applyFill="1" applyBorder="1" applyAlignment="1">
      <alignment horizontal="left" vertical="top" wrapText="1" indent="1"/>
    </xf>
    <xf numFmtId="49" fontId="15" fillId="3" borderId="4" xfId="0" applyNumberFormat="1" applyFont="1" applyFill="1" applyBorder="1" applyAlignment="1">
      <alignment horizontal="left" vertical="top"/>
    </xf>
    <xf numFmtId="49" fontId="15" fillId="3" borderId="1" xfId="0" applyNumberFormat="1" applyFont="1" applyFill="1" applyBorder="1" applyAlignment="1">
      <alignment horizontal="left" vertical="top"/>
    </xf>
    <xf numFmtId="49" fontId="18" fillId="3" borderId="4" xfId="0" applyNumberFormat="1" applyFont="1" applyFill="1" applyBorder="1" applyAlignment="1">
      <alignment horizontal="left" vertical="top" wrapText="1" indent="1"/>
    </xf>
    <xf numFmtId="49" fontId="18" fillId="3" borderId="1" xfId="0" applyNumberFormat="1" applyFont="1" applyFill="1" applyBorder="1" applyAlignment="1">
      <alignment horizontal="left" vertical="top" wrapText="1" indent="1"/>
    </xf>
    <xf numFmtId="0" fontId="67" fillId="5" borderId="62" xfId="0" applyFont="1" applyFill="1" applyBorder="1" applyAlignment="1">
      <alignment horizontal="left" vertical="center" wrapText="1"/>
    </xf>
    <xf numFmtId="0" fontId="67" fillId="5" borderId="31" xfId="0" applyFont="1" applyFill="1" applyBorder="1" applyAlignment="1">
      <alignment horizontal="left" vertical="center" wrapText="1"/>
    </xf>
    <xf numFmtId="0" fontId="66" fillId="0" borderId="0" xfId="0" applyFont="1" applyAlignment="1">
      <alignment horizontal="right"/>
    </xf>
    <xf numFmtId="0" fontId="28" fillId="0" borderId="1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64" xfId="0" applyFont="1" applyBorder="1" applyAlignment="1">
      <alignment horizontal="center" vertical="center" wrapText="1"/>
    </xf>
    <xf numFmtId="4" fontId="28" fillId="0" borderId="60" xfId="0" applyNumberFormat="1" applyFont="1" applyBorder="1" applyAlignment="1">
      <alignment horizontal="center" vertical="center" wrapText="1"/>
    </xf>
    <xf numFmtId="4" fontId="28" fillId="0" borderId="6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62" xfId="0" applyFont="1" applyBorder="1" applyAlignment="1">
      <alignment horizontal="center" vertical="center" wrapText="1"/>
    </xf>
    <xf numFmtId="0" fontId="67" fillId="0" borderId="0" xfId="0" applyFont="1" applyFill="1" applyAlignment="1">
      <alignment horizontal="center"/>
    </xf>
    <xf numFmtId="0" fontId="17" fillId="9" borderId="22" xfId="1" applyFont="1" applyFill="1" applyBorder="1" applyAlignment="1">
      <alignment horizontal="left" vertical="center" wrapText="1"/>
    </xf>
    <xf numFmtId="0" fontId="17" fillId="9" borderId="3" xfId="1" applyFont="1" applyFill="1" applyBorder="1" applyAlignment="1">
      <alignment horizontal="left" vertical="center" wrapText="1"/>
    </xf>
    <xf numFmtId="0" fontId="17" fillId="9" borderId="4" xfId="1" applyFont="1" applyFill="1" applyBorder="1" applyAlignment="1">
      <alignment horizontal="left" vertical="center" wrapText="1"/>
    </xf>
    <xf numFmtId="0" fontId="27" fillId="13" borderId="22" xfId="1" applyFont="1" applyFill="1" applyBorder="1" applyAlignment="1">
      <alignment horizontal="left" vertical="center" wrapText="1"/>
    </xf>
    <xf numFmtId="0" fontId="27" fillId="13" borderId="3" xfId="1" applyFont="1" applyFill="1" applyBorder="1" applyAlignment="1">
      <alignment horizontal="left" vertical="center" wrapText="1"/>
    </xf>
    <xf numFmtId="0" fontId="27" fillId="13" borderId="4" xfId="1" applyFont="1" applyFill="1" applyBorder="1" applyAlignment="1">
      <alignment horizontal="left" vertical="center" wrapText="1"/>
    </xf>
    <xf numFmtId="16" fontId="25" fillId="5" borderId="22" xfId="0" quotePrefix="1" applyNumberFormat="1" applyFont="1" applyFill="1" applyBorder="1" applyAlignment="1">
      <alignment horizontal="left"/>
    </xf>
    <xf numFmtId="16" fontId="25" fillId="5" borderId="3" xfId="0" quotePrefix="1" applyNumberFormat="1" applyFont="1" applyFill="1" applyBorder="1" applyAlignment="1">
      <alignment horizontal="left"/>
    </xf>
    <xf numFmtId="16" fontId="25" fillId="5" borderId="4" xfId="0" quotePrefix="1" applyNumberFormat="1" applyFont="1" applyFill="1" applyBorder="1" applyAlignment="1">
      <alignment horizontal="left"/>
    </xf>
    <xf numFmtId="0" fontId="20" fillId="8" borderId="16" xfId="0" applyFont="1" applyFill="1" applyBorder="1" applyAlignment="1">
      <alignment horizontal="center"/>
    </xf>
    <xf numFmtId="0" fontId="20" fillId="8" borderId="1" xfId="0" applyFont="1" applyFill="1" applyBorder="1" applyAlignment="1">
      <alignment horizontal="center"/>
    </xf>
    <xf numFmtId="0" fontId="27" fillId="8" borderId="6" xfId="0" applyFont="1" applyFill="1" applyBorder="1" applyAlignment="1">
      <alignment horizontal="left" vertical="center" wrapText="1"/>
    </xf>
    <xf numFmtId="0" fontId="27" fillId="8" borderId="7" xfId="0" applyFont="1" applyFill="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2" fontId="17" fillId="0" borderId="35" xfId="0" applyNumberFormat="1" applyFont="1" applyFill="1" applyBorder="1" applyAlignment="1">
      <alignment horizontal="left" vertical="center"/>
    </xf>
    <xf numFmtId="2" fontId="17" fillId="0" borderId="36" xfId="0" applyNumberFormat="1" applyFont="1" applyFill="1" applyBorder="1" applyAlignment="1">
      <alignment horizontal="left" vertical="center"/>
    </xf>
    <xf numFmtId="2" fontId="17" fillId="0" borderId="37" xfId="0" applyNumberFormat="1" applyFont="1" applyFill="1" applyBorder="1" applyAlignment="1">
      <alignment horizontal="left" vertical="center"/>
    </xf>
    <xf numFmtId="0" fontId="21" fillId="4" borderId="2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25" fillId="11" borderId="22" xfId="0" applyFont="1" applyFill="1" applyBorder="1" applyAlignment="1">
      <alignment horizontal="left" vertical="center" wrapText="1"/>
    </xf>
    <xf numFmtId="0" fontId="25" fillId="11" borderId="3" xfId="0" applyFont="1" applyFill="1" applyBorder="1" applyAlignment="1">
      <alignment horizontal="left" vertical="center" wrapText="1"/>
    </xf>
    <xf numFmtId="0" fontId="25" fillId="11" borderId="4"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6" fillId="0" borderId="0" xfId="0" applyFont="1" applyAlignment="1">
      <alignment horizontal="center"/>
    </xf>
    <xf numFmtId="0" fontId="2" fillId="0" borderId="0" xfId="0" applyFont="1" applyFill="1" applyBorder="1" applyAlignment="1">
      <alignment horizontal="center" vertical="center" wrapText="1"/>
    </xf>
    <xf numFmtId="0" fontId="10" fillId="7" borderId="16" xfId="1" applyFont="1" applyFill="1" applyBorder="1" applyAlignment="1">
      <alignment horizontal="left" vertical="center"/>
    </xf>
    <xf numFmtId="0" fontId="10" fillId="7" borderId="1" xfId="1" applyFont="1" applyFill="1" applyBorder="1" applyAlignment="1">
      <alignment horizontal="left" vertical="center"/>
    </xf>
    <xf numFmtId="0" fontId="10" fillId="7" borderId="2" xfId="1" applyFont="1" applyFill="1" applyBorder="1" applyAlignment="1">
      <alignment horizontal="left" vertical="center"/>
    </xf>
    <xf numFmtId="16" fontId="1" fillId="5" borderId="16" xfId="0" quotePrefix="1" applyNumberFormat="1" applyFont="1" applyFill="1" applyBorder="1" applyAlignment="1">
      <alignment horizontal="left"/>
    </xf>
    <xf numFmtId="16" fontId="1" fillId="5" borderId="1" xfId="0" quotePrefix="1" applyNumberFormat="1" applyFont="1" applyFill="1" applyBorder="1" applyAlignment="1">
      <alignment horizontal="left"/>
    </xf>
    <xf numFmtId="0" fontId="1" fillId="5" borderId="16" xfId="0" applyFont="1" applyFill="1" applyBorder="1" applyAlignment="1">
      <alignment horizontal="left" vertical="center" wrapText="1"/>
    </xf>
    <xf numFmtId="0" fontId="1" fillId="5" borderId="1" xfId="0" applyFont="1" applyFill="1" applyBorder="1" applyAlignment="1">
      <alignment horizontal="left" vertical="center" wrapText="1"/>
    </xf>
    <xf numFmtId="0" fontId="26" fillId="0" borderId="0" xfId="0" applyFont="1" applyAlignment="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9" fillId="3" borderId="28" xfId="0" applyFont="1" applyFill="1" applyBorder="1" applyAlignment="1">
      <alignment horizontal="left" vertical="center"/>
    </xf>
    <xf numFmtId="0" fontId="9" fillId="3" borderId="29" xfId="0" applyFont="1" applyFill="1" applyBorder="1" applyAlignment="1">
      <alignment horizontal="left" vertical="center"/>
    </xf>
    <xf numFmtId="0" fontId="9" fillId="3" borderId="3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8" borderId="16" xfId="0" applyFont="1" applyFill="1" applyBorder="1" applyAlignment="1">
      <alignment horizontal="center"/>
    </xf>
    <xf numFmtId="0" fontId="9" fillId="8" borderId="1" xfId="0" applyFont="1" applyFill="1" applyBorder="1" applyAlignment="1">
      <alignment horizontal="center"/>
    </xf>
    <xf numFmtId="0" fontId="25" fillId="5" borderId="22" xfId="0" applyFont="1" applyFill="1" applyBorder="1" applyAlignment="1">
      <alignment horizontal="left" vertical="center" wrapText="1"/>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20" fillId="9" borderId="16" xfId="0" applyFont="1" applyFill="1" applyBorder="1" applyAlignment="1">
      <alignment horizontal="center"/>
    </xf>
    <xf numFmtId="0" fontId="20" fillId="9" borderId="1" xfId="0" applyFont="1" applyFill="1" applyBorder="1" applyAlignment="1">
      <alignment horizontal="center"/>
    </xf>
    <xf numFmtId="0" fontId="39" fillId="4" borderId="31" xfId="0" applyFont="1" applyFill="1" applyBorder="1" applyAlignment="1">
      <alignment horizontal="left" vertical="center" wrapText="1"/>
    </xf>
    <xf numFmtId="0" fontId="39" fillId="4" borderId="5" xfId="0" applyFont="1" applyFill="1" applyBorder="1" applyAlignment="1">
      <alignment horizontal="left" vertical="center" wrapText="1"/>
    </xf>
    <xf numFmtId="0" fontId="39" fillId="4" borderId="27"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27" xfId="0" applyFont="1" applyFill="1" applyBorder="1" applyAlignment="1">
      <alignment horizontal="left" vertical="center" wrapText="1"/>
    </xf>
    <xf numFmtId="16" fontId="8" fillId="5" borderId="22" xfId="0" quotePrefix="1" applyNumberFormat="1" applyFont="1" applyFill="1" applyBorder="1" applyAlignment="1">
      <alignment horizontal="left"/>
    </xf>
    <xf numFmtId="16" fontId="8" fillId="5" borderId="3" xfId="0" quotePrefix="1" applyNumberFormat="1" applyFont="1" applyFill="1" applyBorder="1" applyAlignment="1">
      <alignment horizontal="left"/>
    </xf>
    <xf numFmtId="16" fontId="8" fillId="5" borderId="4" xfId="0" quotePrefix="1" applyNumberFormat="1" applyFont="1" applyFill="1" applyBorder="1" applyAlignment="1">
      <alignment horizontal="left"/>
    </xf>
    <xf numFmtId="16" fontId="25" fillId="5" borderId="16" xfId="0" quotePrefix="1" applyNumberFormat="1" applyFont="1" applyFill="1" applyBorder="1" applyAlignment="1">
      <alignment horizontal="left"/>
    </xf>
    <xf numFmtId="16" fontId="25" fillId="5" borderId="1" xfId="0" quotePrefix="1" applyNumberFormat="1" applyFont="1" applyFill="1" applyBorder="1" applyAlignment="1">
      <alignment horizontal="left"/>
    </xf>
    <xf numFmtId="0" fontId="25" fillId="5" borderId="16"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3" xfId="0" applyFont="1" applyFill="1" applyBorder="1" applyAlignment="1">
      <alignment horizontal="center" vertical="center"/>
    </xf>
    <xf numFmtId="0" fontId="26" fillId="0" borderId="1" xfId="0" applyFont="1" applyFill="1" applyBorder="1" applyAlignment="1">
      <alignment horizontal="center"/>
    </xf>
    <xf numFmtId="0" fontId="26" fillId="0" borderId="2" xfId="0" applyFont="1" applyFill="1" applyBorder="1" applyAlignment="1">
      <alignment horizontal="center"/>
    </xf>
    <xf numFmtId="0" fontId="34"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3" xfId="0" applyFont="1" applyFill="1" applyBorder="1" applyAlignment="1">
      <alignment horizontal="center"/>
    </xf>
    <xf numFmtId="0" fontId="26" fillId="0" borderId="14" xfId="0" applyFont="1" applyFill="1" applyBorder="1" applyAlignment="1">
      <alignment horizontal="center"/>
    </xf>
    <xf numFmtId="0" fontId="26" fillId="0" borderId="15" xfId="0" applyFont="1" applyFill="1" applyBorder="1" applyAlignment="1">
      <alignment horizontal="center"/>
    </xf>
    <xf numFmtId="0" fontId="34" fillId="0" borderId="16" xfId="0" applyFont="1" applyBorder="1" applyAlignment="1">
      <alignment horizontal="center" vertical="center" wrapText="1"/>
    </xf>
    <xf numFmtId="0" fontId="34" fillId="0" borderId="9" xfId="0" applyFont="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51" fillId="17" borderId="6" xfId="0" applyFont="1" applyFill="1" applyBorder="1" applyAlignment="1">
      <alignment horizontal="center" vertical="center"/>
    </xf>
    <xf numFmtId="0" fontId="51" fillId="17" borderId="7" xfId="0" applyFont="1" applyFill="1" applyBorder="1" applyAlignment="1">
      <alignment horizontal="center" vertical="center"/>
    </xf>
    <xf numFmtId="0" fontId="51" fillId="17" borderId="8" xfId="0" applyFont="1" applyFill="1" applyBorder="1" applyAlignment="1">
      <alignment horizontal="center" vertical="center"/>
    </xf>
    <xf numFmtId="0" fontId="33" fillId="0" borderId="0" xfId="0" applyFont="1" applyAlignment="1">
      <alignment horizontal="center" vertical="center"/>
    </xf>
    <xf numFmtId="0" fontId="26" fillId="0" borderId="0"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6" fillId="0" borderId="0" xfId="7" applyFont="1" applyAlignment="1">
      <alignment horizontal="right" wrapText="1"/>
    </xf>
    <xf numFmtId="0" fontId="61" fillId="0" borderId="5" xfId="0" applyFont="1" applyBorder="1" applyAlignment="1">
      <alignment horizontal="center"/>
    </xf>
    <xf numFmtId="0" fontId="18" fillId="25" borderId="2" xfId="0" applyFont="1" applyFill="1" applyBorder="1" applyAlignment="1">
      <alignment horizontal="right" wrapText="1"/>
    </xf>
    <xf numFmtId="0" fontId="18" fillId="25" borderId="4" xfId="0" applyFont="1" applyFill="1" applyBorder="1" applyAlignment="1">
      <alignment horizontal="right" wrapText="1"/>
    </xf>
  </cellXfs>
  <cellStyles count="9">
    <cellStyle name="Excel Built-in Normal" xfId="1" xr:uid="{00000000-0005-0000-0000-000000000000}"/>
    <cellStyle name="Hyperlink" xfId="8" builtinId="8"/>
    <cellStyle name="Normal" xfId="0" builtinId="0"/>
    <cellStyle name="Normal 2" xfId="3" xr:uid="{00000000-0005-0000-0000-000002000000}"/>
    <cellStyle name="Normal 2 2 2" xfId="5" xr:uid="{C4F5EDFF-B54A-4235-AAF9-5B951E1A54FB}"/>
    <cellStyle name="Normal 2 2 2 2" xfId="6" xr:uid="{4D9EB5CC-DD94-4BAE-9827-E190D3185409}"/>
    <cellStyle name="Normal 3" xfId="7" xr:uid="{941B485C-E83E-401C-BE0E-C0A87F244503}"/>
    <cellStyle name="Normal 4" xfId="2" xr:uid="{00000000-0005-0000-0000-000003000000}"/>
    <cellStyle name="Normal_Sheet1" xfId="4" xr:uid="{2B60CC62-773E-4EFC-87E8-506A2A0057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_profiles/VM_Sandra_Kasparenko/My%20Documents/Pagarinatais_normalais_darba_laiks/Sandra_pag_laiks_270618%20no%20Ingas%2004.07.2018%20plus%20aktual%20NMPD%2015%20milj%2027.07.2018%20!!!%20prieks%20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NMPD"/>
      <sheetName val="BKUS"/>
      <sheetName val="PSKUS"/>
      <sheetName val="RAKUS"/>
      <sheetName val="JūrmalasS"/>
      <sheetName val="OgreRajS"/>
      <sheetName val="TukumS"/>
      <sheetName val="LiepājaReS"/>
      <sheetName val="ZiemKurR"/>
      <sheetName val="KuldīgS"/>
      <sheetName val="DaugaReS"/>
      <sheetName val="RēzeknS"/>
      <sheetName val="PreilS"/>
      <sheetName val="KraslaS"/>
      <sheetName val="VidzS"/>
      <sheetName val="MadonS"/>
      <sheetName val="BalvGulSApv"/>
      <sheetName val="CēsuS"/>
      <sheetName val="AlūksneS"/>
      <sheetName val="JelgavPilS"/>
      <sheetName val="JēkaReS"/>
      <sheetName val="DobapkārtS"/>
      <sheetName val="AizkrS"/>
      <sheetName val="BauskaS"/>
      <sheetName val="LivanuS"/>
      <sheetName val="LudzaMedCe"/>
      <sheetName val="SiguldS"/>
      <sheetName val="Saldmedcen"/>
      <sheetName val="PriekuS"/>
      <sheetName val="AknisPnS"/>
      <sheetName val="DaugPNS"/>
      <sheetName val="Vaivari"/>
      <sheetName val="PiejūrS"/>
      <sheetName val="RīgaDzNa"/>
      <sheetName val="RigaPsiNarCe"/>
      <sheetName val="Rīgas2S"/>
      <sheetName val="ĢintermS"/>
      <sheetName val="StrenPsinS"/>
      <sheetName val="TrauOrtS"/>
    </sheetNames>
    <sheetDataSet>
      <sheetData sheetId="0"/>
      <sheetData sheetId="1">
        <row r="15">
          <cell r="Q15">
            <v>4921316.8502722243</v>
          </cell>
        </row>
      </sheetData>
      <sheetData sheetId="2">
        <row r="15">
          <cell r="Q15">
            <v>995344.2868798814</v>
          </cell>
        </row>
      </sheetData>
      <sheetData sheetId="3">
        <row r="15">
          <cell r="Q15">
            <v>2205709.5593618136</v>
          </cell>
        </row>
      </sheetData>
      <sheetData sheetId="4">
        <row r="15">
          <cell r="Q15">
            <v>4569225.8141474938</v>
          </cell>
        </row>
      </sheetData>
      <sheetData sheetId="5">
        <row r="15">
          <cell r="Q15">
            <v>12430.632863920891</v>
          </cell>
        </row>
      </sheetData>
      <sheetData sheetId="6">
        <row r="15">
          <cell r="Q15">
            <v>9503.6606084633841</v>
          </cell>
        </row>
      </sheetData>
      <sheetData sheetId="7">
        <row r="15">
          <cell r="Q15">
            <v>15056.43010795414</v>
          </cell>
        </row>
      </sheetData>
      <sheetData sheetId="8">
        <row r="15">
          <cell r="Q15">
            <v>760145.57071927539</v>
          </cell>
        </row>
      </sheetData>
      <sheetData sheetId="9">
        <row r="15">
          <cell r="Q15">
            <v>550780.88229534484</v>
          </cell>
        </row>
      </sheetData>
      <sheetData sheetId="10">
        <row r="15">
          <cell r="Q15">
            <v>695428.77694255346</v>
          </cell>
        </row>
      </sheetData>
      <sheetData sheetId="11">
        <row r="15">
          <cell r="Q15">
            <v>781739.08789759153</v>
          </cell>
        </row>
      </sheetData>
      <sheetData sheetId="12">
        <row r="15">
          <cell r="Q15">
            <v>374979.95982991101</v>
          </cell>
        </row>
      </sheetData>
      <sheetData sheetId="13">
        <row r="15">
          <cell r="Q15">
            <v>58704.145110726648</v>
          </cell>
        </row>
      </sheetData>
      <sheetData sheetId="14">
        <row r="15">
          <cell r="Q15">
            <v>77632.726505844155</v>
          </cell>
        </row>
      </sheetData>
      <sheetData sheetId="15">
        <row r="15">
          <cell r="Q15">
            <v>457668.24724217516</v>
          </cell>
        </row>
      </sheetData>
      <sheetData sheetId="16">
        <row r="15">
          <cell r="Q15">
            <v>321563.59195830289</v>
          </cell>
        </row>
      </sheetData>
      <sheetData sheetId="17">
        <row r="15">
          <cell r="Q15">
            <v>155622.00154464046</v>
          </cell>
        </row>
      </sheetData>
      <sheetData sheetId="18">
        <row r="15">
          <cell r="Q15">
            <v>165764.01791069368</v>
          </cell>
        </row>
      </sheetData>
      <sheetData sheetId="19">
        <row r="15">
          <cell r="Q15">
            <v>11477.854522677513</v>
          </cell>
        </row>
      </sheetData>
      <sheetData sheetId="20">
        <row r="15">
          <cell r="Q15">
            <v>80473.857150448006</v>
          </cell>
        </row>
      </sheetData>
      <sheetData sheetId="21">
        <row r="15">
          <cell r="Q15">
            <v>321725.8480022747</v>
          </cell>
        </row>
      </sheetData>
      <sheetData sheetId="22">
        <row r="15">
          <cell r="Q15">
            <v>191016.23170385498</v>
          </cell>
        </row>
      </sheetData>
      <sheetData sheetId="23">
        <row r="15">
          <cell r="Q15">
            <v>66439.172144704804</v>
          </cell>
        </row>
      </sheetData>
      <sheetData sheetId="24">
        <row r="15">
          <cell r="Q15">
            <v>45205.373636667973</v>
          </cell>
        </row>
      </sheetData>
      <sheetData sheetId="25">
        <row r="15">
          <cell r="Q15">
            <v>12085.13669719626</v>
          </cell>
        </row>
      </sheetData>
      <sheetData sheetId="26">
        <row r="15">
          <cell r="Q15">
            <v>32687.130886195904</v>
          </cell>
        </row>
      </sheetData>
      <sheetData sheetId="27">
        <row r="15">
          <cell r="Q15">
            <v>97263.458821167573</v>
          </cell>
        </row>
      </sheetData>
      <sheetData sheetId="28">
        <row r="15">
          <cell r="Q15">
            <v>10365.148190530808</v>
          </cell>
        </row>
      </sheetData>
      <sheetData sheetId="29">
        <row r="15">
          <cell r="Q15">
            <v>11106.373012972193</v>
          </cell>
        </row>
      </sheetData>
      <sheetData sheetId="30">
        <row r="15">
          <cell r="Q15">
            <v>91793.529637083469</v>
          </cell>
        </row>
      </sheetData>
      <sheetData sheetId="31">
        <row r="15">
          <cell r="Q15">
            <v>277648.40996700153</v>
          </cell>
        </row>
      </sheetData>
      <sheetData sheetId="32">
        <row r="15">
          <cell r="Q15">
            <v>267218.82235552097</v>
          </cell>
        </row>
      </sheetData>
      <sheetData sheetId="33">
        <row r="15">
          <cell r="Q15">
            <v>158896.63625660376</v>
          </cell>
        </row>
      </sheetData>
      <sheetData sheetId="34">
        <row r="15">
          <cell r="Q15">
            <v>94052.421817827475</v>
          </cell>
        </row>
      </sheetData>
      <sheetData sheetId="35">
        <row r="15">
          <cell r="Q15">
            <v>117463.73729977969</v>
          </cell>
        </row>
      </sheetData>
      <sheetData sheetId="36">
        <row r="15">
          <cell r="Q15">
            <v>94617.273603339185</v>
          </cell>
        </row>
      </sheetData>
      <sheetData sheetId="37">
        <row r="15">
          <cell r="Q15">
            <v>48708.658462795385</v>
          </cell>
        </row>
      </sheetData>
      <sheetData sheetId="38">
        <row r="15">
          <cell r="Q15">
            <v>52636.458850242045</v>
          </cell>
        </row>
      </sheetData>
      <sheetData sheetId="39">
        <row r="15">
          <cell r="Q15">
            <v>105777.42438439297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F675E-9920-43EC-A5F5-8EDE8FE642CB}">
  <sheetPr>
    <tabColor rgb="FFFFFF00"/>
  </sheetPr>
  <dimension ref="A1:N42"/>
  <sheetViews>
    <sheetView tabSelected="1" topLeftCell="A5" zoomScaleNormal="100" workbookViewId="0">
      <selection activeCell="N13" sqref="N13"/>
    </sheetView>
  </sheetViews>
  <sheetFormatPr defaultColWidth="8.85546875" defaultRowHeight="12.75" x14ac:dyDescent="0.2"/>
  <cols>
    <col min="1" max="1" width="1" style="332" customWidth="1"/>
    <col min="2" max="2" width="25.7109375" style="332" customWidth="1"/>
    <col min="3" max="3" width="13.7109375" style="332" customWidth="1"/>
    <col min="4" max="4" width="10.5703125" style="332" customWidth="1"/>
    <col min="5" max="8" width="14.28515625" style="332" customWidth="1"/>
    <col min="9" max="9" width="64.42578125" style="332" customWidth="1"/>
    <col min="10" max="10" width="10.140625" style="332" customWidth="1"/>
    <col min="11" max="11" width="13.5703125" style="332" customWidth="1"/>
    <col min="12" max="12" width="12.42578125" style="332" customWidth="1"/>
    <col min="13" max="13" width="12.85546875" style="332" customWidth="1"/>
    <col min="14" max="16384" width="8.85546875" style="332"/>
  </cols>
  <sheetData>
    <row r="1" spans="1:14" hidden="1" x14ac:dyDescent="0.2">
      <c r="A1" s="331" t="s">
        <v>257</v>
      </c>
      <c r="B1" s="331" t="s">
        <v>258</v>
      </c>
      <c r="C1" s="331"/>
      <c r="D1" s="331" t="s">
        <v>259</v>
      </c>
      <c r="E1" s="331" t="s">
        <v>260</v>
      </c>
      <c r="F1" s="331" t="s">
        <v>261</v>
      </c>
      <c r="G1" s="331" t="s">
        <v>262</v>
      </c>
    </row>
    <row r="2" spans="1:14" ht="50.25" customHeight="1" x14ac:dyDescent="0.25">
      <c r="B2" s="795"/>
      <c r="C2" s="795"/>
      <c r="D2" s="795"/>
      <c r="E2" s="795"/>
      <c r="F2" s="795"/>
      <c r="G2" s="795"/>
      <c r="H2" s="795"/>
      <c r="I2" s="737" t="s">
        <v>640</v>
      </c>
      <c r="J2" s="736"/>
      <c r="K2" s="736"/>
      <c r="L2" s="736"/>
      <c r="M2" s="736"/>
    </row>
    <row r="3" spans="1:14" ht="13.5" customHeight="1" x14ac:dyDescent="0.2">
      <c r="A3" s="333"/>
      <c r="B3" s="334"/>
      <c r="C3" s="334"/>
      <c r="D3" s="334"/>
      <c r="E3" s="334"/>
      <c r="F3" s="334"/>
      <c r="G3" s="334"/>
      <c r="H3" s="334"/>
    </row>
    <row r="4" spans="1:14" ht="18.75" customHeight="1" x14ac:dyDescent="0.2">
      <c r="A4" s="333"/>
      <c r="B4" s="796" t="s">
        <v>611</v>
      </c>
      <c r="C4" s="796"/>
      <c r="D4" s="796"/>
      <c r="E4" s="796"/>
      <c r="F4" s="796"/>
      <c r="G4" s="796"/>
      <c r="H4" s="796"/>
      <c r="I4" s="796"/>
    </row>
    <row r="5" spans="1:14" x14ac:dyDescent="0.2">
      <c r="A5" s="333"/>
      <c r="B5" s="333"/>
      <c r="C5" s="333"/>
      <c r="D5" s="335"/>
      <c r="E5" s="335"/>
      <c r="F5" s="335"/>
      <c r="I5" s="735" t="s">
        <v>603</v>
      </c>
    </row>
    <row r="6" spans="1:14" ht="61.5" customHeight="1" x14ac:dyDescent="0.2">
      <c r="A6" s="804"/>
      <c r="B6" s="805"/>
      <c r="C6" s="805"/>
      <c r="D6" s="805"/>
      <c r="E6" s="336" t="s">
        <v>241</v>
      </c>
      <c r="F6" s="336" t="s">
        <v>263</v>
      </c>
      <c r="G6" s="336" t="s">
        <v>264</v>
      </c>
      <c r="H6" s="343" t="s">
        <v>265</v>
      </c>
      <c r="I6" s="336" t="s">
        <v>280</v>
      </c>
      <c r="J6" s="723"/>
    </row>
    <row r="7" spans="1:14" x14ac:dyDescent="0.2">
      <c r="A7" s="804"/>
      <c r="B7" s="806" t="s">
        <v>266</v>
      </c>
      <c r="C7" s="807"/>
      <c r="D7" s="808"/>
      <c r="E7" s="718">
        <f>E8</f>
        <v>103581437</v>
      </c>
      <c r="F7" s="718">
        <f t="shared" ref="F7:H7" si="0">F8</f>
        <v>207325548.59999999</v>
      </c>
      <c r="G7" s="718">
        <f t="shared" si="0"/>
        <v>330697681.96000004</v>
      </c>
      <c r="H7" s="718">
        <f t="shared" si="0"/>
        <v>330697681.96000004</v>
      </c>
      <c r="I7" s="345"/>
      <c r="J7" s="710"/>
      <c r="K7" s="342"/>
      <c r="L7" s="342"/>
      <c r="M7" s="342"/>
      <c r="N7" s="342"/>
    </row>
    <row r="8" spans="1:14" ht="13.5" customHeight="1" x14ac:dyDescent="0.2">
      <c r="A8" s="804"/>
      <c r="B8" s="811" t="s">
        <v>281</v>
      </c>
      <c r="C8" s="811"/>
      <c r="D8" s="812"/>
      <c r="E8" s="337">
        <f>E9+E29</f>
        <v>103581437</v>
      </c>
      <c r="F8" s="337">
        <f>F9+F29</f>
        <v>207325548.59999999</v>
      </c>
      <c r="G8" s="337">
        <f>G9+G29</f>
        <v>330697681.96000004</v>
      </c>
      <c r="H8" s="337">
        <f>H9+H29</f>
        <v>330697681.96000004</v>
      </c>
      <c r="I8" s="344"/>
      <c r="J8" s="711"/>
    </row>
    <row r="9" spans="1:14" ht="13.5" customHeight="1" x14ac:dyDescent="0.2">
      <c r="A9" s="804"/>
      <c r="B9" s="813" t="s">
        <v>267</v>
      </c>
      <c r="C9" s="813"/>
      <c r="D9" s="814"/>
      <c r="E9" s="718">
        <f>E10+E12+E14+E23</f>
        <v>101532505</v>
      </c>
      <c r="F9" s="718">
        <f>F10+F12+F14+F23</f>
        <v>202817896</v>
      </c>
      <c r="G9" s="718">
        <f>G10+G12+G14+G23</f>
        <v>323239563.80000001</v>
      </c>
      <c r="H9" s="718">
        <f>H10+H12+H14+H23</f>
        <v>323239563.80000001</v>
      </c>
      <c r="I9" s="344"/>
      <c r="J9" s="711"/>
    </row>
    <row r="10" spans="1:14" s="683" customFormat="1" ht="45" customHeight="1" x14ac:dyDescent="0.25">
      <c r="A10" s="804"/>
      <c r="B10" s="809" t="s">
        <v>598</v>
      </c>
      <c r="C10" s="809"/>
      <c r="D10" s="810"/>
      <c r="E10" s="719">
        <f>E11</f>
        <v>70704381</v>
      </c>
      <c r="F10" s="719">
        <f t="shared" ref="F10:H10" si="1">F11</f>
        <v>154374953</v>
      </c>
      <c r="G10" s="719">
        <f t="shared" si="1"/>
        <v>253604954</v>
      </c>
      <c r="H10" s="719">
        <f t="shared" si="1"/>
        <v>253604954</v>
      </c>
      <c r="I10" s="720" t="s">
        <v>602</v>
      </c>
      <c r="J10" s="715"/>
    </row>
    <row r="11" spans="1:14" s="339" customFormat="1" ht="13.5" customHeight="1" x14ac:dyDescent="0.2">
      <c r="A11" s="804"/>
      <c r="B11" s="793" t="s">
        <v>268</v>
      </c>
      <c r="C11" s="793"/>
      <c r="D11" s="794"/>
      <c r="E11" s="338">
        <v>70704381</v>
      </c>
      <c r="F11" s="338">
        <v>154374953</v>
      </c>
      <c r="G11" s="338">
        <v>253604954</v>
      </c>
      <c r="H11" s="721">
        <f t="shared" ref="H11:H28" si="2">G11</f>
        <v>253604954</v>
      </c>
      <c r="I11" s="346"/>
      <c r="J11" s="713"/>
    </row>
    <row r="12" spans="1:14" s="683" customFormat="1" ht="30" customHeight="1" x14ac:dyDescent="0.25">
      <c r="A12" s="804"/>
      <c r="B12" s="809" t="s">
        <v>609</v>
      </c>
      <c r="C12" s="809"/>
      <c r="D12" s="810"/>
      <c r="E12" s="719">
        <f>E13</f>
        <v>2226823</v>
      </c>
      <c r="F12" s="719">
        <f t="shared" ref="F12:H12" si="3">F13</f>
        <v>4837358</v>
      </c>
      <c r="G12" s="719">
        <f t="shared" si="3"/>
        <v>8023883</v>
      </c>
      <c r="H12" s="719">
        <f t="shared" si="3"/>
        <v>8023883</v>
      </c>
      <c r="I12" s="720" t="s">
        <v>597</v>
      </c>
      <c r="J12" s="712"/>
    </row>
    <row r="13" spans="1:14" s="339" customFormat="1" ht="13.5" customHeight="1" x14ac:dyDescent="0.2">
      <c r="A13" s="804"/>
      <c r="B13" s="793" t="s">
        <v>272</v>
      </c>
      <c r="C13" s="793"/>
      <c r="D13" s="794"/>
      <c r="E13" s="338">
        <v>2226823</v>
      </c>
      <c r="F13" s="338">
        <v>4837358</v>
      </c>
      <c r="G13" s="338">
        <v>8023883</v>
      </c>
      <c r="H13" s="721">
        <f t="shared" si="2"/>
        <v>8023883</v>
      </c>
      <c r="I13" s="346"/>
      <c r="J13" s="713"/>
    </row>
    <row r="14" spans="1:14" s="683" customFormat="1" ht="48" customHeight="1" x14ac:dyDescent="0.25">
      <c r="A14" s="804"/>
      <c r="B14" s="809" t="s">
        <v>636</v>
      </c>
      <c r="C14" s="809"/>
      <c r="D14" s="810"/>
      <c r="E14" s="719">
        <f>E15+E16</f>
        <v>19317275</v>
      </c>
      <c r="F14" s="719">
        <f t="shared" ref="F14:H14" si="4">F15+F16</f>
        <v>23180730</v>
      </c>
      <c r="G14" s="719">
        <f t="shared" si="4"/>
        <v>27816876</v>
      </c>
      <c r="H14" s="719">
        <f t="shared" si="4"/>
        <v>27816876</v>
      </c>
      <c r="I14" s="720" t="s">
        <v>601</v>
      </c>
      <c r="J14" s="712"/>
    </row>
    <row r="15" spans="1:14" s="339" customFormat="1" ht="13.5" customHeight="1" x14ac:dyDescent="0.2">
      <c r="A15" s="804"/>
      <c r="B15" s="793" t="s">
        <v>268</v>
      </c>
      <c r="C15" s="793"/>
      <c r="D15" s="794"/>
      <c r="E15" s="338">
        <v>14395958</v>
      </c>
      <c r="F15" s="338">
        <v>17275150</v>
      </c>
      <c r="G15" s="338">
        <v>20730180</v>
      </c>
      <c r="H15" s="721">
        <v>20730180</v>
      </c>
      <c r="I15" s="346"/>
      <c r="J15" s="714"/>
    </row>
    <row r="16" spans="1:14" s="339" customFormat="1" ht="13.5" customHeight="1" x14ac:dyDescent="0.2">
      <c r="A16" s="804"/>
      <c r="B16" s="793" t="s">
        <v>270</v>
      </c>
      <c r="C16" s="793"/>
      <c r="D16" s="794"/>
      <c r="E16" s="338">
        <v>4921317</v>
      </c>
      <c r="F16" s="338">
        <v>5905580</v>
      </c>
      <c r="G16" s="338">
        <v>7086696</v>
      </c>
      <c r="H16" s="721">
        <f>G16</f>
        <v>7086696</v>
      </c>
      <c r="I16" s="346"/>
      <c r="J16" s="714"/>
    </row>
    <row r="17" spans="1:11" s="339" customFormat="1" ht="143.25" customHeight="1" x14ac:dyDescent="0.25">
      <c r="A17" s="804"/>
      <c r="B17" s="797" t="s">
        <v>634</v>
      </c>
      <c r="C17" s="797"/>
      <c r="D17" s="798"/>
      <c r="E17" s="719">
        <f>E18+E19</f>
        <v>16097729</v>
      </c>
      <c r="F17" s="719">
        <f t="shared" ref="F17:H17" si="5">F18+F19</f>
        <v>16097729</v>
      </c>
      <c r="G17" s="719">
        <f t="shared" si="5"/>
        <v>16097729</v>
      </c>
      <c r="H17" s="719">
        <f t="shared" si="5"/>
        <v>16097729</v>
      </c>
      <c r="I17" s="346" t="s">
        <v>641</v>
      </c>
      <c r="J17" s="714"/>
    </row>
    <row r="18" spans="1:11" s="339" customFormat="1" ht="13.5" customHeight="1" x14ac:dyDescent="0.2">
      <c r="A18" s="804"/>
      <c r="B18" s="799" t="s">
        <v>268</v>
      </c>
      <c r="C18" s="799"/>
      <c r="D18" s="800"/>
      <c r="E18" s="784">
        <v>11996632</v>
      </c>
      <c r="F18" s="784">
        <v>11996632</v>
      </c>
      <c r="G18" s="784">
        <v>11996632</v>
      </c>
      <c r="H18" s="784">
        <v>11996632</v>
      </c>
      <c r="I18" s="785"/>
      <c r="J18" s="714"/>
    </row>
    <row r="19" spans="1:11" s="339" customFormat="1" ht="13.5" customHeight="1" x14ac:dyDescent="0.2">
      <c r="A19" s="804"/>
      <c r="B19" s="799" t="s">
        <v>270</v>
      </c>
      <c r="C19" s="799"/>
      <c r="D19" s="800"/>
      <c r="E19" s="784">
        <v>4101097</v>
      </c>
      <c r="F19" s="784">
        <v>4101097</v>
      </c>
      <c r="G19" s="784">
        <v>4101097</v>
      </c>
      <c r="H19" s="784">
        <v>4101097</v>
      </c>
      <c r="I19" s="785"/>
      <c r="J19" s="714"/>
    </row>
    <row r="20" spans="1:11" s="339" customFormat="1" ht="33" customHeight="1" x14ac:dyDescent="0.2">
      <c r="A20" s="804"/>
      <c r="B20" s="797" t="s">
        <v>635</v>
      </c>
      <c r="C20" s="797"/>
      <c r="D20" s="798"/>
      <c r="E20" s="719">
        <f>E21+E22</f>
        <v>3219546</v>
      </c>
      <c r="F20" s="719">
        <f t="shared" ref="F20:H20" si="6">F21+F22</f>
        <v>7083001</v>
      </c>
      <c r="G20" s="719">
        <f t="shared" si="6"/>
        <v>11719147</v>
      </c>
      <c r="H20" s="719">
        <f t="shared" si="6"/>
        <v>11719147</v>
      </c>
      <c r="I20" s="786"/>
      <c r="J20" s="714"/>
    </row>
    <row r="21" spans="1:11" s="339" customFormat="1" ht="13.5" customHeight="1" x14ac:dyDescent="0.2">
      <c r="A21" s="804"/>
      <c r="B21" s="799" t="s">
        <v>268</v>
      </c>
      <c r="C21" s="799"/>
      <c r="D21" s="800"/>
      <c r="E21" s="784">
        <f>E15-E18</f>
        <v>2399326</v>
      </c>
      <c r="F21" s="784">
        <f t="shared" ref="F21:H22" si="7">F15-F18</f>
        <v>5278518</v>
      </c>
      <c r="G21" s="784">
        <f t="shared" si="7"/>
        <v>8733548</v>
      </c>
      <c r="H21" s="784">
        <f t="shared" si="7"/>
        <v>8733548</v>
      </c>
      <c r="I21" s="785"/>
      <c r="J21" s="714"/>
    </row>
    <row r="22" spans="1:11" s="339" customFormat="1" ht="13.5" customHeight="1" x14ac:dyDescent="0.2">
      <c r="A22" s="804"/>
      <c r="B22" s="799" t="s">
        <v>270</v>
      </c>
      <c r="C22" s="799"/>
      <c r="D22" s="800"/>
      <c r="E22" s="784">
        <f>E16-E19</f>
        <v>820220</v>
      </c>
      <c r="F22" s="784">
        <f t="shared" si="7"/>
        <v>1804483</v>
      </c>
      <c r="G22" s="784">
        <f t="shared" si="7"/>
        <v>2985599</v>
      </c>
      <c r="H22" s="784">
        <f t="shared" si="7"/>
        <v>2985599</v>
      </c>
      <c r="I22" s="785"/>
      <c r="J22" s="714"/>
    </row>
    <row r="23" spans="1:11" s="683" customFormat="1" ht="44.25" customHeight="1" x14ac:dyDescent="0.25">
      <c r="A23" s="804"/>
      <c r="B23" s="809" t="s">
        <v>610</v>
      </c>
      <c r="C23" s="809"/>
      <c r="D23" s="810"/>
      <c r="E23" s="758">
        <f>E24+E25+E26+E27+E28</f>
        <v>9284026</v>
      </c>
      <c r="F23" s="758">
        <f>F24+F25+F26+F27+F28</f>
        <v>20424855</v>
      </c>
      <c r="G23" s="758">
        <f>G24+G25+G26+G27+G28</f>
        <v>33793850.799999997</v>
      </c>
      <c r="H23" s="758">
        <f>H24+H25+H26+H27+H28</f>
        <v>33793850.799999997</v>
      </c>
      <c r="I23" s="720" t="s">
        <v>600</v>
      </c>
      <c r="J23" s="715"/>
    </row>
    <row r="24" spans="1:11" s="339" customFormat="1" ht="12.75" customHeight="1" x14ac:dyDescent="0.2">
      <c r="A24" s="804"/>
      <c r="B24" s="793" t="s">
        <v>269</v>
      </c>
      <c r="C24" s="793"/>
      <c r="D24" s="794"/>
      <c r="E24" s="752">
        <v>126881</v>
      </c>
      <c r="F24" s="752">
        <v>279136</v>
      </c>
      <c r="G24" s="752">
        <v>461843</v>
      </c>
      <c r="H24" s="753">
        <f t="shared" ref="H24" si="8">G24</f>
        <v>461843</v>
      </c>
      <c r="I24" s="346"/>
      <c r="J24" s="716"/>
      <c r="K24" s="683"/>
    </row>
    <row r="25" spans="1:11" s="339" customFormat="1" ht="13.5" customHeight="1" x14ac:dyDescent="0.2">
      <c r="A25" s="804"/>
      <c r="B25" s="793" t="s">
        <v>270</v>
      </c>
      <c r="C25" s="793"/>
      <c r="D25" s="794"/>
      <c r="E25" s="752">
        <v>8313222</v>
      </c>
      <c r="F25" s="752">
        <f t="shared" ref="F25:F28" si="9">SUM(E25+(E25*1.2))</f>
        <v>18289088.399999999</v>
      </c>
      <c r="G25" s="752">
        <f t="shared" ref="G25:G28" si="10">SUM(F25+(F25-E25)*1.2)</f>
        <v>30260128.079999998</v>
      </c>
      <c r="H25" s="753">
        <f t="shared" si="2"/>
        <v>30260128.079999998</v>
      </c>
      <c r="I25" s="346"/>
      <c r="J25" s="716"/>
      <c r="K25" s="683"/>
    </row>
    <row r="26" spans="1:11" s="339" customFormat="1" ht="13.5" customHeight="1" x14ac:dyDescent="0.2">
      <c r="A26" s="804"/>
      <c r="B26" s="793" t="s">
        <v>271</v>
      </c>
      <c r="C26" s="793"/>
      <c r="D26" s="794"/>
      <c r="E26" s="752">
        <v>293261</v>
      </c>
      <c r="F26" s="752">
        <f t="shared" si="9"/>
        <v>645174.19999999995</v>
      </c>
      <c r="G26" s="752">
        <f t="shared" si="10"/>
        <v>1067470.0399999998</v>
      </c>
      <c r="H26" s="753">
        <f t="shared" si="2"/>
        <v>1067470.0399999998</v>
      </c>
      <c r="I26" s="346"/>
      <c r="J26" s="716"/>
      <c r="K26" s="683"/>
    </row>
    <row r="27" spans="1:11" s="339" customFormat="1" ht="13.5" customHeight="1" x14ac:dyDescent="0.2">
      <c r="A27" s="804"/>
      <c r="B27" s="793" t="s">
        <v>273</v>
      </c>
      <c r="C27" s="793"/>
      <c r="D27" s="794"/>
      <c r="E27" s="752">
        <v>381309</v>
      </c>
      <c r="F27" s="752">
        <f t="shared" si="9"/>
        <v>838879.8</v>
      </c>
      <c r="G27" s="752">
        <f t="shared" si="10"/>
        <v>1387964.7600000002</v>
      </c>
      <c r="H27" s="753">
        <f t="shared" si="2"/>
        <v>1387964.7600000002</v>
      </c>
      <c r="I27" s="346"/>
      <c r="J27" s="716"/>
      <c r="K27" s="683"/>
    </row>
    <row r="28" spans="1:11" s="339" customFormat="1" ht="12.75" customHeight="1" x14ac:dyDescent="0.2">
      <c r="A28" s="804"/>
      <c r="B28" s="793" t="s">
        <v>274</v>
      </c>
      <c r="C28" s="793"/>
      <c r="D28" s="794"/>
      <c r="E28" s="752">
        <v>169353</v>
      </c>
      <c r="F28" s="752">
        <f t="shared" si="9"/>
        <v>372576.6</v>
      </c>
      <c r="G28" s="752">
        <f t="shared" si="10"/>
        <v>616444.91999999993</v>
      </c>
      <c r="H28" s="753">
        <f t="shared" si="2"/>
        <v>616444.91999999993</v>
      </c>
      <c r="I28" s="346"/>
      <c r="J28" s="716"/>
      <c r="K28" s="683"/>
    </row>
    <row r="29" spans="1:11" s="340" customFormat="1" ht="53.25" customHeight="1" x14ac:dyDescent="0.2">
      <c r="A29" s="804"/>
      <c r="B29" s="791" t="s">
        <v>599</v>
      </c>
      <c r="C29" s="791"/>
      <c r="D29" s="792"/>
      <c r="E29" s="754">
        <f>E30+E32+E33+E34</f>
        <v>2048932</v>
      </c>
      <c r="F29" s="754">
        <f>F30+F32+F33+F34</f>
        <v>4507652.5999999996</v>
      </c>
      <c r="G29" s="754">
        <f>G30+G32+G33+G34</f>
        <v>7458118.1600000001</v>
      </c>
      <c r="H29" s="755">
        <f>H30+H32+H33+H34</f>
        <v>7458118.1600000001</v>
      </c>
      <c r="I29" s="722" t="s">
        <v>600</v>
      </c>
      <c r="J29" s="717"/>
    </row>
    <row r="30" spans="1:11" s="339" customFormat="1" ht="27" customHeight="1" x14ac:dyDescent="0.2">
      <c r="A30" s="804"/>
      <c r="B30" s="801" t="s">
        <v>608</v>
      </c>
      <c r="C30" s="801"/>
      <c r="D30" s="802"/>
      <c r="E30" s="756">
        <v>417947</v>
      </c>
      <c r="F30" s="756">
        <v>919484</v>
      </c>
      <c r="G30" s="756">
        <f t="shared" ref="G30:G33" si="11">SUM(F30+(F30-E30)*1.2)</f>
        <v>1521328.4</v>
      </c>
      <c r="H30" s="757">
        <f t="shared" ref="H30:H34" si="12">G30</f>
        <v>1521328.4</v>
      </c>
      <c r="I30" s="346"/>
      <c r="J30" s="716"/>
    </row>
    <row r="31" spans="1:11" s="339" customFormat="1" ht="18" customHeight="1" x14ac:dyDescent="0.2">
      <c r="A31" s="804"/>
      <c r="B31" s="801" t="s">
        <v>638</v>
      </c>
      <c r="C31" s="801"/>
      <c r="D31" s="802"/>
      <c r="E31" s="787">
        <v>374455</v>
      </c>
      <c r="F31" s="787">
        <f t="shared" ref="F31" si="13">SUM(E31+(E31*1.2))</f>
        <v>823801</v>
      </c>
      <c r="G31" s="787">
        <f t="shared" si="11"/>
        <v>1363016.2</v>
      </c>
      <c r="H31" s="788">
        <f>G31</f>
        <v>1363016.2</v>
      </c>
      <c r="I31" s="346"/>
      <c r="J31" s="716"/>
    </row>
    <row r="32" spans="1:11" s="339" customFormat="1" ht="13.5" customHeight="1" x14ac:dyDescent="0.2">
      <c r="A32" s="804"/>
      <c r="B32" s="789" t="s">
        <v>275</v>
      </c>
      <c r="C32" s="789"/>
      <c r="D32" s="790"/>
      <c r="E32" s="756">
        <v>1520622</v>
      </c>
      <c r="F32" s="756">
        <v>3345370</v>
      </c>
      <c r="G32" s="756">
        <v>5535066</v>
      </c>
      <c r="H32" s="757">
        <f t="shared" si="12"/>
        <v>5535066</v>
      </c>
      <c r="I32" s="346"/>
      <c r="J32" s="716"/>
    </row>
    <row r="33" spans="1:10" s="339" customFormat="1" ht="13.5" customHeight="1" x14ac:dyDescent="0.2">
      <c r="A33" s="804"/>
      <c r="B33" s="789" t="s">
        <v>276</v>
      </c>
      <c r="C33" s="789"/>
      <c r="D33" s="790"/>
      <c r="E33" s="756">
        <v>25184</v>
      </c>
      <c r="F33" s="756">
        <f t="shared" ref="F33" si="14">SUM(E33+(E33*1.2))</f>
        <v>55404.800000000003</v>
      </c>
      <c r="G33" s="756">
        <f t="shared" si="11"/>
        <v>91669.760000000009</v>
      </c>
      <c r="H33" s="757">
        <f t="shared" si="12"/>
        <v>91669.760000000009</v>
      </c>
      <c r="I33" s="346"/>
      <c r="J33" s="716"/>
    </row>
    <row r="34" spans="1:10" s="339" customFormat="1" ht="13.5" customHeight="1" x14ac:dyDescent="0.2">
      <c r="A34" s="804"/>
      <c r="B34" s="789" t="s">
        <v>277</v>
      </c>
      <c r="C34" s="789"/>
      <c r="D34" s="790"/>
      <c r="E34" s="756">
        <v>85179</v>
      </c>
      <c r="F34" s="756">
        <f>SUM(E34+(E34*1.2))</f>
        <v>187393.8</v>
      </c>
      <c r="G34" s="756">
        <v>310054</v>
      </c>
      <c r="H34" s="757">
        <f t="shared" si="12"/>
        <v>310054</v>
      </c>
      <c r="I34" s="346"/>
      <c r="J34" s="716"/>
    </row>
    <row r="35" spans="1:10" ht="19.5" customHeight="1" x14ac:dyDescent="0.2">
      <c r="E35" s="342"/>
      <c r="G35" s="342"/>
      <c r="H35" s="724"/>
      <c r="I35" s="341"/>
    </row>
    <row r="36" spans="1:10" ht="18.75" x14ac:dyDescent="0.3">
      <c r="C36" s="738" t="s">
        <v>604</v>
      </c>
      <c r="D36" s="739"/>
      <c r="F36" s="736"/>
      <c r="G36" s="724"/>
      <c r="H36" s="342"/>
      <c r="I36" s="738" t="s">
        <v>605</v>
      </c>
    </row>
    <row r="37" spans="1:10" ht="18.75" x14ac:dyDescent="0.3">
      <c r="C37" s="738"/>
      <c r="D37" s="739"/>
      <c r="E37" s="738"/>
      <c r="F37" s="736"/>
      <c r="H37" s="342"/>
    </row>
    <row r="38" spans="1:10" ht="18.75" x14ac:dyDescent="0.3">
      <c r="C38" s="739" t="s">
        <v>637</v>
      </c>
      <c r="D38"/>
      <c r="F38" s="740"/>
      <c r="I38" s="738" t="s">
        <v>639</v>
      </c>
      <c r="J38" s="342"/>
    </row>
    <row r="39" spans="1:10" ht="15" x14ac:dyDescent="0.25">
      <c r="C39" s="741"/>
      <c r="D39"/>
      <c r="E39" s="740"/>
      <c r="F39" s="740"/>
    </row>
    <row r="40" spans="1:10" ht="15" x14ac:dyDescent="0.25">
      <c r="C40" s="742"/>
      <c r="D40" s="180"/>
      <c r="E40" s="743"/>
      <c r="F40" s="740"/>
      <c r="I40" s="342"/>
    </row>
    <row r="41" spans="1:10" ht="15" x14ac:dyDescent="0.25">
      <c r="C41" s="803" t="s">
        <v>606</v>
      </c>
      <c r="D41" s="803"/>
      <c r="E41" s="803"/>
      <c r="F41" s="740"/>
      <c r="I41" s="342"/>
    </row>
    <row r="42" spans="1:10" ht="15" x14ac:dyDescent="0.25">
      <c r="C42" s="744" t="s">
        <v>607</v>
      </c>
      <c r="D42" s="312"/>
      <c r="E42" s="743"/>
      <c r="F42" s="740"/>
      <c r="H42" s="342"/>
    </row>
  </sheetData>
  <mergeCells count="33">
    <mergeCell ref="C41:E41"/>
    <mergeCell ref="A6:A34"/>
    <mergeCell ref="B6:D6"/>
    <mergeCell ref="B7:D7"/>
    <mergeCell ref="B14:D14"/>
    <mergeCell ref="B13:D13"/>
    <mergeCell ref="B10:D10"/>
    <mergeCell ref="B24:D24"/>
    <mergeCell ref="B25:D25"/>
    <mergeCell ref="B26:D26"/>
    <mergeCell ref="B8:D8"/>
    <mergeCell ref="B9:D9"/>
    <mergeCell ref="B11:D11"/>
    <mergeCell ref="B12:D12"/>
    <mergeCell ref="B23:D23"/>
    <mergeCell ref="B30:D30"/>
    <mergeCell ref="B2:H2"/>
    <mergeCell ref="B27:D27"/>
    <mergeCell ref="B28:D28"/>
    <mergeCell ref="B4:I4"/>
    <mergeCell ref="B32:D32"/>
    <mergeCell ref="B17:D17"/>
    <mergeCell ref="B18:D18"/>
    <mergeCell ref="B19:D19"/>
    <mergeCell ref="B20:D20"/>
    <mergeCell ref="B21:D21"/>
    <mergeCell ref="B22:D22"/>
    <mergeCell ref="B31:D31"/>
    <mergeCell ref="B33:D33"/>
    <mergeCell ref="B34:D34"/>
    <mergeCell ref="B29:D29"/>
    <mergeCell ref="B15:D15"/>
    <mergeCell ref="B16:D16"/>
  </mergeCells>
  <dataValidations count="3">
    <dataValidation type="whole" errorStyle="information" allowBlank="1" showInputMessage="1" showErrorMessage="1" error="Jāievada skaitlis" sqref="E7:H7" xr:uid="{8083F2CB-F2EA-432F-8BB1-EA248C9DAFE8}">
      <formula1>-1000000000000</formula1>
      <formula2>1000000000000</formula2>
    </dataValidation>
    <dataValidation errorStyle="information" allowBlank="1" showInputMessage="1" showErrorMessage="1" sqref="B4" xr:uid="{0A4D0514-3755-4464-856F-73A9EAAF6941}"/>
    <dataValidation type="whole" errorStyle="information" allowBlank="1" showInputMessage="1" showErrorMessage="1" error="Jāievada skaitlis" sqref="E8:H34" xr:uid="{B4DB4E80-D0CB-41C2-870B-A0BCDDDE4ECB}">
      <formula1>-100000000000000</formula1>
      <formula2>100000000000000</formula2>
    </dataValidation>
  </dataValidations>
  <hyperlinks>
    <hyperlink ref="C42" r:id="rId1" xr:uid="{372034F3-A806-45D0-8D54-89A918ED6BDE}"/>
  </hyperlinks>
  <pageMargins left="0.51181102362204722" right="0.31496062992125984" top="0.35433070866141736" bottom="0.35433070866141736" header="0.31496062992125984" footer="0.31496062992125984"/>
  <pageSetup paperSize="9" scale="7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B641-6DA6-43B3-BBBB-84F7C0B263BC}">
  <sheetPr>
    <tabColor theme="7" tint="0.79998168889431442"/>
  </sheetPr>
  <dimension ref="A1:AD37"/>
  <sheetViews>
    <sheetView view="pageBreakPreview" zoomScale="60" zoomScaleNormal="85" workbookViewId="0">
      <selection activeCell="AB29" sqref="AB29"/>
    </sheetView>
  </sheetViews>
  <sheetFormatPr defaultRowHeight="15" x14ac:dyDescent="0.25"/>
  <cols>
    <col min="1" max="1" width="2.5703125" style="684" customWidth="1"/>
    <col min="2" max="2" width="12.85546875" style="684" customWidth="1"/>
    <col min="3" max="3" width="11" style="684" customWidth="1"/>
    <col min="4" max="4" width="9.28515625" style="684" bestFit="1" customWidth="1"/>
    <col min="5" max="5" width="10.140625" style="684" bestFit="1" customWidth="1"/>
    <col min="6" max="6" width="9.28515625" style="684" bestFit="1" customWidth="1"/>
    <col min="7" max="7" width="15" style="684" customWidth="1"/>
    <col min="8" max="8" width="14.7109375" style="684" customWidth="1"/>
    <col min="9" max="9" width="15" style="684" customWidth="1"/>
    <col min="10" max="10" width="10.28515625" style="684" customWidth="1"/>
    <col min="11" max="11" width="2.7109375" style="684" customWidth="1"/>
    <col min="12" max="12" width="13.140625" style="684" customWidth="1"/>
    <col min="13" max="14" width="13" style="684" customWidth="1"/>
    <col min="15" max="15" width="10.140625" style="684" bestFit="1" customWidth="1"/>
    <col min="16" max="16" width="9.28515625" style="684" bestFit="1" customWidth="1"/>
    <col min="17" max="17" width="15.85546875" style="684" customWidth="1"/>
    <col min="18" max="18" width="14.85546875" style="684" customWidth="1"/>
    <col min="19" max="19" width="15.28515625" style="684" customWidth="1"/>
    <col min="20" max="20" width="10.42578125" style="684" customWidth="1"/>
    <col min="21" max="21" width="2" style="684" customWidth="1"/>
    <col min="22" max="22" width="13.28515625" style="684" customWidth="1"/>
    <col min="23" max="23" width="11.140625" style="684" customWidth="1"/>
    <col min="24" max="25" width="10.140625" style="684" bestFit="1" customWidth="1"/>
    <col min="26" max="26" width="9.28515625" style="684" bestFit="1" customWidth="1"/>
    <col min="27" max="27" width="15.42578125" style="684" customWidth="1"/>
    <col min="28" max="28" width="14.5703125" style="684" customWidth="1"/>
    <col min="29" max="29" width="17.28515625" style="684" customWidth="1"/>
    <col min="30" max="30" width="11" style="684" customWidth="1"/>
    <col min="31" max="16384" width="9.140625" style="684"/>
  </cols>
  <sheetData>
    <row r="1" spans="1:30" x14ac:dyDescent="0.25">
      <c r="AC1" s="817" t="s">
        <v>625</v>
      </c>
      <c r="AD1" s="817"/>
    </row>
    <row r="3" spans="1:30" x14ac:dyDescent="0.25">
      <c r="A3" s="685"/>
      <c r="B3" s="830" t="s">
        <v>578</v>
      </c>
      <c r="C3" s="830"/>
      <c r="D3" s="830"/>
      <c r="E3" s="830"/>
      <c r="F3" s="830"/>
      <c r="G3" s="830"/>
      <c r="H3" s="830"/>
      <c r="I3" s="830"/>
      <c r="J3" s="830"/>
      <c r="L3" s="830" t="s">
        <v>616</v>
      </c>
      <c r="M3" s="830"/>
      <c r="N3" s="830"/>
      <c r="O3" s="830"/>
      <c r="P3" s="830"/>
      <c r="Q3" s="830"/>
      <c r="R3" s="830"/>
      <c r="S3" s="830"/>
      <c r="T3" s="830"/>
      <c r="V3" s="830" t="s">
        <v>617</v>
      </c>
      <c r="W3" s="830"/>
      <c r="X3" s="830"/>
      <c r="Y3" s="830"/>
      <c r="Z3" s="830"/>
      <c r="AA3" s="830"/>
      <c r="AB3" s="830"/>
      <c r="AC3" s="830"/>
      <c r="AD3" s="830"/>
    </row>
    <row r="4" spans="1:30" ht="12.75" customHeight="1" thickBot="1" x14ac:dyDescent="0.3">
      <c r="A4" s="685"/>
      <c r="B4" s="685"/>
      <c r="C4" s="685"/>
      <c r="D4" s="685"/>
      <c r="E4" s="685"/>
      <c r="F4" s="685"/>
      <c r="G4" s="685"/>
      <c r="H4" s="685"/>
      <c r="I4" s="685"/>
      <c r="L4" s="685"/>
      <c r="M4" s="685"/>
      <c r="N4" s="685"/>
      <c r="O4" s="685"/>
      <c r="P4" s="685"/>
      <c r="Q4" s="685"/>
      <c r="R4" s="685"/>
      <c r="S4" s="685"/>
      <c r="V4" s="685"/>
      <c r="W4" s="685"/>
      <c r="X4" s="685"/>
      <c r="Y4" s="685"/>
      <c r="Z4" s="685"/>
      <c r="AA4" s="685"/>
      <c r="AB4" s="685"/>
      <c r="AC4" s="685"/>
    </row>
    <row r="5" spans="1:30" s="687" customFormat="1" ht="12.75" customHeight="1" x14ac:dyDescent="0.2">
      <c r="A5" s="685"/>
      <c r="B5" s="828" t="s">
        <v>218</v>
      </c>
      <c r="C5" s="822" t="s">
        <v>579</v>
      </c>
      <c r="D5" s="824" t="s">
        <v>580</v>
      </c>
      <c r="E5" s="826" t="s">
        <v>581</v>
      </c>
      <c r="F5" s="826" t="s">
        <v>582</v>
      </c>
      <c r="G5" s="826" t="s">
        <v>583</v>
      </c>
      <c r="H5" s="826" t="s">
        <v>595</v>
      </c>
      <c r="I5" s="818" t="s">
        <v>633</v>
      </c>
      <c r="J5" s="820" t="s">
        <v>584</v>
      </c>
      <c r="L5" s="828" t="s">
        <v>218</v>
      </c>
      <c r="M5" s="822" t="s">
        <v>579</v>
      </c>
      <c r="N5" s="824" t="s">
        <v>580</v>
      </c>
      <c r="O5" s="826" t="s">
        <v>581</v>
      </c>
      <c r="P5" s="826" t="s">
        <v>582</v>
      </c>
      <c r="Q5" s="826" t="s">
        <v>583</v>
      </c>
      <c r="R5" s="826" t="s">
        <v>618</v>
      </c>
      <c r="S5" s="818" t="s">
        <v>633</v>
      </c>
      <c r="T5" s="820" t="s">
        <v>619</v>
      </c>
      <c r="V5" s="828" t="s">
        <v>218</v>
      </c>
      <c r="W5" s="822" t="s">
        <v>579</v>
      </c>
      <c r="X5" s="824" t="s">
        <v>580</v>
      </c>
      <c r="Y5" s="826" t="s">
        <v>581</v>
      </c>
      <c r="Z5" s="826" t="s">
        <v>582</v>
      </c>
      <c r="AA5" s="826" t="s">
        <v>583</v>
      </c>
      <c r="AB5" s="826" t="s">
        <v>620</v>
      </c>
      <c r="AC5" s="818" t="s">
        <v>633</v>
      </c>
      <c r="AD5" s="820" t="s">
        <v>621</v>
      </c>
    </row>
    <row r="6" spans="1:30" s="687" customFormat="1" ht="94.5" customHeight="1" thickBot="1" x14ac:dyDescent="0.25">
      <c r="A6" s="685"/>
      <c r="B6" s="829"/>
      <c r="C6" s="823"/>
      <c r="D6" s="825"/>
      <c r="E6" s="827"/>
      <c r="F6" s="827"/>
      <c r="G6" s="827"/>
      <c r="H6" s="827"/>
      <c r="I6" s="819"/>
      <c r="J6" s="821"/>
      <c r="L6" s="829"/>
      <c r="M6" s="823"/>
      <c r="N6" s="825"/>
      <c r="O6" s="827"/>
      <c r="P6" s="827"/>
      <c r="Q6" s="827"/>
      <c r="R6" s="827"/>
      <c r="S6" s="819"/>
      <c r="T6" s="821"/>
      <c r="V6" s="829"/>
      <c r="W6" s="823"/>
      <c r="X6" s="825"/>
      <c r="Y6" s="827"/>
      <c r="Z6" s="827"/>
      <c r="AA6" s="827"/>
      <c r="AB6" s="827"/>
      <c r="AC6" s="819"/>
      <c r="AD6" s="821"/>
    </row>
    <row r="7" spans="1:30" s="693" customFormat="1" ht="4.5" customHeight="1" x14ac:dyDescent="0.2">
      <c r="A7" s="685"/>
      <c r="B7" s="688"/>
      <c r="C7" s="725"/>
      <c r="D7" s="689"/>
      <c r="E7" s="690"/>
      <c r="F7" s="690"/>
      <c r="G7" s="690"/>
      <c r="H7" s="690"/>
      <c r="I7" s="691"/>
      <c r="J7" s="692"/>
      <c r="L7" s="688"/>
      <c r="M7" s="725"/>
      <c r="N7" s="689"/>
      <c r="O7" s="690"/>
      <c r="P7" s="690"/>
      <c r="Q7" s="690"/>
      <c r="R7" s="690"/>
      <c r="S7" s="691"/>
      <c r="T7" s="692"/>
      <c r="V7" s="688"/>
      <c r="W7" s="725"/>
      <c r="X7" s="689"/>
      <c r="Y7" s="690"/>
      <c r="Z7" s="690"/>
      <c r="AA7" s="690"/>
      <c r="AB7" s="690"/>
      <c r="AC7" s="691"/>
      <c r="AD7" s="692"/>
    </row>
    <row r="8" spans="1:30" s="699" customFormat="1" ht="33" customHeight="1" x14ac:dyDescent="0.2">
      <c r="A8" s="685"/>
      <c r="B8" s="815" t="s">
        <v>585</v>
      </c>
      <c r="C8" s="694"/>
      <c r="D8" s="695"/>
      <c r="E8" s="696"/>
      <c r="F8" s="696"/>
      <c r="G8" s="696"/>
      <c r="H8" s="696"/>
      <c r="I8" s="697"/>
      <c r="J8" s="698"/>
      <c r="L8" s="815" t="s">
        <v>585</v>
      </c>
      <c r="M8" s="694"/>
      <c r="N8" s="695"/>
      <c r="O8" s="696"/>
      <c r="P8" s="696"/>
      <c r="Q8" s="696"/>
      <c r="R8" s="696"/>
      <c r="S8" s="697"/>
      <c r="T8" s="698"/>
      <c r="V8" s="815" t="s">
        <v>585</v>
      </c>
      <c r="W8" s="694"/>
      <c r="X8" s="695"/>
      <c r="Y8" s="696"/>
      <c r="Z8" s="696"/>
      <c r="AA8" s="696"/>
      <c r="AB8" s="696"/>
      <c r="AC8" s="697"/>
      <c r="AD8" s="698"/>
    </row>
    <row r="9" spans="1:30" s="700" customFormat="1" ht="26.25" customHeight="1" x14ac:dyDescent="0.2">
      <c r="A9" s="685"/>
      <c r="B9" s="816"/>
      <c r="C9" s="726">
        <f>C10+C11+C12</f>
        <v>7776.7000000000007</v>
      </c>
      <c r="D9" s="761"/>
      <c r="E9" s="762">
        <f>SUM(E10:E12)</f>
        <v>2743.2</v>
      </c>
      <c r="F9" s="762">
        <f>SUM(F10:F12)</f>
        <v>457.19999999999993</v>
      </c>
      <c r="G9" s="762"/>
      <c r="H9" s="762"/>
      <c r="I9" s="763"/>
      <c r="J9" s="764">
        <f>((C10*J10)+(C11*J11)+(C12*J12))/C9</f>
        <v>1437.9030608741496</v>
      </c>
      <c r="L9" s="816"/>
      <c r="M9" s="726">
        <f>M10+M11+M12</f>
        <v>7792.152000000001</v>
      </c>
      <c r="N9" s="761"/>
      <c r="O9" s="762">
        <f>SUM(O10:O12)</f>
        <v>3291.84</v>
      </c>
      <c r="P9" s="762">
        <f>SUM(P10:P12)</f>
        <v>548.64</v>
      </c>
      <c r="Q9" s="762"/>
      <c r="R9" s="762"/>
      <c r="S9" s="763"/>
      <c r="T9" s="764">
        <f>((M10*T10)+(M11*T11)+(M12*T12))/M9</f>
        <v>1744.2790302525921</v>
      </c>
      <c r="V9" s="816"/>
      <c r="W9" s="726">
        <f>W10+W11+W12</f>
        <v>7792.152000000001</v>
      </c>
      <c r="X9" s="761"/>
      <c r="Y9" s="762">
        <f>SUM(Y10:Y12)</f>
        <v>3950.2079999999996</v>
      </c>
      <c r="Z9" s="762">
        <f>SUM(Z10:Z12)</f>
        <v>658.36799999999994</v>
      </c>
      <c r="AA9" s="762"/>
      <c r="AB9" s="762"/>
      <c r="AC9" s="763"/>
      <c r="AD9" s="764">
        <f>((W10*AD10)+(W11*AD11)+(W12*AD12))/W9</f>
        <v>2113.7951312341029</v>
      </c>
    </row>
    <row r="10" spans="1:30" s="686" customFormat="1" ht="14.25" x14ac:dyDescent="0.2">
      <c r="B10" s="701" t="s">
        <v>586</v>
      </c>
      <c r="C10" s="727">
        <v>5981.31</v>
      </c>
      <c r="D10" s="765">
        <v>899</v>
      </c>
      <c r="E10" s="766">
        <f>D10*1.2</f>
        <v>1078.8</v>
      </c>
      <c r="F10" s="766">
        <f>E10-D10</f>
        <v>179.79999999999995</v>
      </c>
      <c r="G10" s="766">
        <f>ROUND(F10*C10*12,0)</f>
        <v>12905274</v>
      </c>
      <c r="H10" s="766">
        <f>ROUND(G10*1.375,0)</f>
        <v>17744752</v>
      </c>
      <c r="I10" s="767">
        <f>ROUND(H10*1.2409,0)</f>
        <v>22019463</v>
      </c>
      <c r="J10" s="768">
        <f>(C10*E10*1.375)/C10</f>
        <v>1483.35</v>
      </c>
      <c r="L10" s="701" t="s">
        <v>586</v>
      </c>
      <c r="M10" s="728">
        <f>5981.31+10.452</f>
        <v>5991.7620000000006</v>
      </c>
      <c r="N10" s="765">
        <f>E10</f>
        <v>1078.8</v>
      </c>
      <c r="O10" s="766">
        <f>N10*1.2</f>
        <v>1294.56</v>
      </c>
      <c r="P10" s="766">
        <f>O10-N10</f>
        <v>215.76</v>
      </c>
      <c r="Q10" s="766">
        <f>ROUND(P10*M10*12,0)</f>
        <v>15513391</v>
      </c>
      <c r="R10" s="766">
        <f>ROUND(Q10*1.39,0)</f>
        <v>21563613</v>
      </c>
      <c r="S10" s="767">
        <f>ROUND(R10*1.2409,0)</f>
        <v>26758287</v>
      </c>
      <c r="T10" s="768">
        <f>(M10*O10*1.39)/M10</f>
        <v>1799.4383999999998</v>
      </c>
      <c r="V10" s="701" t="s">
        <v>586</v>
      </c>
      <c r="W10" s="727">
        <f>M10</f>
        <v>5991.7620000000006</v>
      </c>
      <c r="X10" s="765">
        <f>O10</f>
        <v>1294.56</v>
      </c>
      <c r="Y10" s="766">
        <f>X10*1.2</f>
        <v>1553.472</v>
      </c>
      <c r="Z10" s="766">
        <f>Y10-X10</f>
        <v>258.91200000000003</v>
      </c>
      <c r="AA10" s="766">
        <f>ROUND(Z10*W10*12,0)</f>
        <v>18616069</v>
      </c>
      <c r="AB10" s="766">
        <f>ROUND(AA10*1.40372,0)</f>
        <v>26131748</v>
      </c>
      <c r="AC10" s="767">
        <f>ROUND(AB10*1.2409,0)</f>
        <v>32426886</v>
      </c>
      <c r="AD10" s="768">
        <f>(W10*Y10*1.40372)/W10</f>
        <v>2180.63971584</v>
      </c>
    </row>
    <row r="11" spans="1:30" s="702" customFormat="1" x14ac:dyDescent="0.25">
      <c r="A11" s="686"/>
      <c r="B11" s="701" t="s">
        <v>587</v>
      </c>
      <c r="C11" s="727">
        <v>1683.25</v>
      </c>
      <c r="D11" s="765">
        <v>792</v>
      </c>
      <c r="E11" s="766">
        <f t="shared" ref="E11" si="0">D11*1.2</f>
        <v>950.4</v>
      </c>
      <c r="F11" s="766">
        <f>E11-D11</f>
        <v>158.39999999999998</v>
      </c>
      <c r="G11" s="766">
        <f t="shared" ref="G11:G12" si="1">ROUND(F11*C11*12,0)</f>
        <v>3199522</v>
      </c>
      <c r="H11" s="766">
        <f t="shared" ref="H11:H12" si="2">ROUND(G11*1.375,0)</f>
        <v>4399343</v>
      </c>
      <c r="I11" s="767">
        <f>ROUND(H11*1.2409,0)</f>
        <v>5459145</v>
      </c>
      <c r="J11" s="768">
        <f t="shared" ref="J11:J12" si="3">(C11*E11*1.375)/C11</f>
        <v>1306.8</v>
      </c>
      <c r="L11" s="701" t="s">
        <v>587</v>
      </c>
      <c r="M11" s="728">
        <f>1683.25+5</f>
        <v>1688.25</v>
      </c>
      <c r="N11" s="765">
        <f t="shared" ref="N11:N12" si="4">E11</f>
        <v>950.4</v>
      </c>
      <c r="O11" s="766">
        <f t="shared" ref="O11" si="5">N11*1.2</f>
        <v>1140.48</v>
      </c>
      <c r="P11" s="766">
        <f>O11-N11</f>
        <v>190.08000000000004</v>
      </c>
      <c r="Q11" s="766">
        <f t="shared" ref="Q11:Q12" si="6">ROUND(P11*M11*12,0)</f>
        <v>3850831</v>
      </c>
      <c r="R11" s="766">
        <f t="shared" ref="R11:R12" si="7">ROUND(Q11*1.39,0)</f>
        <v>5352655</v>
      </c>
      <c r="S11" s="767">
        <f>ROUND(R11*1.2409,0)</f>
        <v>6642110</v>
      </c>
      <c r="T11" s="768">
        <f>(M11*O11*1.39)/M11</f>
        <v>1585.2672</v>
      </c>
      <c r="V11" s="701" t="s">
        <v>587</v>
      </c>
      <c r="W11" s="727">
        <f t="shared" ref="W11:W12" si="8">M11</f>
        <v>1688.25</v>
      </c>
      <c r="X11" s="765">
        <f t="shared" ref="X11:X12" si="9">O11</f>
        <v>1140.48</v>
      </c>
      <c r="Y11" s="766">
        <f t="shared" ref="Y11" si="10">X11*1.2</f>
        <v>1368.576</v>
      </c>
      <c r="Z11" s="766">
        <f>Y11-X11</f>
        <v>228.096</v>
      </c>
      <c r="AA11" s="766">
        <f t="shared" ref="AA11:AA12" si="11">ROUND(Z11*W11*12,0)</f>
        <v>4620997</v>
      </c>
      <c r="AB11" s="766">
        <f t="shared" ref="AB11:AB12" si="12">ROUND(AA11*1.40372,0)</f>
        <v>6486586</v>
      </c>
      <c r="AC11" s="767">
        <f>ROUND(AB11*1.2409,0)</f>
        <v>8049205</v>
      </c>
      <c r="AD11" s="768">
        <f t="shared" ref="AD11:AD12" si="13">(W11*Y11*1.40372)/W11</f>
        <v>1921.0975027200002</v>
      </c>
    </row>
    <row r="12" spans="1:30" s="702" customFormat="1" x14ac:dyDescent="0.25">
      <c r="A12" s="686"/>
      <c r="B12" s="703" t="s">
        <v>588</v>
      </c>
      <c r="C12" s="727">
        <v>112.14</v>
      </c>
      <c r="D12" s="769">
        <v>595</v>
      </c>
      <c r="E12" s="766">
        <f>D12*1.2</f>
        <v>714</v>
      </c>
      <c r="F12" s="766">
        <f t="shared" ref="F12" si="14">E12-D12</f>
        <v>119</v>
      </c>
      <c r="G12" s="766">
        <f t="shared" si="1"/>
        <v>160136</v>
      </c>
      <c r="H12" s="766">
        <f t="shared" si="2"/>
        <v>220187</v>
      </c>
      <c r="I12" s="767">
        <f>ROUND(H12*1.2409,0)</f>
        <v>273230</v>
      </c>
      <c r="J12" s="768">
        <f t="shared" si="3"/>
        <v>981.75000000000011</v>
      </c>
      <c r="L12" s="703" t="s">
        <v>588</v>
      </c>
      <c r="M12" s="727">
        <f>112.14</f>
        <v>112.14</v>
      </c>
      <c r="N12" s="769">
        <f t="shared" si="4"/>
        <v>714</v>
      </c>
      <c r="O12" s="766">
        <f>N12*1.2</f>
        <v>856.8</v>
      </c>
      <c r="P12" s="766">
        <f t="shared" ref="P12" si="15">O12-N12</f>
        <v>142.79999999999995</v>
      </c>
      <c r="Q12" s="766">
        <f t="shared" si="6"/>
        <v>192163</v>
      </c>
      <c r="R12" s="766">
        <f t="shared" si="7"/>
        <v>267107</v>
      </c>
      <c r="S12" s="767">
        <f>ROUND(R12*1.2409,0)</f>
        <v>331453</v>
      </c>
      <c r="T12" s="768">
        <f>(M12*O12*1.39)/M12</f>
        <v>1190.952</v>
      </c>
      <c r="V12" s="703" t="s">
        <v>588</v>
      </c>
      <c r="W12" s="727">
        <f t="shared" si="8"/>
        <v>112.14</v>
      </c>
      <c r="X12" s="769">
        <f t="shared" si="9"/>
        <v>856.8</v>
      </c>
      <c r="Y12" s="766">
        <f>X12*1.2</f>
        <v>1028.1599999999999</v>
      </c>
      <c r="Z12" s="766">
        <f t="shared" ref="Z12" si="16">Y12-X12</f>
        <v>171.3599999999999</v>
      </c>
      <c r="AA12" s="766">
        <f t="shared" si="11"/>
        <v>230596</v>
      </c>
      <c r="AB12" s="766">
        <f t="shared" si="12"/>
        <v>323692</v>
      </c>
      <c r="AC12" s="767">
        <f>ROUND(AB12*1.2409,0)</f>
        <v>401669</v>
      </c>
      <c r="AD12" s="768">
        <f t="shared" si="13"/>
        <v>1443.2487552</v>
      </c>
    </row>
    <row r="13" spans="1:30" s="705" customFormat="1" ht="18" customHeight="1" x14ac:dyDescent="0.2">
      <c r="A13" s="685"/>
      <c r="B13" s="815" t="s">
        <v>10</v>
      </c>
      <c r="C13" s="704"/>
      <c r="D13" s="770"/>
      <c r="E13" s="762"/>
      <c r="F13" s="762"/>
      <c r="G13" s="762"/>
      <c r="H13" s="762"/>
      <c r="I13" s="771"/>
      <c r="J13" s="764"/>
      <c r="L13" s="815" t="s">
        <v>10</v>
      </c>
      <c r="M13" s="704"/>
      <c r="N13" s="770"/>
      <c r="O13" s="762"/>
      <c r="P13" s="762"/>
      <c r="Q13" s="762"/>
      <c r="R13" s="762"/>
      <c r="S13" s="771"/>
      <c r="T13" s="764"/>
      <c r="V13" s="815" t="s">
        <v>10</v>
      </c>
      <c r="W13" s="704"/>
      <c r="X13" s="770"/>
      <c r="Y13" s="762"/>
      <c r="Z13" s="762"/>
      <c r="AA13" s="762"/>
      <c r="AB13" s="762"/>
      <c r="AC13" s="771"/>
      <c r="AD13" s="764"/>
    </row>
    <row r="14" spans="1:30" s="706" customFormat="1" ht="39" customHeight="1" x14ac:dyDescent="0.25">
      <c r="A14" s="685"/>
      <c r="B14" s="816"/>
      <c r="C14" s="726">
        <f>C15+C16+C17</f>
        <v>11404.35</v>
      </c>
      <c r="D14" s="761"/>
      <c r="E14" s="762">
        <f>SUM(E15:E17)</f>
        <v>1902</v>
      </c>
      <c r="F14" s="762">
        <f>SUM(F15:F17)</f>
        <v>316.99999999999989</v>
      </c>
      <c r="G14" s="762"/>
      <c r="H14" s="762"/>
      <c r="I14" s="763"/>
      <c r="J14" s="764">
        <f>((C17*J17)+(C15*J15)+(C16*J16))/C14</f>
        <v>956.65445251154176</v>
      </c>
      <c r="L14" s="816"/>
      <c r="M14" s="726">
        <f>M15+M16+M17</f>
        <v>11408.35</v>
      </c>
      <c r="N14" s="761"/>
      <c r="O14" s="762">
        <f>SUM(O15:O17)</f>
        <v>2282.3999999999996</v>
      </c>
      <c r="P14" s="762">
        <f>SUM(P15:P17)</f>
        <v>380.39999999999986</v>
      </c>
      <c r="Q14" s="762"/>
      <c r="R14" s="762"/>
      <c r="S14" s="763"/>
      <c r="T14" s="764">
        <f>((M17*T17)+(M15*T15)+(M16*T16))/M14</f>
        <v>1160.5194934825806</v>
      </c>
      <c r="V14" s="816"/>
      <c r="W14" s="726">
        <f>W15+W16+W17</f>
        <v>11408.35</v>
      </c>
      <c r="X14" s="761"/>
      <c r="Y14" s="762">
        <f>SUM(Y15:Y17)</f>
        <v>2738.8799999999992</v>
      </c>
      <c r="Z14" s="762">
        <f>SUM(Z15:Z17)</f>
        <v>456.47999999999979</v>
      </c>
      <c r="AA14" s="762"/>
      <c r="AB14" s="762"/>
      <c r="AC14" s="763"/>
      <c r="AD14" s="764">
        <f>((W17*AD17)+(W15*AD15)+(W16*AD16))/W14</f>
        <v>1406.369286381037</v>
      </c>
    </row>
    <row r="15" spans="1:30" s="686" customFormat="1" ht="14.25" x14ac:dyDescent="0.2">
      <c r="B15" s="701" t="s">
        <v>588</v>
      </c>
      <c r="C15" s="728">
        <v>9008.33</v>
      </c>
      <c r="D15" s="769">
        <v>595</v>
      </c>
      <c r="E15" s="766">
        <f t="shared" ref="E15:E17" si="17">D15*1.2</f>
        <v>714</v>
      </c>
      <c r="F15" s="766">
        <f>E15-D15</f>
        <v>119</v>
      </c>
      <c r="G15" s="766">
        <f t="shared" ref="G15:G17" si="18">ROUND(F15*C15*12,0)</f>
        <v>12863895</v>
      </c>
      <c r="H15" s="766">
        <f>ROUND(G15*1.375,0)</f>
        <v>17687856</v>
      </c>
      <c r="I15" s="767">
        <f>ROUND(H15*1.2409,0)</f>
        <v>21948861</v>
      </c>
      <c r="J15" s="768">
        <f t="shared" ref="J15:J17" si="19">(C15*E15*1.375)/C15</f>
        <v>981.75000000000011</v>
      </c>
      <c r="L15" s="701" t="s">
        <v>588</v>
      </c>
      <c r="M15" s="728">
        <f>9008.33+4</f>
        <v>9012.33</v>
      </c>
      <c r="N15" s="769">
        <f t="shared" ref="N15:N17" si="20">E15</f>
        <v>714</v>
      </c>
      <c r="O15" s="766">
        <f t="shared" ref="O15:O17" si="21">N15*1.2</f>
        <v>856.8</v>
      </c>
      <c r="P15" s="766">
        <f>O15-N15</f>
        <v>142.79999999999995</v>
      </c>
      <c r="Q15" s="766">
        <f t="shared" ref="Q15:Q17" si="22">ROUND(P15*M15*12,0)</f>
        <v>15443529</v>
      </c>
      <c r="R15" s="766">
        <f t="shared" ref="R15:R17" si="23">ROUND(Q15*1.39,0)</f>
        <v>21466505</v>
      </c>
      <c r="S15" s="767">
        <f>ROUND(R15*1.2409,0)</f>
        <v>26637786</v>
      </c>
      <c r="T15" s="768">
        <f>(M15*O15*1.39)/M15</f>
        <v>1190.9519999999998</v>
      </c>
      <c r="V15" s="701" t="s">
        <v>588</v>
      </c>
      <c r="W15" s="728">
        <f t="shared" ref="W15:W17" si="24">M15</f>
        <v>9012.33</v>
      </c>
      <c r="X15" s="769">
        <f t="shared" ref="X15:X17" si="25">O15</f>
        <v>856.8</v>
      </c>
      <c r="Y15" s="766">
        <f t="shared" ref="Y15:Y17" si="26">X15*1.2</f>
        <v>1028.1599999999999</v>
      </c>
      <c r="Z15" s="766">
        <f>Y15-X15</f>
        <v>171.3599999999999</v>
      </c>
      <c r="AA15" s="766">
        <f t="shared" ref="AA15:AA17" si="27">ROUND(Z15*W15*12,0)</f>
        <v>18532234</v>
      </c>
      <c r="AB15" s="766">
        <f t="shared" ref="AB15:AB17" si="28">ROUND(AA15*1.40372,0)</f>
        <v>26014068</v>
      </c>
      <c r="AC15" s="767">
        <f>ROUND(AB15*1.2409,0)</f>
        <v>32280857</v>
      </c>
      <c r="AD15" s="768">
        <f t="shared" ref="AD15:AD17" si="29">(W15*Y15*1.40372)/W15</f>
        <v>1443.2487551999998</v>
      </c>
    </row>
    <row r="16" spans="1:30" s="686" customFormat="1" ht="14.25" x14ac:dyDescent="0.2">
      <c r="B16" s="701" t="s">
        <v>589</v>
      </c>
      <c r="C16" s="727">
        <v>2338.5</v>
      </c>
      <c r="D16" s="765">
        <v>524</v>
      </c>
      <c r="E16" s="766">
        <f t="shared" si="17"/>
        <v>628.79999999999995</v>
      </c>
      <c r="F16" s="766">
        <f>E16-D16</f>
        <v>104.79999999999995</v>
      </c>
      <c r="G16" s="766">
        <f t="shared" si="18"/>
        <v>2940898</v>
      </c>
      <c r="H16" s="766">
        <f>ROUND(G16*1.375,0)</f>
        <v>4043735</v>
      </c>
      <c r="I16" s="767">
        <f>ROUND(H16*1.2409,0)</f>
        <v>5017871</v>
      </c>
      <c r="J16" s="768">
        <f t="shared" si="19"/>
        <v>864.5999999999998</v>
      </c>
      <c r="L16" s="701" t="s">
        <v>589</v>
      </c>
      <c r="M16" s="728">
        <f>2338.5</f>
        <v>2338.5</v>
      </c>
      <c r="N16" s="765">
        <f t="shared" si="20"/>
        <v>628.79999999999995</v>
      </c>
      <c r="O16" s="766">
        <f t="shared" si="21"/>
        <v>754.56</v>
      </c>
      <c r="P16" s="766">
        <f>O16-N16</f>
        <v>125.75999999999999</v>
      </c>
      <c r="Q16" s="766">
        <f t="shared" si="22"/>
        <v>3529077</v>
      </c>
      <c r="R16" s="766">
        <f t="shared" si="23"/>
        <v>4905417</v>
      </c>
      <c r="S16" s="767">
        <f>ROUND(R16*1.2409,0)</f>
        <v>6087132</v>
      </c>
      <c r="T16" s="768">
        <f>(M16*O16*1.39)/M16</f>
        <v>1048.8383999999999</v>
      </c>
      <c r="V16" s="701" t="s">
        <v>589</v>
      </c>
      <c r="W16" s="727">
        <f t="shared" si="24"/>
        <v>2338.5</v>
      </c>
      <c r="X16" s="765">
        <f t="shared" si="25"/>
        <v>754.56</v>
      </c>
      <c r="Y16" s="766">
        <f t="shared" si="26"/>
        <v>905.47199999999987</v>
      </c>
      <c r="Z16" s="766">
        <f>Y16-X16</f>
        <v>150.91199999999992</v>
      </c>
      <c r="AA16" s="766">
        <f t="shared" si="27"/>
        <v>4234893</v>
      </c>
      <c r="AB16" s="766">
        <f t="shared" si="28"/>
        <v>5944604</v>
      </c>
      <c r="AC16" s="767">
        <f>ROUND(AB16*1.2409,0)</f>
        <v>7376659</v>
      </c>
      <c r="AD16" s="768">
        <f t="shared" si="29"/>
        <v>1271.0291558399999</v>
      </c>
    </row>
    <row r="17" spans="1:30" s="686" customFormat="1" ht="14.25" x14ac:dyDescent="0.2">
      <c r="B17" s="701" t="s">
        <v>590</v>
      </c>
      <c r="C17" s="727">
        <v>57.52</v>
      </c>
      <c r="D17" s="765">
        <v>466</v>
      </c>
      <c r="E17" s="772">
        <f t="shared" si="17"/>
        <v>559.19999999999993</v>
      </c>
      <c r="F17" s="766">
        <f t="shared" ref="F17" si="30">E17-D17</f>
        <v>93.199999999999932</v>
      </c>
      <c r="G17" s="766">
        <f t="shared" si="18"/>
        <v>64330</v>
      </c>
      <c r="H17" s="766">
        <f>ROUND(G17*1.375,0)</f>
        <v>88454</v>
      </c>
      <c r="I17" s="767">
        <f>ROUND(H17*1.2409,0)</f>
        <v>109763</v>
      </c>
      <c r="J17" s="768">
        <f t="shared" si="19"/>
        <v>768.89999999999986</v>
      </c>
      <c r="L17" s="701" t="s">
        <v>590</v>
      </c>
      <c r="M17" s="727">
        <v>57.52</v>
      </c>
      <c r="N17" s="765">
        <f t="shared" si="20"/>
        <v>559.19999999999993</v>
      </c>
      <c r="O17" s="772">
        <f t="shared" si="21"/>
        <v>671.03999999999985</v>
      </c>
      <c r="P17" s="766">
        <f t="shared" ref="P17" si="31">O17-N17</f>
        <v>111.83999999999992</v>
      </c>
      <c r="Q17" s="766">
        <f t="shared" si="22"/>
        <v>77196</v>
      </c>
      <c r="R17" s="766">
        <f t="shared" si="23"/>
        <v>107302</v>
      </c>
      <c r="S17" s="767">
        <f>ROUND(R17*1.2409,0)</f>
        <v>133151</v>
      </c>
      <c r="T17" s="768">
        <f>(M17*O17*1.39)/M17</f>
        <v>932.74559999999974</v>
      </c>
      <c r="V17" s="701" t="s">
        <v>590</v>
      </c>
      <c r="W17" s="727">
        <f t="shared" si="24"/>
        <v>57.52</v>
      </c>
      <c r="X17" s="765">
        <f t="shared" si="25"/>
        <v>671.03999999999985</v>
      </c>
      <c r="Y17" s="772">
        <f t="shared" si="26"/>
        <v>805.24799999999982</v>
      </c>
      <c r="Z17" s="766">
        <f t="shared" ref="Z17" si="32">Y17-X17</f>
        <v>134.20799999999997</v>
      </c>
      <c r="AA17" s="766">
        <f t="shared" si="27"/>
        <v>92636</v>
      </c>
      <c r="AB17" s="766">
        <f t="shared" si="28"/>
        <v>130035</v>
      </c>
      <c r="AC17" s="767">
        <f>ROUND(AB17*1.2409,0)</f>
        <v>161360</v>
      </c>
      <c r="AD17" s="768">
        <f t="shared" si="29"/>
        <v>1130.3427225599999</v>
      </c>
    </row>
    <row r="18" spans="1:30" s="705" customFormat="1" ht="18" customHeight="1" x14ac:dyDescent="0.2">
      <c r="A18" s="685"/>
      <c r="B18" s="815" t="s">
        <v>11</v>
      </c>
      <c r="C18" s="704"/>
      <c r="D18" s="770"/>
      <c r="E18" s="762"/>
      <c r="F18" s="762"/>
      <c r="G18" s="762"/>
      <c r="H18" s="762"/>
      <c r="I18" s="771"/>
      <c r="J18" s="764"/>
      <c r="L18" s="815" t="s">
        <v>11</v>
      </c>
      <c r="M18" s="704"/>
      <c r="N18" s="770"/>
      <c r="O18" s="762"/>
      <c r="P18" s="762"/>
      <c r="Q18" s="762"/>
      <c r="R18" s="762"/>
      <c r="S18" s="771"/>
      <c r="T18" s="764"/>
      <c r="V18" s="815" t="s">
        <v>11</v>
      </c>
      <c r="W18" s="704"/>
      <c r="X18" s="770"/>
      <c r="Y18" s="762"/>
      <c r="Z18" s="762"/>
      <c r="AA18" s="762"/>
      <c r="AB18" s="762"/>
      <c r="AC18" s="771"/>
      <c r="AD18" s="764"/>
    </row>
    <row r="19" spans="1:30" s="705" customFormat="1" ht="51.75" customHeight="1" x14ac:dyDescent="0.2">
      <c r="A19" s="685"/>
      <c r="B19" s="816"/>
      <c r="C19" s="726">
        <f>C20</f>
        <v>3158.99</v>
      </c>
      <c r="D19" s="761"/>
      <c r="E19" s="762">
        <f>E20</f>
        <v>524.4</v>
      </c>
      <c r="F19" s="762">
        <f>F20</f>
        <v>87.399999999999977</v>
      </c>
      <c r="G19" s="762"/>
      <c r="H19" s="762"/>
      <c r="I19" s="763"/>
      <c r="J19" s="764">
        <f>((C20*J20))/C19</f>
        <v>721.05</v>
      </c>
      <c r="L19" s="816"/>
      <c r="M19" s="726">
        <f>M20</f>
        <v>3158.99</v>
      </c>
      <c r="N19" s="761"/>
      <c r="O19" s="762">
        <f>O20</f>
        <v>629.28</v>
      </c>
      <c r="P19" s="762">
        <f>P20</f>
        <v>104.88</v>
      </c>
      <c r="Q19" s="762"/>
      <c r="R19" s="762"/>
      <c r="S19" s="763"/>
      <c r="T19" s="764">
        <f>((M20*T20))/M19</f>
        <v>874.69919999999991</v>
      </c>
      <c r="V19" s="816"/>
      <c r="W19" s="726">
        <f>W20</f>
        <v>3158.99</v>
      </c>
      <c r="X19" s="761"/>
      <c r="Y19" s="762">
        <f>Y20</f>
        <v>755.13599999999997</v>
      </c>
      <c r="Z19" s="762">
        <f>Z20</f>
        <v>125.85599999999999</v>
      </c>
      <c r="AA19" s="762"/>
      <c r="AB19" s="762"/>
      <c r="AC19" s="763"/>
      <c r="AD19" s="764">
        <f>((W20*AD20))/W19</f>
        <v>1059.99950592</v>
      </c>
    </row>
    <row r="20" spans="1:30" s="686" customFormat="1" ht="14.25" x14ac:dyDescent="0.2">
      <c r="B20" s="701" t="s">
        <v>591</v>
      </c>
      <c r="C20" s="727">
        <v>3158.99</v>
      </c>
      <c r="D20" s="765">
        <v>437</v>
      </c>
      <c r="E20" s="766">
        <f>D20*1.2</f>
        <v>524.4</v>
      </c>
      <c r="F20" s="766">
        <f t="shared" ref="F20" si="33">E20-D20</f>
        <v>87.399999999999977</v>
      </c>
      <c r="G20" s="766">
        <f>ROUND(F20*C20*12,0)</f>
        <v>3313149</v>
      </c>
      <c r="H20" s="766">
        <f>ROUND(G20*1.375,0)</f>
        <v>4555580</v>
      </c>
      <c r="I20" s="773">
        <f>ROUND(H20*1.2409,0)</f>
        <v>5653019</v>
      </c>
      <c r="J20" s="768">
        <f>(C20*E20*1.375)/C20</f>
        <v>721.05</v>
      </c>
      <c r="L20" s="701" t="s">
        <v>591</v>
      </c>
      <c r="M20" s="727">
        <v>3158.99</v>
      </c>
      <c r="N20" s="765">
        <f>E20</f>
        <v>524.4</v>
      </c>
      <c r="O20" s="766">
        <f>N20*1.2</f>
        <v>629.28</v>
      </c>
      <c r="P20" s="766">
        <f t="shared" ref="P20" si="34">O20-N20</f>
        <v>104.88</v>
      </c>
      <c r="Q20" s="766">
        <f>ROUND(P20*M20*12,0)</f>
        <v>3975778</v>
      </c>
      <c r="R20" s="766">
        <f>ROUND(Q20*1.39,0)</f>
        <v>5526331</v>
      </c>
      <c r="S20" s="773">
        <f>ROUND(R20*1.2409,0)</f>
        <v>6857624</v>
      </c>
      <c r="T20" s="768">
        <f>(M20*O20*1.39)/M20</f>
        <v>874.69919999999991</v>
      </c>
      <c r="V20" s="701" t="s">
        <v>591</v>
      </c>
      <c r="W20" s="727">
        <f>M20</f>
        <v>3158.99</v>
      </c>
      <c r="X20" s="765">
        <f>O20</f>
        <v>629.28</v>
      </c>
      <c r="Y20" s="766">
        <f>X20*1.2</f>
        <v>755.13599999999997</v>
      </c>
      <c r="Z20" s="766">
        <f t="shared" ref="Z20" si="35">Y20-X20</f>
        <v>125.85599999999999</v>
      </c>
      <c r="AA20" s="766">
        <f>ROUND(Z20*W20*12,0)</f>
        <v>4770934</v>
      </c>
      <c r="AB20" s="766">
        <f>ROUND(AA20*1.40372,0)</f>
        <v>6697055</v>
      </c>
      <c r="AC20" s="773">
        <f>ROUND(AB20*1.2409,0)</f>
        <v>8310376</v>
      </c>
      <c r="AD20" s="768">
        <f>(W20*Y20*1.40372)/W20</f>
        <v>1059.99950592</v>
      </c>
    </row>
    <row r="21" spans="1:30" s="709" customFormat="1" ht="47.25" x14ac:dyDescent="0.25">
      <c r="A21" s="708"/>
      <c r="B21" s="707" t="s">
        <v>592</v>
      </c>
      <c r="C21" s="729">
        <f>SUM(C19+C14+C9)</f>
        <v>22340.04</v>
      </c>
      <c r="D21" s="774"/>
      <c r="E21" s="775"/>
      <c r="F21" s="775"/>
      <c r="G21" s="775">
        <f>G10+G11+G12+G15+G16+G17+G20</f>
        <v>35447204</v>
      </c>
      <c r="H21" s="775">
        <f>H10+H11+H12+H15+H16+H17+H20</f>
        <v>48739907</v>
      </c>
      <c r="I21" s="775">
        <f>I10+I11+I12+I15+I16+I17+I20</f>
        <v>60481352</v>
      </c>
      <c r="J21" s="776"/>
      <c r="L21" s="707" t="s">
        <v>592</v>
      </c>
      <c r="M21" s="729">
        <f>SUM(M19+M14+M9)</f>
        <v>22359.492000000002</v>
      </c>
      <c r="N21" s="774"/>
      <c r="O21" s="775"/>
      <c r="P21" s="775"/>
      <c r="Q21" s="775">
        <f>Q10+Q11+Q12+Q15+Q16+Q17+Q20</f>
        <v>42581965</v>
      </c>
      <c r="R21" s="775">
        <f>R10+R11+R12+R15+R16+R17+R20</f>
        <v>59188930</v>
      </c>
      <c r="S21" s="775">
        <f>S10+S11+S12+S15+S16+S17+S20</f>
        <v>73447543</v>
      </c>
      <c r="T21" s="776"/>
      <c r="V21" s="707" t="s">
        <v>592</v>
      </c>
      <c r="W21" s="729">
        <f>SUM(W19+W14+W9)</f>
        <v>22359.492000000002</v>
      </c>
      <c r="X21" s="774"/>
      <c r="Y21" s="775"/>
      <c r="Z21" s="775"/>
      <c r="AA21" s="775">
        <f>AA10+AA11+AA12+AA15+AA16+AA17+AA20</f>
        <v>51098359</v>
      </c>
      <c r="AB21" s="775">
        <f>AB10+AB11+AB12+AB15+AB16+AB17+AB20</f>
        <v>71727788</v>
      </c>
      <c r="AC21" s="775">
        <f>AC10+AC11+AC12+AC15+AC16+AC17+AC20</f>
        <v>89007012</v>
      </c>
      <c r="AD21" s="776"/>
    </row>
    <row r="22" spans="1:30" s="732" customFormat="1" ht="30" thickBot="1" x14ac:dyDescent="0.3">
      <c r="A22" s="730"/>
      <c r="B22" s="731" t="s">
        <v>593</v>
      </c>
      <c r="C22" s="777">
        <v>8581.6659999999993</v>
      </c>
      <c r="D22" s="778"/>
      <c r="E22" s="779"/>
      <c r="F22" s="779">
        <v>80</v>
      </c>
      <c r="G22" s="780">
        <f>ROUND(F22*C22*12,0)</f>
        <v>8238399</v>
      </c>
      <c r="H22" s="780"/>
      <c r="I22" s="781">
        <f>ROUND(G22*1.2409,0)</f>
        <v>10223029</v>
      </c>
      <c r="J22" s="782"/>
      <c r="L22" s="731" t="s">
        <v>593</v>
      </c>
      <c r="M22" s="777">
        <v>8581.6659999999993</v>
      </c>
      <c r="N22" s="778"/>
      <c r="O22" s="779"/>
      <c r="P22" s="779">
        <v>80</v>
      </c>
      <c r="Q22" s="780">
        <f>ROUND(P22*M22*12,0)</f>
        <v>8238399</v>
      </c>
      <c r="R22" s="780"/>
      <c r="S22" s="781">
        <f>ROUND(Q22*1.2409,0)</f>
        <v>10223029</v>
      </c>
      <c r="T22" s="782"/>
      <c r="V22" s="731" t="s">
        <v>593</v>
      </c>
      <c r="W22" s="777">
        <v>8581.6319999999996</v>
      </c>
      <c r="X22" s="778"/>
      <c r="Y22" s="779"/>
      <c r="Z22" s="779">
        <v>80</v>
      </c>
      <c r="AA22" s="780">
        <f>ROUND(Z22*W22*12,0)</f>
        <v>8238367</v>
      </c>
      <c r="AB22" s="780"/>
      <c r="AC22" s="781">
        <f>W22*Z22*12*1.2409</f>
        <v>10222989.262847997</v>
      </c>
      <c r="AD22" s="782"/>
    </row>
    <row r="23" spans="1:30" s="732" customFormat="1" ht="15.75" thickBot="1" x14ac:dyDescent="0.3">
      <c r="A23" s="730"/>
      <c r="B23" s="733" t="s">
        <v>594</v>
      </c>
      <c r="C23" s="734">
        <f>C21+C22</f>
        <v>30921.705999999998</v>
      </c>
      <c r="D23" s="734"/>
      <c r="E23" s="734"/>
      <c r="F23" s="734"/>
      <c r="G23" s="734"/>
      <c r="H23" s="734"/>
      <c r="I23" s="783">
        <f>I21+I22</f>
        <v>70704381</v>
      </c>
      <c r="J23" s="783"/>
      <c r="L23" s="733" t="s">
        <v>594</v>
      </c>
      <c r="M23" s="734">
        <f>M21+M22</f>
        <v>30941.158000000003</v>
      </c>
      <c r="N23" s="734"/>
      <c r="O23" s="734"/>
      <c r="P23" s="734"/>
      <c r="Q23" s="734"/>
      <c r="R23" s="734"/>
      <c r="S23" s="783">
        <f>S21+S22</f>
        <v>83670572</v>
      </c>
      <c r="T23" s="783"/>
      <c r="V23" s="733" t="s">
        <v>594</v>
      </c>
      <c r="W23" s="734">
        <f>W21+W22</f>
        <v>30941.124000000003</v>
      </c>
      <c r="X23" s="734"/>
      <c r="Y23" s="734"/>
      <c r="Z23" s="734"/>
      <c r="AA23" s="734"/>
      <c r="AB23" s="734"/>
      <c r="AC23" s="783">
        <f>AC21+AC22</f>
        <v>99230001.26284799</v>
      </c>
      <c r="AD23" s="783"/>
    </row>
    <row r="24" spans="1:30" x14ac:dyDescent="0.25">
      <c r="B24" s="702"/>
      <c r="C24" s="702"/>
      <c r="D24" s="702"/>
      <c r="E24" s="702"/>
      <c r="F24" s="702"/>
      <c r="G24" s="702"/>
      <c r="H24" s="702"/>
      <c r="I24" s="702"/>
      <c r="J24" s="702"/>
      <c r="L24" s="702"/>
      <c r="M24" s="702"/>
      <c r="N24" s="702"/>
      <c r="O24" s="702"/>
      <c r="P24" s="702"/>
      <c r="Q24" s="702"/>
      <c r="R24" s="702"/>
      <c r="S24" s="702"/>
      <c r="T24" s="702"/>
      <c r="V24" s="702"/>
      <c r="W24" s="702"/>
      <c r="X24" s="702"/>
      <c r="Y24" s="702"/>
      <c r="Z24" s="702"/>
      <c r="AA24" s="702"/>
      <c r="AB24" s="702"/>
      <c r="AC24" s="702"/>
      <c r="AD24" s="702"/>
    </row>
    <row r="25" spans="1:30" x14ac:dyDescent="0.25">
      <c r="H25" s="685" t="s">
        <v>622</v>
      </c>
      <c r="I25" s="685"/>
      <c r="J25" s="685"/>
      <c r="K25" s="685"/>
      <c r="L25" s="685"/>
      <c r="M25" s="685"/>
      <c r="N25" s="685"/>
      <c r="O25" s="685"/>
      <c r="P25" s="685"/>
      <c r="Q25" s="685"/>
      <c r="R25" s="685" t="s">
        <v>623</v>
      </c>
      <c r="S25" s="685"/>
      <c r="T25" s="685"/>
      <c r="U25" s="685"/>
      <c r="V25" s="685"/>
      <c r="W25" s="685"/>
      <c r="X25" s="685"/>
      <c r="Y25" s="685"/>
      <c r="Z25" s="685"/>
      <c r="AA25" s="685" t="s">
        <v>624</v>
      </c>
      <c r="AC25" s="685"/>
      <c r="AD25" s="685"/>
    </row>
    <row r="26" spans="1:30" x14ac:dyDescent="0.25">
      <c r="H26" s="685"/>
      <c r="I26" s="749">
        <f>I23</f>
        <v>70704381</v>
      </c>
      <c r="J26" s="685"/>
      <c r="K26" s="685"/>
      <c r="L26" s="685"/>
      <c r="M26" s="685"/>
      <c r="N26" s="685"/>
      <c r="O26" s="685"/>
      <c r="P26" s="685"/>
      <c r="Q26" s="685"/>
      <c r="R26" s="685"/>
      <c r="S26" s="749">
        <f>I26+S23</f>
        <v>154374953</v>
      </c>
      <c r="T26" s="685"/>
      <c r="U26" s="685"/>
      <c r="V26" s="685"/>
      <c r="W26" s="685"/>
      <c r="X26" s="685"/>
      <c r="Y26" s="685"/>
      <c r="Z26" s="685"/>
      <c r="AA26" s="685"/>
      <c r="AB26" s="685"/>
      <c r="AC26" s="749">
        <f>S26+AC23</f>
        <v>253604954.26284799</v>
      </c>
      <c r="AD26" s="685"/>
    </row>
    <row r="27" spans="1:30" ht="15" customHeight="1" x14ac:dyDescent="0.25"/>
    <row r="28" spans="1:30" x14ac:dyDescent="0.25">
      <c r="C28" s="750"/>
      <c r="S28" s="751"/>
      <c r="AC28" s="750"/>
    </row>
    <row r="29" spans="1:30" x14ac:dyDescent="0.25">
      <c r="C29" s="751"/>
      <c r="I29" s="751"/>
      <c r="S29" s="751"/>
      <c r="AC29" s="750"/>
    </row>
    <row r="30" spans="1:30" x14ac:dyDescent="0.25">
      <c r="S30" s="751"/>
      <c r="AC30" s="751"/>
    </row>
    <row r="32" spans="1:30" ht="15" customHeight="1" x14ac:dyDescent="0.25">
      <c r="L32" s="751"/>
      <c r="M32" s="751"/>
      <c r="N32" s="751"/>
    </row>
    <row r="34" spans="19:29" x14ac:dyDescent="0.25">
      <c r="S34" s="751"/>
      <c r="AC34" s="751"/>
    </row>
    <row r="35" spans="19:29" x14ac:dyDescent="0.25">
      <c r="AC35" s="751"/>
    </row>
    <row r="37" spans="19:29" ht="15" customHeight="1" x14ac:dyDescent="0.25"/>
  </sheetData>
  <mergeCells count="40">
    <mergeCell ref="O5:O6"/>
    <mergeCell ref="B3:J3"/>
    <mergeCell ref="L3:T3"/>
    <mergeCell ref="V3:AD3"/>
    <mergeCell ref="B5:B6"/>
    <mergeCell ref="C5:C6"/>
    <mergeCell ref="D5:D6"/>
    <mergeCell ref="E5:E6"/>
    <mergeCell ref="F5:F6"/>
    <mergeCell ref="G5:G6"/>
    <mergeCell ref="H5:H6"/>
    <mergeCell ref="I5:I6"/>
    <mergeCell ref="J5:J6"/>
    <mergeCell ref="L5:L6"/>
    <mergeCell ref="M5:M6"/>
    <mergeCell ref="N5:N6"/>
    <mergeCell ref="AA5:AA6"/>
    <mergeCell ref="AB5:AB6"/>
    <mergeCell ref="P5:P6"/>
    <mergeCell ref="Q5:Q6"/>
    <mergeCell ref="R5:R6"/>
    <mergeCell ref="S5:S6"/>
    <mergeCell ref="T5:T6"/>
    <mergeCell ref="V5:V6"/>
    <mergeCell ref="B18:B19"/>
    <mergeCell ref="L18:L19"/>
    <mergeCell ref="V18:V19"/>
    <mergeCell ref="AC1:AD1"/>
    <mergeCell ref="AC5:AC6"/>
    <mergeCell ref="AD5:AD6"/>
    <mergeCell ref="B8:B9"/>
    <mergeCell ref="L8:L9"/>
    <mergeCell ref="V8:V9"/>
    <mergeCell ref="B13:B14"/>
    <mergeCell ref="L13:L14"/>
    <mergeCell ref="V13:V14"/>
    <mergeCell ref="W5:W6"/>
    <mergeCell ref="X5:X6"/>
    <mergeCell ref="Y5:Y6"/>
    <mergeCell ref="Z5:Z6"/>
  </mergeCells>
  <pageMargins left="0.31496062992125984" right="0.31496062992125984" top="0.74803149606299213" bottom="0.74803149606299213" header="0.31496062992125984" footer="0.31496062992125984"/>
  <pageSetup paperSize="9" scale="41"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XFD353"/>
  <sheetViews>
    <sheetView topLeftCell="A5" zoomScale="80" zoomScaleNormal="80" workbookViewId="0">
      <pane ySplit="4" topLeftCell="A9" activePane="bottomLeft" state="frozen"/>
      <selection activeCell="Z28" sqref="Z28"/>
      <selection pane="bottomLeft" activeCell="E57" sqref="E57"/>
    </sheetView>
  </sheetViews>
  <sheetFormatPr defaultRowHeight="12.75" x14ac:dyDescent="0.2"/>
  <cols>
    <col min="1" max="1" width="2.7109375" style="1" customWidth="1"/>
    <col min="2" max="2" width="26.140625" style="1" customWidth="1"/>
    <col min="3" max="3" width="9.140625" style="1" customWidth="1"/>
    <col min="4" max="4" width="7" style="1" customWidth="1"/>
    <col min="5" max="5" width="8.140625" style="1" customWidth="1"/>
    <col min="6" max="6" width="10.140625" style="1" customWidth="1"/>
    <col min="7" max="7" width="9.28515625" style="1" customWidth="1"/>
    <col min="8" max="8" width="9.140625" style="1" customWidth="1"/>
    <col min="9" max="9" width="9.5703125" style="1" customWidth="1"/>
    <col min="10" max="10" width="7.7109375" style="58" customWidth="1"/>
    <col min="11" max="11" width="11.42578125" style="27" customWidth="1"/>
    <col min="12" max="12" width="10.85546875" style="1" customWidth="1"/>
    <col min="13" max="16" width="9.140625" style="1"/>
    <col min="17" max="17" width="9.85546875" style="1" customWidth="1"/>
    <col min="18" max="19" width="10" style="1" customWidth="1"/>
    <col min="20" max="16384" width="9.140625" style="1"/>
  </cols>
  <sheetData>
    <row r="1" spans="1:16384" ht="15.75" x14ac:dyDescent="0.25">
      <c r="I1" s="868"/>
      <c r="J1" s="868"/>
    </row>
    <row r="2" spans="1:16384" ht="15.75" x14ac:dyDescent="0.25">
      <c r="I2" s="9"/>
      <c r="J2" s="313"/>
    </row>
    <row r="3" spans="1:16384" s="64" customFormat="1" ht="33.75" customHeight="1" x14ac:dyDescent="0.25">
      <c r="B3" s="877" t="s">
        <v>182</v>
      </c>
      <c r="C3" s="877"/>
      <c r="D3" s="877"/>
      <c r="E3" s="877"/>
      <c r="F3" s="877"/>
      <c r="G3" s="877"/>
      <c r="H3" s="877"/>
      <c r="I3" s="877"/>
      <c r="J3" s="877"/>
      <c r="K3" s="877"/>
      <c r="L3" s="877"/>
      <c r="M3" s="877"/>
      <c r="N3" s="877"/>
      <c r="O3" s="877"/>
      <c r="P3" s="877"/>
      <c r="Q3" s="877"/>
      <c r="R3" s="877"/>
      <c r="S3" s="877"/>
    </row>
    <row r="4" spans="1:16384" ht="14.25" x14ac:dyDescent="0.2">
      <c r="B4" s="869"/>
      <c r="C4" s="869"/>
      <c r="D4" s="869"/>
      <c r="E4" s="869"/>
      <c r="F4" s="869"/>
      <c r="G4" s="869"/>
      <c r="H4" s="869"/>
      <c r="I4" s="869"/>
      <c r="J4" s="869"/>
    </row>
    <row r="5" spans="1:16384" ht="15" x14ac:dyDescent="0.25">
      <c r="B5" s="745"/>
      <c r="C5" s="745"/>
      <c r="D5" s="745"/>
      <c r="E5" s="745"/>
      <c r="F5" s="745"/>
      <c r="G5" s="745"/>
      <c r="H5" s="745"/>
      <c r="I5" s="745"/>
      <c r="J5" s="745"/>
      <c r="R5" s="817" t="s">
        <v>626</v>
      </c>
      <c r="S5" s="817"/>
    </row>
    <row r="6" spans="1:16384" ht="18" customHeight="1" thickBot="1" x14ac:dyDescent="0.3">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c r="CJ6" s="684"/>
      <c r="CK6" s="684"/>
      <c r="CL6" s="684"/>
      <c r="CM6" s="684"/>
      <c r="CN6" s="684"/>
      <c r="CO6" s="684"/>
      <c r="CP6" s="684"/>
      <c r="CQ6" s="684"/>
      <c r="CR6" s="684"/>
      <c r="CS6" s="684"/>
      <c r="CT6" s="684"/>
      <c r="CU6" s="684"/>
      <c r="CV6" s="684"/>
      <c r="CW6" s="684"/>
      <c r="CX6" s="684"/>
      <c r="CY6" s="684"/>
      <c r="CZ6" s="684"/>
      <c r="DA6" s="684"/>
      <c r="DB6" s="684"/>
      <c r="DC6" s="684"/>
      <c r="DD6" s="684"/>
      <c r="DE6" s="684"/>
      <c r="DF6" s="684"/>
      <c r="DG6" s="684"/>
      <c r="DH6" s="684"/>
      <c r="DI6" s="684"/>
      <c r="DJ6" s="684"/>
      <c r="DK6" s="684"/>
      <c r="DL6" s="684"/>
      <c r="DM6" s="684"/>
      <c r="DN6" s="684"/>
      <c r="DO6" s="684"/>
      <c r="DP6" s="684"/>
      <c r="DQ6" s="684"/>
      <c r="DR6" s="684"/>
      <c r="DS6" s="684"/>
      <c r="DT6" s="684"/>
      <c r="DU6" s="684"/>
      <c r="DV6" s="684"/>
      <c r="DW6" s="684"/>
      <c r="DX6" s="684"/>
      <c r="DY6" s="684"/>
      <c r="DZ6" s="684"/>
      <c r="EA6" s="684"/>
      <c r="EB6" s="684"/>
      <c r="EC6" s="684"/>
      <c r="ED6" s="684"/>
      <c r="EE6" s="684"/>
      <c r="EF6" s="684"/>
      <c r="EG6" s="684"/>
      <c r="EH6" s="684"/>
      <c r="EI6" s="684"/>
      <c r="EJ6" s="684"/>
      <c r="EK6" s="684"/>
      <c r="EL6" s="684"/>
      <c r="EM6" s="684"/>
      <c r="EN6" s="684"/>
      <c r="EO6" s="684"/>
      <c r="EP6" s="684"/>
      <c r="EQ6" s="684"/>
      <c r="ER6" s="684"/>
      <c r="ES6" s="684"/>
      <c r="ET6" s="684"/>
      <c r="EU6" s="684"/>
      <c r="EV6" s="684"/>
      <c r="EW6" s="684"/>
      <c r="EX6" s="684"/>
      <c r="EY6" s="684"/>
      <c r="EZ6" s="684"/>
      <c r="FA6" s="684"/>
      <c r="FB6" s="684"/>
      <c r="FC6" s="684"/>
      <c r="FD6" s="684"/>
      <c r="FE6" s="684"/>
      <c r="FF6" s="684"/>
      <c r="FG6" s="684"/>
      <c r="FH6" s="684"/>
      <c r="FI6" s="684"/>
      <c r="FJ6" s="684"/>
      <c r="FK6" s="684"/>
      <c r="FL6" s="684"/>
      <c r="FM6" s="684"/>
      <c r="FN6" s="684"/>
      <c r="FO6" s="684"/>
      <c r="FP6" s="684"/>
      <c r="FQ6" s="684"/>
      <c r="FR6" s="684"/>
      <c r="FS6" s="684"/>
      <c r="FT6" s="684"/>
      <c r="FU6" s="684"/>
      <c r="FV6" s="684"/>
      <c r="FW6" s="684"/>
      <c r="FX6" s="684"/>
      <c r="FY6" s="684"/>
      <c r="FZ6" s="684"/>
      <c r="GA6" s="684"/>
      <c r="GB6" s="684"/>
      <c r="GC6" s="684"/>
      <c r="GD6" s="684"/>
      <c r="GE6" s="684"/>
      <c r="GF6" s="684"/>
      <c r="GG6" s="684"/>
      <c r="GH6" s="684"/>
      <c r="GI6" s="684"/>
      <c r="GJ6" s="684"/>
      <c r="GK6" s="684"/>
      <c r="GL6" s="684"/>
      <c r="GM6" s="684"/>
      <c r="GN6" s="684"/>
      <c r="GO6" s="684"/>
      <c r="GP6" s="684"/>
      <c r="GQ6" s="684"/>
      <c r="GR6" s="684"/>
      <c r="GS6" s="684"/>
      <c r="GT6" s="684"/>
      <c r="GU6" s="684"/>
      <c r="GV6" s="684"/>
      <c r="GW6" s="684"/>
      <c r="GX6" s="684"/>
      <c r="GY6" s="684"/>
      <c r="GZ6" s="684"/>
      <c r="HA6" s="684"/>
      <c r="HB6" s="684"/>
      <c r="HC6" s="684"/>
      <c r="HD6" s="684"/>
      <c r="HE6" s="684"/>
      <c r="HF6" s="684"/>
      <c r="HG6" s="684"/>
      <c r="HH6" s="684"/>
      <c r="HI6" s="684"/>
      <c r="HJ6" s="684"/>
      <c r="HK6" s="684"/>
      <c r="HL6" s="684"/>
      <c r="HM6" s="684"/>
      <c r="HN6" s="684"/>
      <c r="HO6" s="684"/>
      <c r="HP6" s="684"/>
      <c r="HQ6" s="684"/>
      <c r="HR6" s="684"/>
      <c r="HS6" s="684"/>
      <c r="HT6" s="684"/>
      <c r="HU6" s="684"/>
      <c r="HV6" s="684"/>
      <c r="HW6" s="684"/>
      <c r="HX6" s="684"/>
      <c r="HY6" s="684"/>
      <c r="HZ6" s="684"/>
      <c r="IA6" s="684"/>
      <c r="IB6" s="684"/>
      <c r="IC6" s="684"/>
      <c r="ID6" s="684"/>
      <c r="IE6" s="684"/>
      <c r="IF6" s="684"/>
      <c r="IG6" s="684"/>
      <c r="IH6" s="684"/>
      <c r="II6" s="684"/>
      <c r="IJ6" s="684"/>
      <c r="IK6" s="684"/>
      <c r="IL6" s="684"/>
      <c r="IM6" s="684"/>
      <c r="IN6" s="684"/>
      <c r="IO6" s="684"/>
      <c r="IP6" s="684"/>
      <c r="IQ6" s="684"/>
      <c r="IR6" s="684"/>
      <c r="IS6" s="684"/>
      <c r="IT6" s="684"/>
      <c r="IU6" s="684"/>
      <c r="IV6" s="684"/>
      <c r="IW6" s="684"/>
      <c r="IX6" s="684"/>
      <c r="IY6" s="684"/>
      <c r="IZ6" s="684"/>
      <c r="JA6" s="684"/>
      <c r="JB6" s="684"/>
      <c r="JC6" s="684"/>
      <c r="JD6" s="684"/>
      <c r="JE6" s="684"/>
      <c r="JF6" s="684"/>
      <c r="JG6" s="684"/>
      <c r="JH6" s="684"/>
      <c r="JI6" s="684"/>
      <c r="JJ6" s="684"/>
      <c r="JK6" s="684"/>
      <c r="JL6" s="684"/>
      <c r="JM6" s="684"/>
      <c r="JN6" s="684"/>
      <c r="JO6" s="684"/>
      <c r="JP6" s="684"/>
      <c r="JQ6" s="684"/>
      <c r="JR6" s="684"/>
      <c r="JS6" s="684"/>
      <c r="JT6" s="684"/>
      <c r="JU6" s="684"/>
      <c r="JV6" s="684"/>
      <c r="JW6" s="684"/>
      <c r="JX6" s="684"/>
      <c r="JY6" s="684"/>
      <c r="JZ6" s="684"/>
      <c r="KA6" s="684"/>
      <c r="KB6" s="684"/>
      <c r="KC6" s="684"/>
      <c r="KD6" s="684"/>
      <c r="KE6" s="684"/>
      <c r="KF6" s="684"/>
      <c r="KG6" s="684"/>
      <c r="KH6" s="684"/>
      <c r="KI6" s="684"/>
      <c r="KJ6" s="684"/>
      <c r="KK6" s="684"/>
      <c r="KL6" s="684"/>
      <c r="KM6" s="684"/>
      <c r="KN6" s="684"/>
      <c r="KO6" s="684"/>
      <c r="KP6" s="684"/>
      <c r="KQ6" s="684"/>
      <c r="KR6" s="684"/>
      <c r="KS6" s="684"/>
      <c r="KT6" s="684"/>
      <c r="KU6" s="684"/>
      <c r="KV6" s="684"/>
      <c r="KW6" s="684"/>
      <c r="KX6" s="684"/>
      <c r="KY6" s="684"/>
      <c r="KZ6" s="684"/>
      <c r="LA6" s="684"/>
      <c r="LB6" s="684"/>
      <c r="LC6" s="684"/>
      <c r="LD6" s="684"/>
      <c r="LE6" s="684"/>
      <c r="LF6" s="684"/>
      <c r="LG6" s="684"/>
      <c r="LH6" s="684"/>
      <c r="LI6" s="684"/>
      <c r="LJ6" s="684"/>
      <c r="LK6" s="684"/>
      <c r="LL6" s="684"/>
      <c r="LM6" s="684"/>
      <c r="LN6" s="684"/>
      <c r="LO6" s="684"/>
      <c r="LP6" s="684"/>
      <c r="LQ6" s="684"/>
      <c r="LR6" s="684"/>
      <c r="LS6" s="684"/>
      <c r="LT6" s="684"/>
      <c r="LU6" s="684"/>
      <c r="LV6" s="684"/>
      <c r="LW6" s="684"/>
      <c r="LX6" s="684"/>
      <c r="LY6" s="684"/>
      <c r="LZ6" s="684"/>
      <c r="MA6" s="684"/>
      <c r="MB6" s="684"/>
      <c r="MC6" s="684"/>
      <c r="MD6" s="684"/>
      <c r="ME6" s="684"/>
      <c r="MF6" s="684"/>
      <c r="MG6" s="684"/>
      <c r="MH6" s="684"/>
      <c r="MI6" s="684"/>
      <c r="MJ6" s="684"/>
      <c r="MK6" s="684"/>
      <c r="ML6" s="684"/>
      <c r="MM6" s="684"/>
      <c r="MN6" s="684"/>
      <c r="MO6" s="684"/>
      <c r="MP6" s="684"/>
      <c r="MQ6" s="684"/>
      <c r="MR6" s="684"/>
      <c r="MS6" s="684"/>
      <c r="MT6" s="684"/>
      <c r="MU6" s="684"/>
      <c r="MV6" s="684"/>
      <c r="MW6" s="684"/>
      <c r="MX6" s="684"/>
      <c r="MY6" s="684"/>
      <c r="MZ6" s="684"/>
      <c r="NA6" s="684"/>
      <c r="NB6" s="684"/>
      <c r="NC6" s="684"/>
      <c r="ND6" s="684"/>
      <c r="NE6" s="684"/>
      <c r="NF6" s="684"/>
      <c r="NG6" s="684"/>
      <c r="NH6" s="684"/>
      <c r="NI6" s="684"/>
      <c r="NJ6" s="684"/>
      <c r="NK6" s="684"/>
      <c r="NL6" s="684"/>
      <c r="NM6" s="684"/>
      <c r="NN6" s="684"/>
      <c r="NO6" s="684"/>
      <c r="NP6" s="684"/>
      <c r="NQ6" s="684"/>
      <c r="NR6" s="684"/>
      <c r="NS6" s="684"/>
      <c r="NT6" s="684"/>
      <c r="NU6" s="684"/>
      <c r="NV6" s="684"/>
      <c r="NW6" s="684"/>
      <c r="NX6" s="684"/>
      <c r="NY6" s="684"/>
      <c r="NZ6" s="684"/>
      <c r="OA6" s="684"/>
      <c r="OB6" s="684"/>
      <c r="OC6" s="684"/>
      <c r="OD6" s="684"/>
      <c r="OE6" s="684"/>
      <c r="OF6" s="684"/>
      <c r="OG6" s="684"/>
      <c r="OH6" s="684"/>
      <c r="OI6" s="684"/>
      <c r="OJ6" s="684"/>
      <c r="OK6" s="684"/>
      <c r="OL6" s="684"/>
      <c r="OM6" s="684"/>
      <c r="ON6" s="684"/>
      <c r="OO6" s="684"/>
      <c r="OP6" s="684"/>
      <c r="OQ6" s="684"/>
      <c r="OR6" s="684"/>
      <c r="OS6" s="684"/>
      <c r="OT6" s="684"/>
      <c r="OU6" s="684"/>
      <c r="OV6" s="684"/>
      <c r="OW6" s="684"/>
      <c r="OX6" s="684"/>
      <c r="OY6" s="684"/>
      <c r="OZ6" s="684"/>
      <c r="PA6" s="684"/>
      <c r="PB6" s="684"/>
      <c r="PC6" s="684"/>
      <c r="PD6" s="684"/>
      <c r="PE6" s="684"/>
      <c r="PF6" s="684"/>
      <c r="PG6" s="684"/>
      <c r="PH6" s="684"/>
      <c r="PI6" s="684"/>
      <c r="PJ6" s="684"/>
      <c r="PK6" s="684"/>
      <c r="PL6" s="684"/>
      <c r="PM6" s="684"/>
      <c r="PN6" s="684"/>
      <c r="PO6" s="684"/>
      <c r="PP6" s="684"/>
      <c r="PQ6" s="684"/>
      <c r="PR6" s="684"/>
      <c r="PS6" s="684"/>
      <c r="PT6" s="684"/>
      <c r="PU6" s="684"/>
      <c r="PV6" s="684"/>
      <c r="PW6" s="684"/>
      <c r="PX6" s="684"/>
      <c r="PY6" s="684"/>
      <c r="PZ6" s="684"/>
      <c r="QA6" s="684"/>
      <c r="QB6" s="684"/>
      <c r="QC6" s="684"/>
      <c r="QD6" s="684"/>
      <c r="QE6" s="684"/>
      <c r="QF6" s="684"/>
      <c r="QG6" s="684"/>
      <c r="QH6" s="684"/>
      <c r="QI6" s="684"/>
      <c r="QJ6" s="684"/>
      <c r="QK6" s="684"/>
      <c r="QL6" s="684"/>
      <c r="QM6" s="684"/>
      <c r="QN6" s="684"/>
      <c r="QO6" s="684"/>
      <c r="QP6" s="684"/>
      <c r="QQ6" s="684"/>
      <c r="QR6" s="684"/>
      <c r="QS6" s="684"/>
      <c r="QT6" s="684"/>
      <c r="QU6" s="684"/>
      <c r="QV6" s="684"/>
      <c r="QW6" s="684"/>
      <c r="QX6" s="684"/>
      <c r="QY6" s="684"/>
      <c r="QZ6" s="684"/>
      <c r="RA6" s="684"/>
      <c r="RB6" s="684"/>
      <c r="RC6" s="684"/>
      <c r="RD6" s="684"/>
      <c r="RE6" s="684"/>
      <c r="RF6" s="684"/>
      <c r="RG6" s="684"/>
      <c r="RH6" s="684"/>
      <c r="RI6" s="684"/>
      <c r="RJ6" s="684"/>
      <c r="RK6" s="684"/>
      <c r="RL6" s="684"/>
      <c r="RM6" s="684"/>
      <c r="RN6" s="684"/>
      <c r="RO6" s="684"/>
      <c r="RP6" s="684"/>
      <c r="RQ6" s="684"/>
      <c r="RR6" s="684"/>
      <c r="RS6" s="684"/>
      <c r="RT6" s="684"/>
      <c r="RU6" s="684"/>
      <c r="RV6" s="684"/>
      <c r="RW6" s="684"/>
      <c r="RX6" s="684"/>
      <c r="RY6" s="684"/>
      <c r="RZ6" s="684"/>
      <c r="SA6" s="684"/>
      <c r="SB6" s="684"/>
      <c r="SC6" s="684"/>
      <c r="SD6" s="684"/>
      <c r="SE6" s="684"/>
      <c r="SF6" s="684"/>
      <c r="SG6" s="684"/>
      <c r="SH6" s="684"/>
      <c r="SI6" s="684"/>
      <c r="SJ6" s="684"/>
      <c r="SK6" s="684"/>
      <c r="SL6" s="684"/>
      <c r="SM6" s="684"/>
      <c r="SN6" s="684"/>
      <c r="SO6" s="684"/>
      <c r="SP6" s="684"/>
      <c r="SQ6" s="684"/>
      <c r="SR6" s="684"/>
      <c r="SS6" s="684"/>
      <c r="ST6" s="684"/>
      <c r="SU6" s="684"/>
      <c r="SV6" s="684"/>
      <c r="SW6" s="684"/>
      <c r="SX6" s="684"/>
      <c r="SY6" s="684"/>
      <c r="SZ6" s="684"/>
      <c r="TA6" s="684"/>
      <c r="TB6" s="684"/>
      <c r="TC6" s="684"/>
      <c r="TD6" s="684"/>
      <c r="TE6" s="684"/>
      <c r="TF6" s="684"/>
      <c r="TG6" s="684"/>
      <c r="TH6" s="684"/>
      <c r="TI6" s="684"/>
      <c r="TJ6" s="684"/>
      <c r="TK6" s="684"/>
      <c r="TL6" s="684"/>
      <c r="TM6" s="684"/>
      <c r="TN6" s="684"/>
      <c r="TO6" s="684"/>
      <c r="TP6" s="684"/>
      <c r="TQ6" s="684"/>
      <c r="TR6" s="684"/>
      <c r="TS6" s="684"/>
      <c r="TT6" s="684"/>
      <c r="TU6" s="684"/>
      <c r="TV6" s="684"/>
      <c r="TW6" s="684"/>
      <c r="TX6" s="684"/>
      <c r="TY6" s="684"/>
      <c r="TZ6" s="684"/>
      <c r="UA6" s="684"/>
      <c r="UB6" s="684"/>
      <c r="UC6" s="684"/>
      <c r="UD6" s="684"/>
      <c r="UE6" s="684"/>
      <c r="UF6" s="684"/>
      <c r="UG6" s="684"/>
      <c r="UH6" s="684"/>
      <c r="UI6" s="684"/>
      <c r="UJ6" s="684"/>
      <c r="UK6" s="684"/>
      <c r="UL6" s="684"/>
      <c r="UM6" s="684"/>
      <c r="UN6" s="684"/>
      <c r="UO6" s="684"/>
      <c r="UP6" s="684"/>
      <c r="UQ6" s="684"/>
      <c r="UR6" s="684"/>
      <c r="US6" s="684"/>
      <c r="UT6" s="684"/>
      <c r="UU6" s="684"/>
      <c r="UV6" s="684"/>
      <c r="UW6" s="684"/>
      <c r="UX6" s="684"/>
      <c r="UY6" s="684"/>
      <c r="UZ6" s="684"/>
      <c r="VA6" s="684"/>
      <c r="VB6" s="684"/>
      <c r="VC6" s="684"/>
      <c r="VD6" s="684"/>
      <c r="VE6" s="684"/>
      <c r="VF6" s="684"/>
      <c r="VG6" s="684"/>
      <c r="VH6" s="684"/>
      <c r="VI6" s="684"/>
      <c r="VJ6" s="684"/>
      <c r="VK6" s="684"/>
      <c r="VL6" s="684"/>
      <c r="VM6" s="684"/>
      <c r="VN6" s="684"/>
      <c r="VO6" s="684"/>
      <c r="VP6" s="684"/>
      <c r="VQ6" s="684"/>
      <c r="VR6" s="684"/>
      <c r="VS6" s="684"/>
      <c r="VT6" s="684"/>
      <c r="VU6" s="684"/>
      <c r="VV6" s="684"/>
      <c r="VW6" s="684"/>
      <c r="VX6" s="684"/>
      <c r="VY6" s="684"/>
      <c r="VZ6" s="684"/>
      <c r="WA6" s="684"/>
      <c r="WB6" s="684"/>
      <c r="WC6" s="684"/>
      <c r="WD6" s="684"/>
      <c r="WE6" s="684"/>
      <c r="WF6" s="684"/>
      <c r="WG6" s="684"/>
      <c r="WH6" s="684"/>
      <c r="WI6" s="684"/>
      <c r="WJ6" s="684"/>
      <c r="WK6" s="684"/>
      <c r="WL6" s="684"/>
      <c r="WM6" s="684"/>
      <c r="WN6" s="684"/>
      <c r="WO6" s="684"/>
      <c r="WP6" s="684"/>
      <c r="WQ6" s="684"/>
      <c r="WR6" s="684"/>
      <c r="WS6" s="684"/>
      <c r="WT6" s="684"/>
      <c r="WU6" s="684"/>
      <c r="WV6" s="684"/>
      <c r="WW6" s="684"/>
      <c r="WX6" s="684"/>
      <c r="WY6" s="684"/>
      <c r="WZ6" s="684"/>
      <c r="XA6" s="684"/>
      <c r="XB6" s="684"/>
      <c r="XC6" s="684"/>
      <c r="XD6" s="684"/>
      <c r="XE6" s="684"/>
      <c r="XF6" s="684"/>
      <c r="XG6" s="684"/>
      <c r="XH6" s="684"/>
      <c r="XI6" s="684"/>
      <c r="XJ6" s="684"/>
      <c r="XK6" s="684"/>
      <c r="XL6" s="684"/>
      <c r="XM6" s="684"/>
      <c r="XN6" s="684"/>
      <c r="XO6" s="684"/>
      <c r="XP6" s="684"/>
      <c r="XQ6" s="684"/>
      <c r="XR6" s="684"/>
      <c r="XS6" s="684"/>
      <c r="XT6" s="684"/>
      <c r="XU6" s="684"/>
      <c r="XV6" s="684"/>
      <c r="XW6" s="684"/>
      <c r="XX6" s="684"/>
      <c r="XY6" s="684"/>
      <c r="XZ6" s="684"/>
      <c r="YA6" s="684"/>
      <c r="YB6" s="684"/>
      <c r="YC6" s="684"/>
      <c r="YD6" s="684"/>
      <c r="YE6" s="684"/>
      <c r="YF6" s="684"/>
      <c r="YG6" s="684"/>
      <c r="YH6" s="684"/>
      <c r="YI6" s="684"/>
      <c r="YJ6" s="684"/>
      <c r="YK6" s="684"/>
      <c r="YL6" s="684"/>
      <c r="YM6" s="684"/>
      <c r="YN6" s="684"/>
      <c r="YO6" s="684"/>
      <c r="YP6" s="684"/>
      <c r="YQ6" s="684"/>
      <c r="YR6" s="684"/>
      <c r="YS6" s="684"/>
      <c r="YT6" s="684"/>
      <c r="YU6" s="684"/>
      <c r="YV6" s="684"/>
      <c r="YW6" s="684"/>
      <c r="YX6" s="684"/>
      <c r="YY6" s="684"/>
      <c r="YZ6" s="684"/>
      <c r="ZA6" s="684"/>
      <c r="ZB6" s="684"/>
      <c r="ZC6" s="684"/>
      <c r="ZD6" s="684"/>
      <c r="ZE6" s="684"/>
      <c r="ZF6" s="684"/>
      <c r="ZG6" s="684"/>
      <c r="ZH6" s="684"/>
      <c r="ZI6" s="684"/>
      <c r="ZJ6" s="684"/>
      <c r="ZK6" s="684"/>
      <c r="ZL6" s="684"/>
      <c r="ZM6" s="684"/>
      <c r="ZN6" s="684"/>
      <c r="ZO6" s="684"/>
      <c r="ZP6" s="684"/>
      <c r="ZQ6" s="684"/>
      <c r="ZR6" s="684"/>
      <c r="ZS6" s="684"/>
      <c r="ZT6" s="684"/>
      <c r="ZU6" s="684"/>
      <c r="ZV6" s="684"/>
      <c r="ZW6" s="684"/>
      <c r="ZX6" s="684"/>
      <c r="ZY6" s="684"/>
      <c r="ZZ6" s="684"/>
      <c r="AAA6" s="684"/>
      <c r="AAB6" s="684"/>
      <c r="AAC6" s="684"/>
      <c r="AAD6" s="684"/>
      <c r="AAE6" s="684"/>
      <c r="AAF6" s="684"/>
      <c r="AAG6" s="684"/>
      <c r="AAH6" s="684"/>
      <c r="AAI6" s="684"/>
      <c r="AAJ6" s="684"/>
      <c r="AAK6" s="684"/>
      <c r="AAL6" s="684"/>
      <c r="AAM6" s="684"/>
      <c r="AAN6" s="684"/>
      <c r="AAO6" s="684"/>
      <c r="AAP6" s="684"/>
      <c r="AAQ6" s="684"/>
      <c r="AAR6" s="684"/>
      <c r="AAS6" s="684"/>
      <c r="AAT6" s="684"/>
      <c r="AAU6" s="684"/>
      <c r="AAV6" s="684"/>
      <c r="AAW6" s="684"/>
      <c r="AAX6" s="684"/>
      <c r="AAY6" s="684"/>
      <c r="AAZ6" s="684"/>
      <c r="ABA6" s="684"/>
      <c r="ABB6" s="684"/>
      <c r="ABC6" s="684"/>
      <c r="ABD6" s="684"/>
      <c r="ABE6" s="684"/>
      <c r="ABF6" s="684"/>
      <c r="ABG6" s="684"/>
      <c r="ABH6" s="684"/>
      <c r="ABI6" s="684"/>
      <c r="ABJ6" s="684"/>
      <c r="ABK6" s="684"/>
      <c r="ABL6" s="684"/>
      <c r="ABM6" s="684"/>
      <c r="ABN6" s="684"/>
      <c r="ABO6" s="684"/>
      <c r="ABP6" s="684"/>
      <c r="ABQ6" s="684"/>
      <c r="ABR6" s="684"/>
      <c r="ABS6" s="684"/>
      <c r="ABT6" s="684"/>
      <c r="ABU6" s="684"/>
      <c r="ABV6" s="684"/>
      <c r="ABW6" s="684"/>
      <c r="ABX6" s="684"/>
      <c r="ABY6" s="684"/>
      <c r="ABZ6" s="684"/>
      <c r="ACA6" s="684"/>
      <c r="ACB6" s="684"/>
      <c r="ACC6" s="684"/>
      <c r="ACD6" s="684"/>
      <c r="ACE6" s="684"/>
      <c r="ACF6" s="684"/>
      <c r="ACG6" s="684"/>
      <c r="ACH6" s="684"/>
      <c r="ACI6" s="684"/>
      <c r="ACJ6" s="684"/>
      <c r="ACK6" s="684"/>
      <c r="ACL6" s="684"/>
      <c r="ACM6" s="684"/>
      <c r="ACN6" s="684"/>
      <c r="ACO6" s="684"/>
      <c r="ACP6" s="684"/>
      <c r="ACQ6" s="684"/>
      <c r="ACR6" s="684"/>
      <c r="ACS6" s="684"/>
      <c r="ACT6" s="684"/>
      <c r="ACU6" s="684"/>
      <c r="ACV6" s="684"/>
      <c r="ACW6" s="684"/>
      <c r="ACX6" s="684"/>
      <c r="ACY6" s="684"/>
      <c r="ACZ6" s="684"/>
      <c r="ADA6" s="684"/>
      <c r="ADB6" s="684"/>
      <c r="ADC6" s="684"/>
      <c r="ADD6" s="684"/>
      <c r="ADE6" s="684"/>
      <c r="ADF6" s="684"/>
      <c r="ADG6" s="684"/>
      <c r="ADH6" s="684"/>
      <c r="ADI6" s="684"/>
      <c r="ADJ6" s="684"/>
      <c r="ADK6" s="684"/>
      <c r="ADL6" s="684"/>
      <c r="ADM6" s="684"/>
      <c r="ADN6" s="684"/>
      <c r="ADO6" s="684"/>
      <c r="ADP6" s="684"/>
      <c r="ADQ6" s="684"/>
      <c r="ADR6" s="684"/>
      <c r="ADS6" s="684"/>
      <c r="ADT6" s="684"/>
      <c r="ADU6" s="684"/>
      <c r="ADV6" s="684"/>
      <c r="ADW6" s="684"/>
      <c r="ADX6" s="684"/>
      <c r="ADY6" s="684"/>
      <c r="ADZ6" s="684"/>
      <c r="AEA6" s="684"/>
      <c r="AEB6" s="684"/>
      <c r="AEC6" s="684"/>
      <c r="AED6" s="684"/>
      <c r="AEE6" s="684"/>
      <c r="AEF6" s="684"/>
      <c r="AEG6" s="684"/>
      <c r="AEH6" s="684"/>
      <c r="AEI6" s="684"/>
      <c r="AEJ6" s="684"/>
      <c r="AEK6" s="684"/>
      <c r="AEL6" s="684"/>
      <c r="AEM6" s="684"/>
      <c r="AEN6" s="684"/>
      <c r="AEO6" s="684"/>
      <c r="AEP6" s="684"/>
      <c r="AEQ6" s="684"/>
      <c r="AER6" s="684"/>
      <c r="AES6" s="684"/>
      <c r="AET6" s="684"/>
      <c r="AEU6" s="684"/>
      <c r="AEV6" s="684"/>
      <c r="AEW6" s="684"/>
      <c r="AEX6" s="684"/>
      <c r="AEY6" s="684"/>
      <c r="AEZ6" s="684"/>
      <c r="AFA6" s="684"/>
      <c r="AFB6" s="684"/>
      <c r="AFC6" s="684"/>
      <c r="AFD6" s="684"/>
      <c r="AFE6" s="684"/>
      <c r="AFF6" s="684"/>
      <c r="AFG6" s="684"/>
      <c r="AFH6" s="684"/>
      <c r="AFI6" s="684"/>
      <c r="AFJ6" s="684"/>
      <c r="AFK6" s="684"/>
      <c r="AFL6" s="684"/>
      <c r="AFM6" s="684"/>
      <c r="AFN6" s="684"/>
      <c r="AFO6" s="684"/>
      <c r="AFP6" s="684"/>
      <c r="AFQ6" s="684"/>
      <c r="AFR6" s="684"/>
      <c r="AFS6" s="684"/>
      <c r="AFT6" s="684"/>
      <c r="AFU6" s="684"/>
      <c r="AFV6" s="684"/>
      <c r="AFW6" s="684"/>
      <c r="AFX6" s="684"/>
      <c r="AFY6" s="684"/>
      <c r="AFZ6" s="684"/>
      <c r="AGA6" s="684"/>
      <c r="AGB6" s="684"/>
      <c r="AGC6" s="684"/>
      <c r="AGD6" s="684"/>
      <c r="AGE6" s="684"/>
      <c r="AGF6" s="684"/>
      <c r="AGG6" s="684"/>
      <c r="AGH6" s="684"/>
      <c r="AGI6" s="684"/>
      <c r="AGJ6" s="684"/>
      <c r="AGK6" s="684"/>
      <c r="AGL6" s="684"/>
      <c r="AGM6" s="684"/>
      <c r="AGN6" s="684"/>
      <c r="AGO6" s="684"/>
      <c r="AGP6" s="684"/>
      <c r="AGQ6" s="684"/>
      <c r="AGR6" s="684"/>
      <c r="AGS6" s="684"/>
      <c r="AGT6" s="684"/>
      <c r="AGU6" s="684"/>
      <c r="AGV6" s="684"/>
      <c r="AGW6" s="684"/>
      <c r="AGX6" s="684"/>
      <c r="AGY6" s="684"/>
      <c r="AGZ6" s="684"/>
      <c r="AHA6" s="684"/>
      <c r="AHB6" s="684"/>
      <c r="AHC6" s="684"/>
      <c r="AHD6" s="684"/>
      <c r="AHE6" s="684"/>
      <c r="AHF6" s="684"/>
      <c r="AHG6" s="684"/>
      <c r="AHH6" s="684"/>
      <c r="AHI6" s="684"/>
      <c r="AHJ6" s="684"/>
      <c r="AHK6" s="684"/>
      <c r="AHL6" s="684"/>
      <c r="AHM6" s="684"/>
      <c r="AHN6" s="684"/>
      <c r="AHO6" s="684"/>
      <c r="AHP6" s="684"/>
      <c r="AHQ6" s="684"/>
      <c r="AHR6" s="684"/>
      <c r="AHS6" s="684"/>
      <c r="AHT6" s="684"/>
      <c r="AHU6" s="684"/>
      <c r="AHV6" s="684"/>
      <c r="AHW6" s="684"/>
      <c r="AHX6" s="684"/>
      <c r="AHY6" s="684"/>
      <c r="AHZ6" s="684"/>
      <c r="AIA6" s="684"/>
      <c r="AIB6" s="684"/>
      <c r="AIC6" s="684"/>
      <c r="AID6" s="684"/>
      <c r="AIE6" s="684"/>
      <c r="AIF6" s="684"/>
      <c r="AIG6" s="684"/>
      <c r="AIH6" s="684"/>
      <c r="AII6" s="684"/>
      <c r="AIJ6" s="684"/>
      <c r="AIK6" s="684"/>
      <c r="AIL6" s="684"/>
      <c r="AIM6" s="684"/>
      <c r="AIN6" s="684"/>
      <c r="AIO6" s="684"/>
      <c r="AIP6" s="684"/>
      <c r="AIQ6" s="684"/>
      <c r="AIR6" s="684"/>
      <c r="AIS6" s="684"/>
      <c r="AIT6" s="684"/>
      <c r="AIU6" s="684"/>
      <c r="AIV6" s="684"/>
      <c r="AIW6" s="684"/>
      <c r="AIX6" s="684"/>
      <c r="AIY6" s="684"/>
      <c r="AIZ6" s="684"/>
      <c r="AJA6" s="684"/>
      <c r="AJB6" s="684"/>
      <c r="AJC6" s="684"/>
      <c r="AJD6" s="684"/>
      <c r="AJE6" s="684"/>
      <c r="AJF6" s="684"/>
      <c r="AJG6" s="684"/>
      <c r="AJH6" s="684"/>
      <c r="AJI6" s="684"/>
      <c r="AJJ6" s="684"/>
      <c r="AJK6" s="684"/>
      <c r="AJL6" s="684"/>
      <c r="AJM6" s="684"/>
      <c r="AJN6" s="684"/>
      <c r="AJO6" s="684"/>
      <c r="AJP6" s="684"/>
      <c r="AJQ6" s="684"/>
      <c r="AJR6" s="684"/>
      <c r="AJS6" s="684"/>
      <c r="AJT6" s="684"/>
      <c r="AJU6" s="684"/>
      <c r="AJV6" s="684"/>
      <c r="AJW6" s="684"/>
      <c r="AJX6" s="684"/>
      <c r="AJY6" s="684"/>
      <c r="AJZ6" s="684"/>
      <c r="AKA6" s="684"/>
      <c r="AKB6" s="684"/>
      <c r="AKC6" s="684"/>
      <c r="AKD6" s="684"/>
      <c r="AKE6" s="684"/>
      <c r="AKF6" s="684"/>
      <c r="AKG6" s="684"/>
      <c r="AKH6" s="684"/>
      <c r="AKI6" s="684"/>
      <c r="AKJ6" s="684"/>
      <c r="AKK6" s="684"/>
      <c r="AKL6" s="684"/>
      <c r="AKM6" s="684"/>
      <c r="AKN6" s="684"/>
      <c r="AKO6" s="684"/>
      <c r="AKP6" s="684"/>
      <c r="AKQ6" s="684"/>
      <c r="AKR6" s="684"/>
      <c r="AKS6" s="684"/>
      <c r="AKT6" s="684"/>
      <c r="AKU6" s="684"/>
      <c r="AKV6" s="684"/>
      <c r="AKW6" s="684"/>
      <c r="AKX6" s="684"/>
      <c r="AKY6" s="684"/>
      <c r="AKZ6" s="684"/>
      <c r="ALA6" s="684"/>
      <c r="ALB6" s="684"/>
      <c r="ALC6" s="684"/>
      <c r="ALD6" s="684"/>
      <c r="ALE6" s="684"/>
      <c r="ALF6" s="684"/>
      <c r="ALG6" s="684"/>
      <c r="ALH6" s="684"/>
      <c r="ALI6" s="684"/>
      <c r="ALJ6" s="684"/>
      <c r="ALK6" s="684"/>
      <c r="ALL6" s="684"/>
      <c r="ALM6" s="684"/>
      <c r="ALN6" s="684"/>
      <c r="ALO6" s="684"/>
      <c r="ALP6" s="684"/>
      <c r="ALQ6" s="684"/>
      <c r="ALR6" s="684"/>
      <c r="ALS6" s="684"/>
      <c r="ALT6" s="684"/>
      <c r="ALU6" s="684"/>
      <c r="ALV6" s="684"/>
      <c r="ALW6" s="684"/>
      <c r="ALX6" s="684"/>
      <c r="ALY6" s="684"/>
      <c r="ALZ6" s="684"/>
      <c r="AMA6" s="684"/>
      <c r="AMB6" s="684"/>
      <c r="AMC6" s="684"/>
      <c r="AMD6" s="684"/>
      <c r="AME6" s="684"/>
      <c r="AMF6" s="684"/>
      <c r="AMG6" s="684"/>
      <c r="AMH6" s="684"/>
      <c r="AMI6" s="684"/>
      <c r="AMJ6" s="684"/>
      <c r="AMK6" s="684"/>
      <c r="AML6" s="684"/>
      <c r="AMM6" s="684"/>
      <c r="AMN6" s="684"/>
      <c r="AMO6" s="684"/>
      <c r="AMP6" s="684"/>
      <c r="AMQ6" s="684"/>
      <c r="AMR6" s="684"/>
      <c r="AMS6" s="684"/>
      <c r="AMT6" s="684"/>
      <c r="AMU6" s="684"/>
      <c r="AMV6" s="684"/>
      <c r="AMW6" s="684"/>
      <c r="AMX6" s="684"/>
      <c r="AMY6" s="684"/>
      <c r="AMZ6" s="684"/>
      <c r="ANA6" s="684"/>
      <c r="ANB6" s="684"/>
      <c r="ANC6" s="684"/>
      <c r="AND6" s="684"/>
      <c r="ANE6" s="684"/>
      <c r="ANF6" s="684"/>
      <c r="ANG6" s="684"/>
      <c r="ANH6" s="684"/>
      <c r="ANI6" s="684"/>
      <c r="ANJ6" s="684"/>
      <c r="ANK6" s="684"/>
      <c r="ANL6" s="684"/>
      <c r="ANM6" s="684"/>
      <c r="ANN6" s="684"/>
      <c r="ANO6" s="684"/>
      <c r="ANP6" s="684"/>
      <c r="ANQ6" s="684"/>
      <c r="ANR6" s="684"/>
      <c r="ANS6" s="684"/>
      <c r="ANT6" s="684"/>
      <c r="ANU6" s="684"/>
      <c r="ANV6" s="684"/>
      <c r="ANW6" s="684"/>
      <c r="ANX6" s="684"/>
      <c r="ANY6" s="684"/>
      <c r="ANZ6" s="684"/>
      <c r="AOA6" s="684"/>
      <c r="AOB6" s="684"/>
      <c r="AOC6" s="684"/>
      <c r="AOD6" s="684"/>
      <c r="AOE6" s="684"/>
      <c r="AOF6" s="684"/>
      <c r="AOG6" s="684"/>
      <c r="AOH6" s="684"/>
      <c r="AOI6" s="684"/>
      <c r="AOJ6" s="684"/>
      <c r="AOK6" s="684"/>
      <c r="AOL6" s="684"/>
      <c r="AOM6" s="684"/>
      <c r="AON6" s="684"/>
      <c r="AOO6" s="684"/>
      <c r="AOP6" s="684"/>
      <c r="AOQ6" s="684"/>
      <c r="AOR6" s="684"/>
      <c r="AOS6" s="684"/>
      <c r="AOT6" s="684"/>
      <c r="AOU6" s="684"/>
      <c r="AOV6" s="684"/>
      <c r="AOW6" s="684"/>
      <c r="AOX6" s="684"/>
      <c r="AOY6" s="684"/>
      <c r="AOZ6" s="684"/>
      <c r="APA6" s="684"/>
      <c r="APB6" s="684"/>
      <c r="APC6" s="684"/>
      <c r="APD6" s="684"/>
      <c r="APE6" s="684"/>
      <c r="APF6" s="684"/>
      <c r="APG6" s="684"/>
      <c r="APH6" s="684"/>
      <c r="API6" s="684"/>
      <c r="APJ6" s="684"/>
      <c r="APK6" s="684"/>
      <c r="APL6" s="684"/>
      <c r="APM6" s="684"/>
      <c r="APN6" s="684"/>
      <c r="APO6" s="684"/>
      <c r="APP6" s="684"/>
      <c r="APQ6" s="684"/>
      <c r="APR6" s="684"/>
      <c r="APS6" s="684"/>
      <c r="APT6" s="684"/>
      <c r="APU6" s="684"/>
      <c r="APV6" s="684"/>
      <c r="APW6" s="684"/>
      <c r="APX6" s="684"/>
      <c r="APY6" s="684"/>
      <c r="APZ6" s="684"/>
      <c r="AQA6" s="684"/>
      <c r="AQB6" s="684"/>
      <c r="AQC6" s="684"/>
      <c r="AQD6" s="684"/>
      <c r="AQE6" s="684"/>
      <c r="AQF6" s="684"/>
      <c r="AQG6" s="684"/>
      <c r="AQH6" s="684"/>
      <c r="AQI6" s="684"/>
      <c r="AQJ6" s="684"/>
      <c r="AQK6" s="684"/>
      <c r="AQL6" s="684"/>
      <c r="AQM6" s="684"/>
      <c r="AQN6" s="684"/>
      <c r="AQO6" s="684"/>
      <c r="AQP6" s="684"/>
      <c r="AQQ6" s="684"/>
      <c r="AQR6" s="684"/>
      <c r="AQS6" s="684"/>
      <c r="AQT6" s="684"/>
      <c r="AQU6" s="684"/>
      <c r="AQV6" s="684"/>
      <c r="AQW6" s="684"/>
      <c r="AQX6" s="684"/>
      <c r="AQY6" s="684"/>
      <c r="AQZ6" s="684"/>
      <c r="ARA6" s="684"/>
      <c r="ARB6" s="684"/>
      <c r="ARC6" s="684"/>
      <c r="ARD6" s="684"/>
      <c r="ARE6" s="684"/>
      <c r="ARF6" s="684"/>
      <c r="ARG6" s="684"/>
      <c r="ARH6" s="684"/>
      <c r="ARI6" s="684"/>
      <c r="ARJ6" s="684"/>
      <c r="ARK6" s="684"/>
      <c r="ARL6" s="684"/>
      <c r="ARM6" s="684"/>
      <c r="ARN6" s="684"/>
      <c r="ARO6" s="684"/>
      <c r="ARP6" s="684"/>
      <c r="ARQ6" s="684"/>
      <c r="ARR6" s="684"/>
      <c r="ARS6" s="684"/>
      <c r="ART6" s="684"/>
      <c r="ARU6" s="684"/>
      <c r="ARV6" s="684"/>
      <c r="ARW6" s="684"/>
      <c r="ARX6" s="684"/>
      <c r="ARY6" s="684"/>
      <c r="ARZ6" s="684"/>
      <c r="ASA6" s="684"/>
      <c r="ASB6" s="684"/>
      <c r="ASC6" s="684"/>
      <c r="ASD6" s="684"/>
      <c r="ASE6" s="684"/>
      <c r="ASF6" s="684"/>
      <c r="ASG6" s="684"/>
      <c r="ASH6" s="684"/>
      <c r="ASI6" s="684"/>
      <c r="ASJ6" s="684"/>
      <c r="ASK6" s="684"/>
      <c r="ASL6" s="684"/>
      <c r="ASM6" s="684"/>
      <c r="ASN6" s="684"/>
      <c r="ASO6" s="684"/>
      <c r="ASP6" s="684"/>
      <c r="ASQ6" s="684"/>
      <c r="ASR6" s="684"/>
      <c r="ASS6" s="684"/>
      <c r="AST6" s="684"/>
      <c r="ASU6" s="684"/>
      <c r="ASV6" s="684"/>
      <c r="ASW6" s="684"/>
      <c r="ASX6" s="684"/>
      <c r="ASY6" s="684"/>
      <c r="ASZ6" s="684"/>
      <c r="ATA6" s="684"/>
      <c r="ATB6" s="684"/>
      <c r="ATC6" s="684"/>
      <c r="ATD6" s="684"/>
      <c r="ATE6" s="684"/>
      <c r="ATF6" s="684"/>
      <c r="ATG6" s="684"/>
      <c r="ATH6" s="684"/>
      <c r="ATI6" s="684"/>
      <c r="ATJ6" s="684"/>
      <c r="ATK6" s="684"/>
      <c r="ATL6" s="684"/>
      <c r="ATM6" s="684"/>
      <c r="ATN6" s="684"/>
      <c r="ATO6" s="684"/>
      <c r="ATP6" s="684"/>
      <c r="ATQ6" s="684"/>
      <c r="ATR6" s="684"/>
      <c r="ATS6" s="684"/>
      <c r="ATT6" s="684"/>
      <c r="ATU6" s="684"/>
      <c r="ATV6" s="684"/>
      <c r="ATW6" s="684"/>
      <c r="ATX6" s="684"/>
      <c r="ATY6" s="684"/>
      <c r="ATZ6" s="684"/>
      <c r="AUA6" s="684"/>
      <c r="AUB6" s="684"/>
      <c r="AUC6" s="684"/>
      <c r="AUD6" s="684"/>
      <c r="AUE6" s="684"/>
      <c r="AUF6" s="684"/>
      <c r="AUG6" s="684"/>
      <c r="AUH6" s="684"/>
      <c r="AUI6" s="684"/>
      <c r="AUJ6" s="684"/>
      <c r="AUK6" s="684"/>
      <c r="AUL6" s="684"/>
      <c r="AUM6" s="684"/>
      <c r="AUN6" s="684"/>
      <c r="AUO6" s="684"/>
      <c r="AUP6" s="684"/>
      <c r="AUQ6" s="684"/>
      <c r="AUR6" s="684"/>
      <c r="AUS6" s="684"/>
      <c r="AUT6" s="684"/>
      <c r="AUU6" s="684"/>
      <c r="AUV6" s="684"/>
      <c r="AUW6" s="684"/>
      <c r="AUX6" s="684"/>
      <c r="AUY6" s="684"/>
      <c r="AUZ6" s="684"/>
      <c r="AVA6" s="684"/>
      <c r="AVB6" s="684"/>
      <c r="AVC6" s="684"/>
      <c r="AVD6" s="684"/>
      <c r="AVE6" s="684"/>
      <c r="AVF6" s="684"/>
      <c r="AVG6" s="684"/>
      <c r="AVH6" s="684"/>
      <c r="AVI6" s="684"/>
      <c r="AVJ6" s="684"/>
      <c r="AVK6" s="684"/>
      <c r="AVL6" s="684"/>
      <c r="AVM6" s="684"/>
      <c r="AVN6" s="684"/>
      <c r="AVO6" s="684"/>
      <c r="AVP6" s="684"/>
      <c r="AVQ6" s="684"/>
      <c r="AVR6" s="684"/>
      <c r="AVS6" s="684"/>
      <c r="AVT6" s="684"/>
      <c r="AVU6" s="684"/>
      <c r="AVV6" s="684"/>
      <c r="AVW6" s="684"/>
      <c r="AVX6" s="684"/>
      <c r="AVY6" s="684"/>
      <c r="AVZ6" s="684"/>
      <c r="AWA6" s="684"/>
      <c r="AWB6" s="684"/>
      <c r="AWC6" s="684"/>
      <c r="AWD6" s="684"/>
      <c r="AWE6" s="684"/>
      <c r="AWF6" s="684"/>
      <c r="AWG6" s="684"/>
      <c r="AWH6" s="684"/>
      <c r="AWI6" s="684"/>
      <c r="AWJ6" s="684"/>
      <c r="AWK6" s="684"/>
      <c r="AWL6" s="684"/>
      <c r="AWM6" s="684"/>
      <c r="AWN6" s="684"/>
      <c r="AWO6" s="684"/>
      <c r="AWP6" s="684"/>
      <c r="AWQ6" s="684"/>
      <c r="AWR6" s="684"/>
      <c r="AWS6" s="684"/>
      <c r="AWT6" s="684"/>
      <c r="AWU6" s="684"/>
      <c r="AWV6" s="684"/>
      <c r="AWW6" s="684"/>
      <c r="AWX6" s="684"/>
      <c r="AWY6" s="684"/>
      <c r="AWZ6" s="684"/>
      <c r="AXA6" s="684"/>
      <c r="AXB6" s="684"/>
      <c r="AXC6" s="684"/>
      <c r="AXD6" s="684"/>
      <c r="AXE6" s="684"/>
      <c r="AXF6" s="684"/>
      <c r="AXG6" s="684"/>
      <c r="AXH6" s="684"/>
      <c r="AXI6" s="684"/>
      <c r="AXJ6" s="684"/>
      <c r="AXK6" s="684"/>
      <c r="AXL6" s="684"/>
      <c r="AXM6" s="684"/>
      <c r="AXN6" s="684"/>
      <c r="AXO6" s="684"/>
      <c r="AXP6" s="684"/>
      <c r="AXQ6" s="684"/>
      <c r="AXR6" s="684"/>
      <c r="AXS6" s="684"/>
      <c r="AXT6" s="684"/>
      <c r="AXU6" s="684"/>
      <c r="AXV6" s="684"/>
      <c r="AXW6" s="684"/>
      <c r="AXX6" s="684"/>
      <c r="AXY6" s="684"/>
      <c r="AXZ6" s="684"/>
      <c r="AYA6" s="684"/>
      <c r="AYB6" s="684"/>
      <c r="AYC6" s="684"/>
      <c r="AYD6" s="684"/>
      <c r="AYE6" s="684"/>
      <c r="AYF6" s="684"/>
      <c r="AYG6" s="684"/>
      <c r="AYH6" s="684"/>
      <c r="AYI6" s="684"/>
      <c r="AYJ6" s="684"/>
      <c r="AYK6" s="684"/>
      <c r="AYL6" s="684"/>
      <c r="AYM6" s="684"/>
      <c r="AYN6" s="684"/>
      <c r="AYO6" s="684"/>
      <c r="AYP6" s="684"/>
      <c r="AYQ6" s="684"/>
      <c r="AYR6" s="684"/>
      <c r="AYS6" s="684"/>
      <c r="AYT6" s="684"/>
      <c r="AYU6" s="684"/>
      <c r="AYV6" s="684"/>
      <c r="AYW6" s="684"/>
      <c r="AYX6" s="684"/>
      <c r="AYY6" s="684"/>
      <c r="AYZ6" s="684"/>
      <c r="AZA6" s="684"/>
      <c r="AZB6" s="684"/>
      <c r="AZC6" s="684"/>
      <c r="AZD6" s="684"/>
      <c r="AZE6" s="684"/>
      <c r="AZF6" s="684"/>
      <c r="AZG6" s="684"/>
      <c r="AZH6" s="684"/>
      <c r="AZI6" s="684"/>
      <c r="AZJ6" s="684"/>
      <c r="AZK6" s="684"/>
      <c r="AZL6" s="684"/>
      <c r="AZM6" s="684"/>
      <c r="AZN6" s="684"/>
      <c r="AZO6" s="684"/>
      <c r="AZP6" s="684"/>
      <c r="AZQ6" s="684"/>
      <c r="AZR6" s="684"/>
      <c r="AZS6" s="684"/>
      <c r="AZT6" s="684"/>
      <c r="AZU6" s="684"/>
      <c r="AZV6" s="684"/>
      <c r="AZW6" s="684"/>
      <c r="AZX6" s="684"/>
      <c r="AZY6" s="684"/>
      <c r="AZZ6" s="684"/>
      <c r="BAA6" s="684"/>
      <c r="BAB6" s="684"/>
      <c r="BAC6" s="684"/>
      <c r="BAD6" s="684"/>
      <c r="BAE6" s="684"/>
      <c r="BAF6" s="684"/>
      <c r="BAG6" s="684"/>
      <c r="BAH6" s="684"/>
      <c r="BAI6" s="684"/>
      <c r="BAJ6" s="684"/>
      <c r="BAK6" s="684"/>
      <c r="BAL6" s="684"/>
      <c r="BAM6" s="684"/>
      <c r="BAN6" s="684"/>
      <c r="BAO6" s="684"/>
      <c r="BAP6" s="684"/>
      <c r="BAQ6" s="684"/>
      <c r="BAR6" s="684"/>
      <c r="BAS6" s="684"/>
      <c r="BAT6" s="684"/>
      <c r="BAU6" s="684"/>
      <c r="BAV6" s="684"/>
      <c r="BAW6" s="684"/>
      <c r="BAX6" s="684"/>
      <c r="BAY6" s="684"/>
      <c r="BAZ6" s="684"/>
      <c r="BBA6" s="684"/>
      <c r="BBB6" s="684"/>
      <c r="BBC6" s="684"/>
      <c r="BBD6" s="684"/>
      <c r="BBE6" s="684"/>
      <c r="BBF6" s="684"/>
      <c r="BBG6" s="684"/>
      <c r="BBH6" s="684"/>
      <c r="BBI6" s="684"/>
      <c r="BBJ6" s="684"/>
      <c r="BBK6" s="684"/>
      <c r="BBL6" s="684"/>
      <c r="BBM6" s="684"/>
      <c r="BBN6" s="684"/>
      <c r="BBO6" s="684"/>
      <c r="BBP6" s="684"/>
      <c r="BBQ6" s="684"/>
      <c r="BBR6" s="684"/>
      <c r="BBS6" s="684"/>
      <c r="BBT6" s="684"/>
      <c r="BBU6" s="684"/>
      <c r="BBV6" s="684"/>
      <c r="BBW6" s="684"/>
      <c r="BBX6" s="684"/>
      <c r="BBY6" s="684"/>
      <c r="BBZ6" s="684"/>
      <c r="BCA6" s="684"/>
      <c r="BCB6" s="684"/>
      <c r="BCC6" s="684"/>
      <c r="BCD6" s="684"/>
      <c r="BCE6" s="684"/>
      <c r="BCF6" s="684"/>
      <c r="BCG6" s="684"/>
      <c r="BCH6" s="684"/>
      <c r="BCI6" s="684"/>
      <c r="BCJ6" s="684"/>
      <c r="BCK6" s="684"/>
      <c r="BCL6" s="684"/>
      <c r="BCM6" s="684"/>
      <c r="BCN6" s="684"/>
      <c r="BCO6" s="684"/>
      <c r="BCP6" s="684"/>
      <c r="BCQ6" s="684"/>
      <c r="BCR6" s="684"/>
      <c r="BCS6" s="684"/>
      <c r="BCT6" s="684"/>
      <c r="BCU6" s="684"/>
      <c r="BCV6" s="684"/>
      <c r="BCW6" s="684"/>
      <c r="BCX6" s="684"/>
      <c r="BCY6" s="684"/>
      <c r="BCZ6" s="684"/>
      <c r="BDA6" s="684"/>
      <c r="BDB6" s="684"/>
      <c r="BDC6" s="684"/>
      <c r="BDD6" s="684"/>
      <c r="BDE6" s="684"/>
      <c r="BDF6" s="684"/>
      <c r="BDG6" s="684"/>
      <c r="BDH6" s="684"/>
      <c r="BDI6" s="684"/>
      <c r="BDJ6" s="684"/>
      <c r="BDK6" s="684"/>
      <c r="BDL6" s="684"/>
      <c r="BDM6" s="684"/>
      <c r="BDN6" s="684"/>
      <c r="BDO6" s="684"/>
      <c r="BDP6" s="684"/>
      <c r="BDQ6" s="684"/>
      <c r="BDR6" s="684"/>
      <c r="BDS6" s="684"/>
      <c r="BDT6" s="684"/>
      <c r="BDU6" s="684"/>
      <c r="BDV6" s="684"/>
      <c r="BDW6" s="684"/>
      <c r="BDX6" s="684"/>
      <c r="BDY6" s="684"/>
      <c r="BDZ6" s="684"/>
      <c r="BEA6" s="684"/>
      <c r="BEB6" s="684"/>
      <c r="BEC6" s="684"/>
      <c r="BED6" s="684"/>
      <c r="BEE6" s="684"/>
      <c r="BEF6" s="684"/>
      <c r="BEG6" s="684"/>
      <c r="BEH6" s="684"/>
      <c r="BEI6" s="684"/>
      <c r="BEJ6" s="684"/>
      <c r="BEK6" s="684"/>
      <c r="BEL6" s="684"/>
      <c r="BEM6" s="684"/>
      <c r="BEN6" s="684"/>
      <c r="BEO6" s="684"/>
      <c r="BEP6" s="684"/>
      <c r="BEQ6" s="684"/>
      <c r="BER6" s="684"/>
      <c r="BES6" s="684"/>
      <c r="BET6" s="684"/>
      <c r="BEU6" s="684"/>
      <c r="BEV6" s="684"/>
      <c r="BEW6" s="684"/>
      <c r="BEX6" s="684"/>
      <c r="BEY6" s="684"/>
      <c r="BEZ6" s="684"/>
      <c r="BFA6" s="684"/>
      <c r="BFB6" s="684"/>
      <c r="BFC6" s="684"/>
      <c r="BFD6" s="684"/>
      <c r="BFE6" s="684"/>
      <c r="BFF6" s="684"/>
      <c r="BFG6" s="684"/>
      <c r="BFH6" s="684"/>
      <c r="BFI6" s="684"/>
      <c r="BFJ6" s="684"/>
      <c r="BFK6" s="684"/>
      <c r="BFL6" s="684"/>
      <c r="BFM6" s="684"/>
      <c r="BFN6" s="684"/>
      <c r="BFO6" s="684"/>
      <c r="BFP6" s="684"/>
      <c r="BFQ6" s="684"/>
      <c r="BFR6" s="684"/>
      <c r="BFS6" s="684"/>
      <c r="BFT6" s="684"/>
      <c r="BFU6" s="684"/>
      <c r="BFV6" s="684"/>
      <c r="BFW6" s="684"/>
      <c r="BFX6" s="684"/>
      <c r="BFY6" s="684"/>
      <c r="BFZ6" s="684"/>
      <c r="BGA6" s="684"/>
      <c r="BGB6" s="684"/>
      <c r="BGC6" s="684"/>
      <c r="BGD6" s="684"/>
      <c r="BGE6" s="684"/>
      <c r="BGF6" s="684"/>
      <c r="BGG6" s="684"/>
      <c r="BGH6" s="684"/>
      <c r="BGI6" s="684"/>
      <c r="BGJ6" s="684"/>
      <c r="BGK6" s="684"/>
      <c r="BGL6" s="684"/>
      <c r="BGM6" s="684"/>
      <c r="BGN6" s="684"/>
      <c r="BGO6" s="684"/>
      <c r="BGP6" s="684"/>
      <c r="BGQ6" s="684"/>
      <c r="BGR6" s="684"/>
      <c r="BGS6" s="684"/>
      <c r="BGT6" s="684"/>
      <c r="BGU6" s="684"/>
      <c r="BGV6" s="684"/>
      <c r="BGW6" s="684"/>
      <c r="BGX6" s="684"/>
      <c r="BGY6" s="684"/>
      <c r="BGZ6" s="684"/>
      <c r="BHA6" s="684"/>
      <c r="BHB6" s="684"/>
      <c r="BHC6" s="684"/>
      <c r="BHD6" s="684"/>
      <c r="BHE6" s="684"/>
      <c r="BHF6" s="684"/>
      <c r="BHG6" s="684"/>
      <c r="BHH6" s="684"/>
      <c r="BHI6" s="684"/>
      <c r="BHJ6" s="684"/>
      <c r="BHK6" s="684"/>
      <c r="BHL6" s="684"/>
      <c r="BHM6" s="684"/>
      <c r="BHN6" s="684"/>
      <c r="BHO6" s="684"/>
      <c r="BHP6" s="684"/>
      <c r="BHQ6" s="684"/>
      <c r="BHR6" s="684"/>
      <c r="BHS6" s="684"/>
      <c r="BHT6" s="684"/>
      <c r="BHU6" s="684"/>
      <c r="BHV6" s="684"/>
      <c r="BHW6" s="684"/>
      <c r="BHX6" s="684"/>
      <c r="BHY6" s="684"/>
      <c r="BHZ6" s="684"/>
      <c r="BIA6" s="684"/>
      <c r="BIB6" s="684"/>
      <c r="BIC6" s="684"/>
      <c r="BID6" s="684"/>
      <c r="BIE6" s="684"/>
      <c r="BIF6" s="684"/>
      <c r="BIG6" s="684"/>
      <c r="BIH6" s="684"/>
      <c r="BII6" s="684"/>
      <c r="BIJ6" s="684"/>
      <c r="BIK6" s="684"/>
      <c r="BIL6" s="684"/>
      <c r="BIM6" s="684"/>
      <c r="BIN6" s="684"/>
      <c r="BIO6" s="684"/>
      <c r="BIP6" s="684"/>
      <c r="BIQ6" s="684"/>
      <c r="BIR6" s="684"/>
      <c r="BIS6" s="684"/>
      <c r="BIT6" s="684"/>
      <c r="BIU6" s="684"/>
      <c r="BIV6" s="684"/>
      <c r="BIW6" s="684"/>
      <c r="BIX6" s="684"/>
      <c r="BIY6" s="684"/>
      <c r="BIZ6" s="684"/>
      <c r="BJA6" s="684"/>
      <c r="BJB6" s="684"/>
      <c r="BJC6" s="684"/>
      <c r="BJD6" s="684"/>
      <c r="BJE6" s="684"/>
      <c r="BJF6" s="684"/>
      <c r="BJG6" s="684"/>
      <c r="BJH6" s="684"/>
      <c r="BJI6" s="684"/>
      <c r="BJJ6" s="684"/>
      <c r="BJK6" s="684"/>
      <c r="BJL6" s="684"/>
      <c r="BJM6" s="684"/>
      <c r="BJN6" s="684"/>
      <c r="BJO6" s="684"/>
      <c r="BJP6" s="684"/>
      <c r="BJQ6" s="684"/>
      <c r="BJR6" s="684"/>
      <c r="BJS6" s="684"/>
      <c r="BJT6" s="684"/>
      <c r="BJU6" s="684"/>
      <c r="BJV6" s="684"/>
      <c r="BJW6" s="684"/>
      <c r="BJX6" s="684"/>
      <c r="BJY6" s="684"/>
      <c r="BJZ6" s="684"/>
      <c r="BKA6" s="684"/>
      <c r="BKB6" s="684"/>
      <c r="BKC6" s="684"/>
      <c r="BKD6" s="684"/>
      <c r="BKE6" s="684"/>
      <c r="BKF6" s="684"/>
      <c r="BKG6" s="684"/>
      <c r="BKH6" s="684"/>
      <c r="BKI6" s="684"/>
      <c r="BKJ6" s="684"/>
      <c r="BKK6" s="684"/>
      <c r="BKL6" s="684"/>
      <c r="BKM6" s="684"/>
      <c r="BKN6" s="684"/>
      <c r="BKO6" s="684"/>
      <c r="BKP6" s="684"/>
      <c r="BKQ6" s="684"/>
      <c r="BKR6" s="684"/>
      <c r="BKS6" s="684"/>
      <c r="BKT6" s="684"/>
      <c r="BKU6" s="684"/>
      <c r="BKV6" s="684"/>
      <c r="BKW6" s="684"/>
      <c r="BKX6" s="684"/>
      <c r="BKY6" s="684"/>
      <c r="BKZ6" s="684"/>
      <c r="BLA6" s="684"/>
      <c r="BLB6" s="684"/>
      <c r="BLC6" s="684"/>
      <c r="BLD6" s="684"/>
      <c r="BLE6" s="684"/>
      <c r="BLF6" s="684"/>
      <c r="BLG6" s="684"/>
      <c r="BLH6" s="684"/>
      <c r="BLI6" s="684"/>
      <c r="BLJ6" s="684"/>
      <c r="BLK6" s="684"/>
      <c r="BLL6" s="684"/>
      <c r="BLM6" s="684"/>
      <c r="BLN6" s="684"/>
      <c r="BLO6" s="684"/>
      <c r="BLP6" s="684"/>
      <c r="BLQ6" s="684"/>
      <c r="BLR6" s="684"/>
      <c r="BLS6" s="684"/>
      <c r="BLT6" s="684"/>
      <c r="BLU6" s="684"/>
      <c r="BLV6" s="684"/>
      <c r="BLW6" s="684"/>
      <c r="BLX6" s="684"/>
      <c r="BLY6" s="684"/>
      <c r="BLZ6" s="684"/>
      <c r="BMA6" s="684"/>
      <c r="BMB6" s="684"/>
      <c r="BMC6" s="684"/>
      <c r="BMD6" s="684"/>
      <c r="BME6" s="684"/>
      <c r="BMF6" s="684"/>
      <c r="BMG6" s="684"/>
      <c r="BMH6" s="684"/>
      <c r="BMI6" s="684"/>
      <c r="BMJ6" s="684"/>
      <c r="BMK6" s="684"/>
      <c r="BML6" s="684"/>
      <c r="BMM6" s="684"/>
      <c r="BMN6" s="684"/>
      <c r="BMO6" s="684"/>
      <c r="BMP6" s="684"/>
      <c r="BMQ6" s="684"/>
      <c r="BMR6" s="684"/>
      <c r="BMS6" s="684"/>
      <c r="BMT6" s="684"/>
      <c r="BMU6" s="684"/>
      <c r="BMV6" s="684"/>
      <c r="BMW6" s="684"/>
      <c r="BMX6" s="684"/>
      <c r="BMY6" s="684"/>
      <c r="BMZ6" s="684"/>
      <c r="BNA6" s="684"/>
      <c r="BNB6" s="684"/>
      <c r="BNC6" s="684"/>
      <c r="BND6" s="684"/>
      <c r="BNE6" s="684"/>
      <c r="BNF6" s="684"/>
      <c r="BNG6" s="684"/>
      <c r="BNH6" s="684"/>
      <c r="BNI6" s="684"/>
      <c r="BNJ6" s="684"/>
      <c r="BNK6" s="684"/>
      <c r="BNL6" s="684"/>
      <c r="BNM6" s="684"/>
      <c r="BNN6" s="684"/>
      <c r="BNO6" s="684"/>
      <c r="BNP6" s="684"/>
      <c r="BNQ6" s="684"/>
      <c r="BNR6" s="684"/>
      <c r="BNS6" s="684"/>
      <c r="BNT6" s="684"/>
      <c r="BNU6" s="684"/>
      <c r="BNV6" s="684"/>
      <c r="BNW6" s="684"/>
      <c r="BNX6" s="684"/>
      <c r="BNY6" s="684"/>
      <c r="BNZ6" s="684"/>
      <c r="BOA6" s="684"/>
      <c r="BOB6" s="684"/>
      <c r="BOC6" s="684"/>
      <c r="BOD6" s="684"/>
      <c r="BOE6" s="684"/>
      <c r="BOF6" s="684"/>
      <c r="BOG6" s="684"/>
      <c r="BOH6" s="684"/>
      <c r="BOI6" s="684"/>
      <c r="BOJ6" s="684"/>
      <c r="BOK6" s="684"/>
      <c r="BOL6" s="684"/>
      <c r="BOM6" s="684"/>
      <c r="BON6" s="684"/>
      <c r="BOO6" s="684"/>
      <c r="BOP6" s="684"/>
      <c r="BOQ6" s="684"/>
      <c r="BOR6" s="684"/>
      <c r="BOS6" s="684"/>
      <c r="BOT6" s="684"/>
      <c r="BOU6" s="684"/>
      <c r="BOV6" s="684"/>
      <c r="BOW6" s="684"/>
      <c r="BOX6" s="684"/>
      <c r="BOY6" s="684"/>
      <c r="BOZ6" s="684"/>
      <c r="BPA6" s="684"/>
      <c r="BPB6" s="684"/>
      <c r="BPC6" s="684"/>
      <c r="BPD6" s="684"/>
      <c r="BPE6" s="684"/>
      <c r="BPF6" s="684"/>
      <c r="BPG6" s="684"/>
      <c r="BPH6" s="684"/>
      <c r="BPI6" s="684"/>
      <c r="BPJ6" s="684"/>
      <c r="BPK6" s="684"/>
      <c r="BPL6" s="684"/>
      <c r="BPM6" s="684"/>
      <c r="BPN6" s="684"/>
      <c r="BPO6" s="684"/>
      <c r="BPP6" s="684"/>
      <c r="BPQ6" s="684"/>
      <c r="BPR6" s="684"/>
      <c r="BPS6" s="684"/>
      <c r="BPT6" s="684"/>
      <c r="BPU6" s="684"/>
      <c r="BPV6" s="684"/>
      <c r="BPW6" s="684"/>
      <c r="BPX6" s="684"/>
      <c r="BPY6" s="684"/>
      <c r="BPZ6" s="684"/>
      <c r="BQA6" s="684"/>
      <c r="BQB6" s="684"/>
      <c r="BQC6" s="684"/>
      <c r="BQD6" s="684"/>
      <c r="BQE6" s="684"/>
      <c r="BQF6" s="684"/>
      <c r="BQG6" s="684"/>
      <c r="BQH6" s="684"/>
      <c r="BQI6" s="684"/>
      <c r="BQJ6" s="684"/>
      <c r="BQK6" s="684"/>
      <c r="BQL6" s="684"/>
      <c r="BQM6" s="684"/>
      <c r="BQN6" s="684"/>
      <c r="BQO6" s="684"/>
      <c r="BQP6" s="684"/>
      <c r="BQQ6" s="684"/>
      <c r="BQR6" s="684"/>
      <c r="BQS6" s="684"/>
      <c r="BQT6" s="684"/>
      <c r="BQU6" s="684"/>
      <c r="BQV6" s="684"/>
      <c r="BQW6" s="684"/>
      <c r="BQX6" s="684"/>
      <c r="BQY6" s="684"/>
      <c r="BQZ6" s="684"/>
      <c r="BRA6" s="684"/>
      <c r="BRB6" s="684"/>
      <c r="BRC6" s="684"/>
      <c r="BRD6" s="684"/>
      <c r="BRE6" s="684"/>
      <c r="BRF6" s="684"/>
      <c r="BRG6" s="684"/>
      <c r="BRH6" s="684"/>
      <c r="BRI6" s="684"/>
      <c r="BRJ6" s="684"/>
      <c r="BRK6" s="684"/>
      <c r="BRL6" s="684"/>
      <c r="BRM6" s="684"/>
      <c r="BRN6" s="684"/>
      <c r="BRO6" s="684"/>
      <c r="BRP6" s="684"/>
      <c r="BRQ6" s="684"/>
      <c r="BRR6" s="684"/>
      <c r="BRS6" s="684"/>
      <c r="BRT6" s="684"/>
      <c r="BRU6" s="684"/>
      <c r="BRV6" s="684"/>
      <c r="BRW6" s="684"/>
      <c r="BRX6" s="684"/>
      <c r="BRY6" s="684"/>
      <c r="BRZ6" s="684"/>
      <c r="BSA6" s="684"/>
      <c r="BSB6" s="684"/>
      <c r="BSC6" s="684"/>
      <c r="BSD6" s="684"/>
      <c r="BSE6" s="684"/>
      <c r="BSF6" s="684"/>
      <c r="BSG6" s="684"/>
      <c r="BSH6" s="684"/>
      <c r="BSI6" s="684"/>
      <c r="BSJ6" s="684"/>
      <c r="BSK6" s="684"/>
      <c r="BSL6" s="684"/>
      <c r="BSM6" s="684"/>
      <c r="BSN6" s="684"/>
      <c r="BSO6" s="684"/>
      <c r="BSP6" s="684"/>
      <c r="BSQ6" s="684"/>
      <c r="BSR6" s="684"/>
      <c r="BSS6" s="684"/>
      <c r="BST6" s="684"/>
      <c r="BSU6" s="684"/>
      <c r="BSV6" s="684"/>
      <c r="BSW6" s="684"/>
      <c r="BSX6" s="684"/>
      <c r="BSY6" s="684"/>
      <c r="BSZ6" s="684"/>
      <c r="BTA6" s="684"/>
      <c r="BTB6" s="684"/>
      <c r="BTC6" s="684"/>
      <c r="BTD6" s="684"/>
      <c r="BTE6" s="684"/>
      <c r="BTF6" s="684"/>
      <c r="BTG6" s="684"/>
      <c r="BTH6" s="684"/>
      <c r="BTI6" s="684"/>
      <c r="BTJ6" s="684"/>
      <c r="BTK6" s="684"/>
      <c r="BTL6" s="684"/>
      <c r="BTM6" s="684"/>
      <c r="BTN6" s="684"/>
      <c r="BTO6" s="684"/>
      <c r="BTP6" s="684"/>
      <c r="BTQ6" s="684"/>
      <c r="BTR6" s="684"/>
      <c r="BTS6" s="684"/>
      <c r="BTT6" s="684"/>
      <c r="BTU6" s="684"/>
      <c r="BTV6" s="684"/>
      <c r="BTW6" s="684"/>
      <c r="BTX6" s="684"/>
      <c r="BTY6" s="684"/>
      <c r="BTZ6" s="684"/>
      <c r="BUA6" s="684"/>
      <c r="BUB6" s="684"/>
      <c r="BUC6" s="684"/>
      <c r="BUD6" s="684"/>
      <c r="BUE6" s="684"/>
      <c r="BUF6" s="684"/>
      <c r="BUG6" s="684"/>
      <c r="BUH6" s="684"/>
      <c r="BUI6" s="684"/>
      <c r="BUJ6" s="684"/>
      <c r="BUK6" s="684"/>
      <c r="BUL6" s="684"/>
      <c r="BUM6" s="684"/>
      <c r="BUN6" s="684"/>
      <c r="BUO6" s="684"/>
      <c r="BUP6" s="684"/>
      <c r="BUQ6" s="684"/>
      <c r="BUR6" s="684"/>
      <c r="BUS6" s="684"/>
      <c r="BUT6" s="684"/>
      <c r="BUU6" s="684"/>
      <c r="BUV6" s="684"/>
      <c r="BUW6" s="684"/>
      <c r="BUX6" s="684"/>
      <c r="BUY6" s="684"/>
      <c r="BUZ6" s="684"/>
      <c r="BVA6" s="684"/>
      <c r="BVB6" s="684"/>
      <c r="BVC6" s="684"/>
      <c r="BVD6" s="684"/>
      <c r="BVE6" s="684"/>
      <c r="BVF6" s="684"/>
      <c r="BVG6" s="684"/>
      <c r="BVH6" s="684"/>
      <c r="BVI6" s="684"/>
      <c r="BVJ6" s="684"/>
      <c r="BVK6" s="684"/>
      <c r="BVL6" s="684"/>
      <c r="BVM6" s="684"/>
      <c r="BVN6" s="684"/>
      <c r="BVO6" s="684"/>
      <c r="BVP6" s="684"/>
      <c r="BVQ6" s="684"/>
      <c r="BVR6" s="684"/>
      <c r="BVS6" s="684"/>
      <c r="BVT6" s="684"/>
      <c r="BVU6" s="684"/>
      <c r="BVV6" s="684"/>
      <c r="BVW6" s="684"/>
      <c r="BVX6" s="684"/>
      <c r="BVY6" s="684"/>
      <c r="BVZ6" s="684"/>
      <c r="BWA6" s="684"/>
      <c r="BWB6" s="684"/>
      <c r="BWC6" s="684"/>
      <c r="BWD6" s="684"/>
      <c r="BWE6" s="684"/>
      <c r="BWF6" s="684"/>
      <c r="BWG6" s="684"/>
      <c r="BWH6" s="684"/>
      <c r="BWI6" s="684"/>
      <c r="BWJ6" s="684"/>
      <c r="BWK6" s="684"/>
      <c r="BWL6" s="684"/>
      <c r="BWM6" s="684"/>
      <c r="BWN6" s="684"/>
      <c r="BWO6" s="684"/>
      <c r="BWP6" s="684"/>
      <c r="BWQ6" s="684"/>
      <c r="BWR6" s="684"/>
      <c r="BWS6" s="684"/>
      <c r="BWT6" s="684"/>
      <c r="BWU6" s="684"/>
      <c r="BWV6" s="684"/>
      <c r="BWW6" s="684"/>
      <c r="BWX6" s="684"/>
      <c r="BWY6" s="684"/>
      <c r="BWZ6" s="684"/>
      <c r="BXA6" s="684"/>
      <c r="BXB6" s="684"/>
      <c r="BXC6" s="684"/>
      <c r="BXD6" s="684"/>
      <c r="BXE6" s="684"/>
      <c r="BXF6" s="684"/>
      <c r="BXG6" s="684"/>
      <c r="BXH6" s="684"/>
      <c r="BXI6" s="684"/>
      <c r="BXJ6" s="684"/>
      <c r="BXK6" s="684"/>
      <c r="BXL6" s="684"/>
      <c r="BXM6" s="684"/>
      <c r="BXN6" s="684"/>
      <c r="BXO6" s="684"/>
      <c r="BXP6" s="684"/>
      <c r="BXQ6" s="684"/>
      <c r="BXR6" s="684"/>
      <c r="BXS6" s="684"/>
      <c r="BXT6" s="684"/>
      <c r="BXU6" s="684"/>
      <c r="BXV6" s="684"/>
      <c r="BXW6" s="684"/>
      <c r="BXX6" s="684"/>
      <c r="BXY6" s="684"/>
      <c r="BXZ6" s="684"/>
      <c r="BYA6" s="684"/>
      <c r="BYB6" s="684"/>
      <c r="BYC6" s="684"/>
      <c r="BYD6" s="684"/>
      <c r="BYE6" s="684"/>
      <c r="BYF6" s="684"/>
      <c r="BYG6" s="684"/>
      <c r="BYH6" s="684"/>
      <c r="BYI6" s="684"/>
      <c r="BYJ6" s="684"/>
      <c r="BYK6" s="684"/>
      <c r="BYL6" s="684"/>
      <c r="BYM6" s="684"/>
      <c r="BYN6" s="684"/>
      <c r="BYO6" s="684"/>
      <c r="BYP6" s="684"/>
      <c r="BYQ6" s="684"/>
      <c r="BYR6" s="684"/>
      <c r="BYS6" s="684"/>
      <c r="BYT6" s="684"/>
      <c r="BYU6" s="684"/>
      <c r="BYV6" s="684"/>
      <c r="BYW6" s="684"/>
      <c r="BYX6" s="684"/>
      <c r="BYY6" s="684"/>
      <c r="BYZ6" s="684"/>
      <c r="BZA6" s="684"/>
      <c r="BZB6" s="684"/>
      <c r="BZC6" s="684"/>
      <c r="BZD6" s="684"/>
      <c r="BZE6" s="684"/>
      <c r="BZF6" s="684"/>
      <c r="BZG6" s="684"/>
      <c r="BZH6" s="684"/>
      <c r="BZI6" s="684"/>
      <c r="BZJ6" s="684"/>
      <c r="BZK6" s="684"/>
      <c r="BZL6" s="684"/>
      <c r="BZM6" s="684"/>
      <c r="BZN6" s="684"/>
      <c r="BZO6" s="684"/>
      <c r="BZP6" s="684"/>
      <c r="BZQ6" s="684"/>
      <c r="BZR6" s="684"/>
      <c r="BZS6" s="684"/>
      <c r="BZT6" s="684"/>
      <c r="BZU6" s="684"/>
      <c r="BZV6" s="684"/>
      <c r="BZW6" s="684"/>
      <c r="BZX6" s="684"/>
      <c r="BZY6" s="684"/>
      <c r="BZZ6" s="684"/>
      <c r="CAA6" s="684"/>
      <c r="CAB6" s="684"/>
      <c r="CAC6" s="684"/>
      <c r="CAD6" s="684"/>
      <c r="CAE6" s="684"/>
      <c r="CAF6" s="684"/>
      <c r="CAG6" s="684"/>
      <c r="CAH6" s="684"/>
      <c r="CAI6" s="684"/>
      <c r="CAJ6" s="684"/>
      <c r="CAK6" s="684"/>
      <c r="CAL6" s="684"/>
      <c r="CAM6" s="684"/>
      <c r="CAN6" s="684"/>
      <c r="CAO6" s="684"/>
      <c r="CAP6" s="684"/>
      <c r="CAQ6" s="684"/>
      <c r="CAR6" s="684"/>
      <c r="CAS6" s="684"/>
      <c r="CAT6" s="684"/>
      <c r="CAU6" s="684"/>
      <c r="CAV6" s="684"/>
      <c r="CAW6" s="684"/>
      <c r="CAX6" s="684"/>
      <c r="CAY6" s="684"/>
      <c r="CAZ6" s="684"/>
      <c r="CBA6" s="684"/>
      <c r="CBB6" s="684"/>
      <c r="CBC6" s="684"/>
      <c r="CBD6" s="684"/>
      <c r="CBE6" s="684"/>
      <c r="CBF6" s="684"/>
      <c r="CBG6" s="684"/>
      <c r="CBH6" s="684"/>
      <c r="CBI6" s="684"/>
      <c r="CBJ6" s="684"/>
      <c r="CBK6" s="684"/>
      <c r="CBL6" s="684"/>
      <c r="CBM6" s="684"/>
      <c r="CBN6" s="684"/>
      <c r="CBO6" s="684"/>
      <c r="CBP6" s="684"/>
      <c r="CBQ6" s="684"/>
      <c r="CBR6" s="684"/>
      <c r="CBS6" s="684"/>
      <c r="CBT6" s="684"/>
      <c r="CBU6" s="684"/>
      <c r="CBV6" s="684"/>
      <c r="CBW6" s="684"/>
      <c r="CBX6" s="684"/>
      <c r="CBY6" s="684"/>
      <c r="CBZ6" s="684"/>
      <c r="CCA6" s="684"/>
      <c r="CCB6" s="684"/>
      <c r="CCC6" s="684"/>
      <c r="CCD6" s="684"/>
      <c r="CCE6" s="684"/>
      <c r="CCF6" s="684"/>
      <c r="CCG6" s="684"/>
      <c r="CCH6" s="684"/>
      <c r="CCI6" s="684"/>
      <c r="CCJ6" s="684"/>
      <c r="CCK6" s="684"/>
      <c r="CCL6" s="684"/>
      <c r="CCM6" s="684"/>
      <c r="CCN6" s="684"/>
      <c r="CCO6" s="684"/>
      <c r="CCP6" s="684"/>
      <c r="CCQ6" s="684"/>
      <c r="CCR6" s="684"/>
      <c r="CCS6" s="684"/>
      <c r="CCT6" s="684"/>
      <c r="CCU6" s="684"/>
      <c r="CCV6" s="684"/>
      <c r="CCW6" s="684"/>
      <c r="CCX6" s="684"/>
      <c r="CCY6" s="684"/>
      <c r="CCZ6" s="684"/>
      <c r="CDA6" s="684"/>
      <c r="CDB6" s="684"/>
      <c r="CDC6" s="684"/>
      <c r="CDD6" s="684"/>
      <c r="CDE6" s="684"/>
      <c r="CDF6" s="684"/>
      <c r="CDG6" s="684"/>
      <c r="CDH6" s="684"/>
      <c r="CDI6" s="684"/>
      <c r="CDJ6" s="684"/>
      <c r="CDK6" s="684"/>
      <c r="CDL6" s="684"/>
      <c r="CDM6" s="684"/>
      <c r="CDN6" s="684"/>
      <c r="CDO6" s="684"/>
      <c r="CDP6" s="684"/>
      <c r="CDQ6" s="684"/>
      <c r="CDR6" s="684"/>
      <c r="CDS6" s="684"/>
      <c r="CDT6" s="684"/>
      <c r="CDU6" s="684"/>
      <c r="CDV6" s="684"/>
      <c r="CDW6" s="684"/>
      <c r="CDX6" s="684"/>
      <c r="CDY6" s="684"/>
      <c r="CDZ6" s="684"/>
      <c r="CEA6" s="684"/>
      <c r="CEB6" s="684"/>
      <c r="CEC6" s="684"/>
      <c r="CED6" s="684"/>
      <c r="CEE6" s="684"/>
      <c r="CEF6" s="684"/>
      <c r="CEG6" s="684"/>
      <c r="CEH6" s="684"/>
      <c r="CEI6" s="684"/>
      <c r="CEJ6" s="684"/>
      <c r="CEK6" s="684"/>
      <c r="CEL6" s="684"/>
      <c r="CEM6" s="684"/>
      <c r="CEN6" s="684"/>
      <c r="CEO6" s="684"/>
      <c r="CEP6" s="684"/>
      <c r="CEQ6" s="684"/>
      <c r="CER6" s="684"/>
      <c r="CES6" s="684"/>
      <c r="CET6" s="684"/>
      <c r="CEU6" s="684"/>
      <c r="CEV6" s="684"/>
      <c r="CEW6" s="684"/>
      <c r="CEX6" s="684"/>
      <c r="CEY6" s="684"/>
      <c r="CEZ6" s="684"/>
      <c r="CFA6" s="684"/>
      <c r="CFB6" s="684"/>
      <c r="CFC6" s="684"/>
      <c r="CFD6" s="684"/>
      <c r="CFE6" s="684"/>
      <c r="CFF6" s="684"/>
      <c r="CFG6" s="684"/>
      <c r="CFH6" s="684"/>
      <c r="CFI6" s="684"/>
      <c r="CFJ6" s="684"/>
      <c r="CFK6" s="684"/>
      <c r="CFL6" s="684"/>
      <c r="CFM6" s="684"/>
      <c r="CFN6" s="684"/>
      <c r="CFO6" s="684"/>
      <c r="CFP6" s="684"/>
      <c r="CFQ6" s="684"/>
      <c r="CFR6" s="684"/>
      <c r="CFS6" s="684"/>
      <c r="CFT6" s="684"/>
      <c r="CFU6" s="684"/>
      <c r="CFV6" s="684"/>
      <c r="CFW6" s="684"/>
      <c r="CFX6" s="684"/>
      <c r="CFY6" s="684"/>
      <c r="CFZ6" s="684"/>
      <c r="CGA6" s="684"/>
      <c r="CGB6" s="684"/>
      <c r="CGC6" s="684"/>
      <c r="CGD6" s="684"/>
      <c r="CGE6" s="684"/>
      <c r="CGF6" s="684"/>
      <c r="CGG6" s="684"/>
      <c r="CGH6" s="684"/>
      <c r="CGI6" s="684"/>
      <c r="CGJ6" s="684"/>
      <c r="CGK6" s="684"/>
      <c r="CGL6" s="684"/>
      <c r="CGM6" s="684"/>
      <c r="CGN6" s="684"/>
      <c r="CGO6" s="684"/>
      <c r="CGP6" s="684"/>
      <c r="CGQ6" s="684"/>
      <c r="CGR6" s="684"/>
      <c r="CGS6" s="684"/>
      <c r="CGT6" s="684"/>
      <c r="CGU6" s="684"/>
      <c r="CGV6" s="684"/>
      <c r="CGW6" s="684"/>
      <c r="CGX6" s="684"/>
      <c r="CGY6" s="684"/>
      <c r="CGZ6" s="684"/>
      <c r="CHA6" s="684"/>
      <c r="CHB6" s="684"/>
      <c r="CHC6" s="684"/>
      <c r="CHD6" s="684"/>
      <c r="CHE6" s="684"/>
      <c r="CHF6" s="684"/>
      <c r="CHG6" s="684"/>
      <c r="CHH6" s="684"/>
      <c r="CHI6" s="684"/>
      <c r="CHJ6" s="684"/>
      <c r="CHK6" s="684"/>
      <c r="CHL6" s="684"/>
      <c r="CHM6" s="684"/>
      <c r="CHN6" s="684"/>
      <c r="CHO6" s="684"/>
      <c r="CHP6" s="684"/>
      <c r="CHQ6" s="684"/>
      <c r="CHR6" s="684"/>
      <c r="CHS6" s="684"/>
      <c r="CHT6" s="684"/>
      <c r="CHU6" s="684"/>
      <c r="CHV6" s="684"/>
      <c r="CHW6" s="684"/>
      <c r="CHX6" s="684"/>
      <c r="CHY6" s="684"/>
      <c r="CHZ6" s="684"/>
      <c r="CIA6" s="684"/>
      <c r="CIB6" s="684"/>
      <c r="CIC6" s="684"/>
      <c r="CID6" s="684"/>
      <c r="CIE6" s="684"/>
      <c r="CIF6" s="684"/>
      <c r="CIG6" s="684"/>
      <c r="CIH6" s="684"/>
      <c r="CII6" s="684"/>
      <c r="CIJ6" s="684"/>
      <c r="CIK6" s="684"/>
      <c r="CIL6" s="684"/>
      <c r="CIM6" s="684"/>
      <c r="CIN6" s="684"/>
      <c r="CIO6" s="684"/>
      <c r="CIP6" s="684"/>
      <c r="CIQ6" s="684"/>
      <c r="CIR6" s="684"/>
      <c r="CIS6" s="684"/>
      <c r="CIT6" s="684"/>
      <c r="CIU6" s="684"/>
      <c r="CIV6" s="684"/>
      <c r="CIW6" s="684"/>
      <c r="CIX6" s="684"/>
      <c r="CIY6" s="684"/>
      <c r="CIZ6" s="684"/>
      <c r="CJA6" s="684"/>
      <c r="CJB6" s="684"/>
      <c r="CJC6" s="684"/>
      <c r="CJD6" s="684"/>
      <c r="CJE6" s="684"/>
      <c r="CJF6" s="684"/>
      <c r="CJG6" s="684"/>
      <c r="CJH6" s="684"/>
      <c r="CJI6" s="684"/>
      <c r="CJJ6" s="684"/>
      <c r="CJK6" s="684"/>
      <c r="CJL6" s="684"/>
      <c r="CJM6" s="684"/>
      <c r="CJN6" s="684"/>
      <c r="CJO6" s="684"/>
      <c r="CJP6" s="684"/>
      <c r="CJQ6" s="684"/>
      <c r="CJR6" s="684"/>
      <c r="CJS6" s="684"/>
      <c r="CJT6" s="684"/>
      <c r="CJU6" s="684"/>
      <c r="CJV6" s="684"/>
      <c r="CJW6" s="684"/>
      <c r="CJX6" s="684"/>
      <c r="CJY6" s="684"/>
      <c r="CJZ6" s="684"/>
      <c r="CKA6" s="684"/>
      <c r="CKB6" s="684"/>
      <c r="CKC6" s="684"/>
      <c r="CKD6" s="684"/>
      <c r="CKE6" s="684"/>
      <c r="CKF6" s="684"/>
      <c r="CKG6" s="684"/>
      <c r="CKH6" s="684"/>
      <c r="CKI6" s="684"/>
      <c r="CKJ6" s="684"/>
      <c r="CKK6" s="684"/>
      <c r="CKL6" s="684"/>
      <c r="CKM6" s="684"/>
      <c r="CKN6" s="684"/>
      <c r="CKO6" s="684"/>
      <c r="CKP6" s="684"/>
      <c r="CKQ6" s="684"/>
      <c r="CKR6" s="684"/>
      <c r="CKS6" s="684"/>
      <c r="CKT6" s="684"/>
      <c r="CKU6" s="684"/>
      <c r="CKV6" s="684"/>
      <c r="CKW6" s="684"/>
      <c r="CKX6" s="684"/>
      <c r="CKY6" s="684"/>
      <c r="CKZ6" s="684"/>
      <c r="CLA6" s="684"/>
      <c r="CLB6" s="684"/>
      <c r="CLC6" s="684"/>
      <c r="CLD6" s="684"/>
      <c r="CLE6" s="684"/>
      <c r="CLF6" s="684"/>
      <c r="CLG6" s="684"/>
      <c r="CLH6" s="684"/>
      <c r="CLI6" s="684"/>
      <c r="CLJ6" s="684"/>
      <c r="CLK6" s="684"/>
      <c r="CLL6" s="684"/>
      <c r="CLM6" s="684"/>
      <c r="CLN6" s="684"/>
      <c r="CLO6" s="684"/>
      <c r="CLP6" s="684"/>
      <c r="CLQ6" s="684"/>
      <c r="CLR6" s="684"/>
      <c r="CLS6" s="684"/>
      <c r="CLT6" s="684"/>
      <c r="CLU6" s="684"/>
      <c r="CLV6" s="684"/>
      <c r="CLW6" s="684"/>
      <c r="CLX6" s="684"/>
      <c r="CLY6" s="684"/>
      <c r="CLZ6" s="684"/>
      <c r="CMA6" s="684"/>
      <c r="CMB6" s="684"/>
      <c r="CMC6" s="684"/>
      <c r="CMD6" s="684"/>
      <c r="CME6" s="684"/>
      <c r="CMF6" s="684"/>
      <c r="CMG6" s="684"/>
      <c r="CMH6" s="684"/>
      <c r="CMI6" s="684"/>
      <c r="CMJ6" s="684"/>
      <c r="CMK6" s="684"/>
      <c r="CML6" s="684"/>
      <c r="CMM6" s="684"/>
      <c r="CMN6" s="684"/>
      <c r="CMO6" s="684"/>
      <c r="CMP6" s="684"/>
      <c r="CMQ6" s="684"/>
      <c r="CMR6" s="684"/>
      <c r="CMS6" s="684"/>
      <c r="CMT6" s="684"/>
      <c r="CMU6" s="684"/>
      <c r="CMV6" s="684"/>
      <c r="CMW6" s="684"/>
      <c r="CMX6" s="684"/>
      <c r="CMY6" s="684"/>
      <c r="CMZ6" s="684"/>
      <c r="CNA6" s="684"/>
      <c r="CNB6" s="684"/>
      <c r="CNC6" s="684"/>
      <c r="CND6" s="684"/>
      <c r="CNE6" s="684"/>
      <c r="CNF6" s="684"/>
      <c r="CNG6" s="684"/>
      <c r="CNH6" s="684"/>
      <c r="CNI6" s="684"/>
      <c r="CNJ6" s="684"/>
      <c r="CNK6" s="684"/>
      <c r="CNL6" s="684"/>
      <c r="CNM6" s="684"/>
      <c r="CNN6" s="684"/>
      <c r="CNO6" s="684"/>
      <c r="CNP6" s="684"/>
      <c r="CNQ6" s="684"/>
      <c r="CNR6" s="684"/>
      <c r="CNS6" s="684"/>
      <c r="CNT6" s="684"/>
      <c r="CNU6" s="684"/>
      <c r="CNV6" s="684"/>
      <c r="CNW6" s="684"/>
      <c r="CNX6" s="684"/>
      <c r="CNY6" s="684"/>
      <c r="CNZ6" s="684"/>
      <c r="COA6" s="684"/>
      <c r="COB6" s="684"/>
      <c r="COC6" s="684"/>
      <c r="COD6" s="684"/>
      <c r="COE6" s="684"/>
      <c r="COF6" s="684"/>
      <c r="COG6" s="684"/>
      <c r="COH6" s="684"/>
      <c r="COI6" s="684"/>
      <c r="COJ6" s="684"/>
      <c r="COK6" s="684"/>
      <c r="COL6" s="684"/>
      <c r="COM6" s="684"/>
      <c r="CON6" s="684"/>
      <c r="COO6" s="684"/>
      <c r="COP6" s="684"/>
      <c r="COQ6" s="684"/>
      <c r="COR6" s="684"/>
      <c r="COS6" s="684"/>
      <c r="COT6" s="684"/>
      <c r="COU6" s="684"/>
      <c r="COV6" s="684"/>
      <c r="COW6" s="684"/>
      <c r="COX6" s="684"/>
      <c r="COY6" s="684"/>
      <c r="COZ6" s="684"/>
      <c r="CPA6" s="684"/>
      <c r="CPB6" s="684"/>
      <c r="CPC6" s="684"/>
      <c r="CPD6" s="684"/>
      <c r="CPE6" s="684"/>
      <c r="CPF6" s="684"/>
      <c r="CPG6" s="684"/>
      <c r="CPH6" s="684"/>
      <c r="CPI6" s="684"/>
      <c r="CPJ6" s="684"/>
      <c r="CPK6" s="684"/>
      <c r="CPL6" s="684"/>
      <c r="CPM6" s="684"/>
      <c r="CPN6" s="684"/>
      <c r="CPO6" s="684"/>
      <c r="CPP6" s="684"/>
      <c r="CPQ6" s="684"/>
      <c r="CPR6" s="684"/>
      <c r="CPS6" s="684"/>
      <c r="CPT6" s="684"/>
      <c r="CPU6" s="684"/>
      <c r="CPV6" s="684"/>
      <c r="CPW6" s="684"/>
      <c r="CPX6" s="684"/>
      <c r="CPY6" s="684"/>
      <c r="CPZ6" s="684"/>
      <c r="CQA6" s="684"/>
      <c r="CQB6" s="684"/>
      <c r="CQC6" s="684"/>
      <c r="CQD6" s="684"/>
      <c r="CQE6" s="684"/>
      <c r="CQF6" s="684"/>
      <c r="CQG6" s="684"/>
      <c r="CQH6" s="684"/>
      <c r="CQI6" s="684"/>
      <c r="CQJ6" s="684"/>
      <c r="CQK6" s="684"/>
      <c r="CQL6" s="684"/>
      <c r="CQM6" s="684"/>
      <c r="CQN6" s="684"/>
      <c r="CQO6" s="684"/>
      <c r="CQP6" s="684"/>
      <c r="CQQ6" s="684"/>
      <c r="CQR6" s="684"/>
      <c r="CQS6" s="684"/>
      <c r="CQT6" s="684"/>
      <c r="CQU6" s="684"/>
      <c r="CQV6" s="684"/>
      <c r="CQW6" s="684"/>
      <c r="CQX6" s="684"/>
      <c r="CQY6" s="684"/>
      <c r="CQZ6" s="684"/>
      <c r="CRA6" s="684"/>
      <c r="CRB6" s="684"/>
      <c r="CRC6" s="684"/>
      <c r="CRD6" s="684"/>
      <c r="CRE6" s="684"/>
      <c r="CRF6" s="684"/>
      <c r="CRG6" s="684"/>
      <c r="CRH6" s="684"/>
      <c r="CRI6" s="684"/>
      <c r="CRJ6" s="684"/>
      <c r="CRK6" s="684"/>
      <c r="CRL6" s="684"/>
      <c r="CRM6" s="684"/>
      <c r="CRN6" s="684"/>
      <c r="CRO6" s="684"/>
      <c r="CRP6" s="684"/>
      <c r="CRQ6" s="684"/>
      <c r="CRR6" s="684"/>
      <c r="CRS6" s="684"/>
      <c r="CRT6" s="684"/>
      <c r="CRU6" s="684"/>
      <c r="CRV6" s="684"/>
      <c r="CRW6" s="684"/>
      <c r="CRX6" s="684"/>
      <c r="CRY6" s="684"/>
      <c r="CRZ6" s="684"/>
      <c r="CSA6" s="684"/>
      <c r="CSB6" s="684"/>
      <c r="CSC6" s="684"/>
      <c r="CSD6" s="684"/>
      <c r="CSE6" s="684"/>
      <c r="CSF6" s="684"/>
      <c r="CSG6" s="684"/>
      <c r="CSH6" s="684"/>
      <c r="CSI6" s="684"/>
      <c r="CSJ6" s="684"/>
      <c r="CSK6" s="684"/>
      <c r="CSL6" s="684"/>
      <c r="CSM6" s="684"/>
      <c r="CSN6" s="684"/>
      <c r="CSO6" s="684"/>
      <c r="CSP6" s="684"/>
      <c r="CSQ6" s="684"/>
      <c r="CSR6" s="684"/>
      <c r="CSS6" s="684"/>
      <c r="CST6" s="684"/>
      <c r="CSU6" s="684"/>
      <c r="CSV6" s="684"/>
      <c r="CSW6" s="684"/>
      <c r="CSX6" s="684"/>
      <c r="CSY6" s="684"/>
      <c r="CSZ6" s="684"/>
      <c r="CTA6" s="684"/>
      <c r="CTB6" s="684"/>
      <c r="CTC6" s="684"/>
      <c r="CTD6" s="684"/>
      <c r="CTE6" s="684"/>
      <c r="CTF6" s="684"/>
      <c r="CTG6" s="684"/>
      <c r="CTH6" s="684"/>
      <c r="CTI6" s="684"/>
      <c r="CTJ6" s="684"/>
      <c r="CTK6" s="684"/>
      <c r="CTL6" s="684"/>
      <c r="CTM6" s="684"/>
      <c r="CTN6" s="684"/>
      <c r="CTO6" s="684"/>
      <c r="CTP6" s="684"/>
      <c r="CTQ6" s="684"/>
      <c r="CTR6" s="684"/>
      <c r="CTS6" s="684"/>
      <c r="CTT6" s="684"/>
      <c r="CTU6" s="684"/>
      <c r="CTV6" s="684"/>
      <c r="CTW6" s="684"/>
      <c r="CTX6" s="684"/>
      <c r="CTY6" s="684"/>
      <c r="CTZ6" s="684"/>
      <c r="CUA6" s="684"/>
      <c r="CUB6" s="684"/>
      <c r="CUC6" s="684"/>
      <c r="CUD6" s="684"/>
      <c r="CUE6" s="684"/>
      <c r="CUF6" s="684"/>
      <c r="CUG6" s="684"/>
      <c r="CUH6" s="684"/>
      <c r="CUI6" s="684"/>
      <c r="CUJ6" s="684"/>
      <c r="CUK6" s="684"/>
      <c r="CUL6" s="684"/>
      <c r="CUM6" s="684"/>
      <c r="CUN6" s="684"/>
      <c r="CUO6" s="684"/>
      <c r="CUP6" s="684"/>
      <c r="CUQ6" s="684"/>
      <c r="CUR6" s="684"/>
      <c r="CUS6" s="684"/>
      <c r="CUT6" s="684"/>
      <c r="CUU6" s="684"/>
      <c r="CUV6" s="684"/>
      <c r="CUW6" s="684"/>
      <c r="CUX6" s="684"/>
      <c r="CUY6" s="684"/>
      <c r="CUZ6" s="684"/>
      <c r="CVA6" s="684"/>
      <c r="CVB6" s="684"/>
      <c r="CVC6" s="684"/>
      <c r="CVD6" s="684"/>
      <c r="CVE6" s="684"/>
      <c r="CVF6" s="684"/>
      <c r="CVG6" s="684"/>
      <c r="CVH6" s="684"/>
      <c r="CVI6" s="684"/>
      <c r="CVJ6" s="684"/>
      <c r="CVK6" s="684"/>
      <c r="CVL6" s="684"/>
      <c r="CVM6" s="684"/>
      <c r="CVN6" s="684"/>
      <c r="CVO6" s="684"/>
      <c r="CVP6" s="684"/>
      <c r="CVQ6" s="684"/>
      <c r="CVR6" s="684"/>
      <c r="CVS6" s="684"/>
      <c r="CVT6" s="684"/>
      <c r="CVU6" s="684"/>
      <c r="CVV6" s="684"/>
      <c r="CVW6" s="684"/>
      <c r="CVX6" s="684"/>
      <c r="CVY6" s="684"/>
      <c r="CVZ6" s="684"/>
      <c r="CWA6" s="684"/>
      <c r="CWB6" s="684"/>
      <c r="CWC6" s="684"/>
      <c r="CWD6" s="684"/>
      <c r="CWE6" s="684"/>
      <c r="CWF6" s="684"/>
      <c r="CWG6" s="684"/>
      <c r="CWH6" s="684"/>
      <c r="CWI6" s="684"/>
      <c r="CWJ6" s="684"/>
      <c r="CWK6" s="684"/>
      <c r="CWL6" s="684"/>
      <c r="CWM6" s="684"/>
      <c r="CWN6" s="684"/>
      <c r="CWO6" s="684"/>
      <c r="CWP6" s="684"/>
      <c r="CWQ6" s="684"/>
      <c r="CWR6" s="684"/>
      <c r="CWS6" s="684"/>
      <c r="CWT6" s="684"/>
      <c r="CWU6" s="684"/>
      <c r="CWV6" s="684"/>
      <c r="CWW6" s="684"/>
      <c r="CWX6" s="684"/>
      <c r="CWY6" s="684"/>
      <c r="CWZ6" s="684"/>
      <c r="CXA6" s="684"/>
      <c r="CXB6" s="684"/>
      <c r="CXC6" s="684"/>
      <c r="CXD6" s="684"/>
      <c r="CXE6" s="684"/>
      <c r="CXF6" s="684"/>
      <c r="CXG6" s="684"/>
      <c r="CXH6" s="684"/>
      <c r="CXI6" s="684"/>
      <c r="CXJ6" s="684"/>
      <c r="CXK6" s="684"/>
      <c r="CXL6" s="684"/>
      <c r="CXM6" s="684"/>
      <c r="CXN6" s="684"/>
      <c r="CXO6" s="684"/>
      <c r="CXP6" s="684"/>
      <c r="CXQ6" s="684"/>
      <c r="CXR6" s="684"/>
      <c r="CXS6" s="684"/>
      <c r="CXT6" s="684"/>
      <c r="CXU6" s="684"/>
      <c r="CXV6" s="684"/>
      <c r="CXW6" s="684"/>
      <c r="CXX6" s="684"/>
      <c r="CXY6" s="684"/>
      <c r="CXZ6" s="684"/>
      <c r="CYA6" s="684"/>
      <c r="CYB6" s="684"/>
      <c r="CYC6" s="684"/>
      <c r="CYD6" s="684"/>
      <c r="CYE6" s="684"/>
      <c r="CYF6" s="684"/>
      <c r="CYG6" s="684"/>
      <c r="CYH6" s="684"/>
      <c r="CYI6" s="684"/>
      <c r="CYJ6" s="684"/>
      <c r="CYK6" s="684"/>
      <c r="CYL6" s="684"/>
      <c r="CYM6" s="684"/>
      <c r="CYN6" s="684"/>
      <c r="CYO6" s="684"/>
      <c r="CYP6" s="684"/>
      <c r="CYQ6" s="684"/>
      <c r="CYR6" s="684"/>
      <c r="CYS6" s="684"/>
      <c r="CYT6" s="684"/>
      <c r="CYU6" s="684"/>
      <c r="CYV6" s="684"/>
      <c r="CYW6" s="684"/>
      <c r="CYX6" s="684"/>
      <c r="CYY6" s="684"/>
      <c r="CYZ6" s="684"/>
      <c r="CZA6" s="684"/>
      <c r="CZB6" s="684"/>
      <c r="CZC6" s="684"/>
      <c r="CZD6" s="684"/>
      <c r="CZE6" s="684"/>
      <c r="CZF6" s="684"/>
      <c r="CZG6" s="684"/>
      <c r="CZH6" s="684"/>
      <c r="CZI6" s="684"/>
      <c r="CZJ6" s="684"/>
      <c r="CZK6" s="684"/>
      <c r="CZL6" s="684"/>
      <c r="CZM6" s="684"/>
      <c r="CZN6" s="684"/>
      <c r="CZO6" s="684"/>
      <c r="CZP6" s="684"/>
      <c r="CZQ6" s="684"/>
      <c r="CZR6" s="684"/>
      <c r="CZS6" s="684"/>
      <c r="CZT6" s="684"/>
      <c r="CZU6" s="684"/>
      <c r="CZV6" s="684"/>
      <c r="CZW6" s="684"/>
      <c r="CZX6" s="684"/>
      <c r="CZY6" s="684"/>
      <c r="CZZ6" s="684"/>
      <c r="DAA6" s="684"/>
      <c r="DAB6" s="684"/>
      <c r="DAC6" s="684"/>
      <c r="DAD6" s="684"/>
      <c r="DAE6" s="684"/>
      <c r="DAF6" s="684"/>
      <c r="DAG6" s="684"/>
      <c r="DAH6" s="684"/>
      <c r="DAI6" s="684"/>
      <c r="DAJ6" s="684"/>
      <c r="DAK6" s="684"/>
      <c r="DAL6" s="684"/>
      <c r="DAM6" s="684"/>
      <c r="DAN6" s="684"/>
      <c r="DAO6" s="684"/>
      <c r="DAP6" s="684"/>
      <c r="DAQ6" s="684"/>
      <c r="DAR6" s="684"/>
      <c r="DAS6" s="684"/>
      <c r="DAT6" s="684"/>
      <c r="DAU6" s="684"/>
      <c r="DAV6" s="684"/>
      <c r="DAW6" s="684"/>
      <c r="DAX6" s="684"/>
      <c r="DAY6" s="684"/>
      <c r="DAZ6" s="684"/>
      <c r="DBA6" s="684"/>
      <c r="DBB6" s="684"/>
      <c r="DBC6" s="684"/>
      <c r="DBD6" s="684"/>
      <c r="DBE6" s="684"/>
      <c r="DBF6" s="684"/>
      <c r="DBG6" s="684"/>
      <c r="DBH6" s="684"/>
      <c r="DBI6" s="684"/>
      <c r="DBJ6" s="684"/>
      <c r="DBK6" s="684"/>
      <c r="DBL6" s="684"/>
      <c r="DBM6" s="684"/>
      <c r="DBN6" s="684"/>
      <c r="DBO6" s="684"/>
      <c r="DBP6" s="684"/>
      <c r="DBQ6" s="684"/>
      <c r="DBR6" s="684"/>
      <c r="DBS6" s="684"/>
      <c r="DBT6" s="684"/>
      <c r="DBU6" s="684"/>
      <c r="DBV6" s="684"/>
      <c r="DBW6" s="684"/>
      <c r="DBX6" s="684"/>
      <c r="DBY6" s="684"/>
      <c r="DBZ6" s="684"/>
      <c r="DCA6" s="684"/>
      <c r="DCB6" s="684"/>
      <c r="DCC6" s="684"/>
      <c r="DCD6" s="684"/>
      <c r="DCE6" s="684"/>
      <c r="DCF6" s="684"/>
      <c r="DCG6" s="684"/>
      <c r="DCH6" s="684"/>
      <c r="DCI6" s="684"/>
      <c r="DCJ6" s="684"/>
      <c r="DCK6" s="684"/>
      <c r="DCL6" s="684"/>
      <c r="DCM6" s="684"/>
      <c r="DCN6" s="684"/>
      <c r="DCO6" s="684"/>
      <c r="DCP6" s="684"/>
      <c r="DCQ6" s="684"/>
      <c r="DCR6" s="684"/>
      <c r="DCS6" s="684"/>
      <c r="DCT6" s="684"/>
      <c r="DCU6" s="684"/>
      <c r="DCV6" s="684"/>
      <c r="DCW6" s="684"/>
      <c r="DCX6" s="684"/>
      <c r="DCY6" s="684"/>
      <c r="DCZ6" s="684"/>
      <c r="DDA6" s="684"/>
      <c r="DDB6" s="684"/>
      <c r="DDC6" s="684"/>
      <c r="DDD6" s="684"/>
      <c r="DDE6" s="684"/>
      <c r="DDF6" s="684"/>
      <c r="DDG6" s="684"/>
      <c r="DDH6" s="684"/>
      <c r="DDI6" s="684"/>
      <c r="DDJ6" s="684"/>
      <c r="DDK6" s="684"/>
      <c r="DDL6" s="684"/>
      <c r="DDM6" s="684"/>
      <c r="DDN6" s="684"/>
      <c r="DDO6" s="684"/>
      <c r="DDP6" s="684"/>
      <c r="DDQ6" s="684"/>
      <c r="DDR6" s="684"/>
      <c r="DDS6" s="684"/>
      <c r="DDT6" s="684"/>
      <c r="DDU6" s="684"/>
      <c r="DDV6" s="684"/>
      <c r="DDW6" s="684"/>
      <c r="DDX6" s="684"/>
      <c r="DDY6" s="684"/>
      <c r="DDZ6" s="684"/>
      <c r="DEA6" s="684"/>
      <c r="DEB6" s="684"/>
      <c r="DEC6" s="684"/>
      <c r="DED6" s="684"/>
      <c r="DEE6" s="684"/>
      <c r="DEF6" s="684"/>
      <c r="DEG6" s="684"/>
      <c r="DEH6" s="684"/>
      <c r="DEI6" s="684"/>
      <c r="DEJ6" s="684"/>
      <c r="DEK6" s="684"/>
      <c r="DEL6" s="684"/>
      <c r="DEM6" s="684"/>
      <c r="DEN6" s="684"/>
      <c r="DEO6" s="684"/>
      <c r="DEP6" s="684"/>
      <c r="DEQ6" s="684"/>
      <c r="DER6" s="684"/>
      <c r="DES6" s="684"/>
      <c r="DET6" s="684"/>
      <c r="DEU6" s="684"/>
      <c r="DEV6" s="684"/>
      <c r="DEW6" s="684"/>
      <c r="DEX6" s="684"/>
      <c r="DEY6" s="684"/>
      <c r="DEZ6" s="684"/>
      <c r="DFA6" s="684"/>
      <c r="DFB6" s="684"/>
      <c r="DFC6" s="684"/>
      <c r="DFD6" s="684"/>
      <c r="DFE6" s="684"/>
      <c r="DFF6" s="684"/>
      <c r="DFG6" s="684"/>
      <c r="DFH6" s="684"/>
      <c r="DFI6" s="684"/>
      <c r="DFJ6" s="684"/>
      <c r="DFK6" s="684"/>
      <c r="DFL6" s="684"/>
      <c r="DFM6" s="684"/>
      <c r="DFN6" s="684"/>
      <c r="DFO6" s="684"/>
      <c r="DFP6" s="684"/>
      <c r="DFQ6" s="684"/>
      <c r="DFR6" s="684"/>
      <c r="DFS6" s="684"/>
      <c r="DFT6" s="684"/>
      <c r="DFU6" s="684"/>
      <c r="DFV6" s="684"/>
      <c r="DFW6" s="684"/>
      <c r="DFX6" s="684"/>
      <c r="DFY6" s="684"/>
      <c r="DFZ6" s="684"/>
      <c r="DGA6" s="684"/>
      <c r="DGB6" s="684"/>
      <c r="DGC6" s="684"/>
      <c r="DGD6" s="684"/>
      <c r="DGE6" s="684"/>
      <c r="DGF6" s="684"/>
      <c r="DGG6" s="684"/>
      <c r="DGH6" s="684"/>
      <c r="DGI6" s="684"/>
      <c r="DGJ6" s="684"/>
      <c r="DGK6" s="684"/>
      <c r="DGL6" s="684"/>
      <c r="DGM6" s="684"/>
      <c r="DGN6" s="684"/>
      <c r="DGO6" s="684"/>
      <c r="DGP6" s="684"/>
      <c r="DGQ6" s="684"/>
      <c r="DGR6" s="684"/>
      <c r="DGS6" s="684"/>
      <c r="DGT6" s="684"/>
      <c r="DGU6" s="684"/>
      <c r="DGV6" s="684"/>
      <c r="DGW6" s="684"/>
      <c r="DGX6" s="684"/>
      <c r="DGY6" s="684"/>
      <c r="DGZ6" s="684"/>
      <c r="DHA6" s="684"/>
      <c r="DHB6" s="684"/>
      <c r="DHC6" s="684"/>
      <c r="DHD6" s="684"/>
      <c r="DHE6" s="684"/>
      <c r="DHF6" s="684"/>
      <c r="DHG6" s="684"/>
      <c r="DHH6" s="684"/>
      <c r="DHI6" s="684"/>
      <c r="DHJ6" s="684"/>
      <c r="DHK6" s="684"/>
      <c r="DHL6" s="684"/>
      <c r="DHM6" s="684"/>
      <c r="DHN6" s="684"/>
      <c r="DHO6" s="684"/>
      <c r="DHP6" s="684"/>
      <c r="DHQ6" s="684"/>
      <c r="DHR6" s="684"/>
      <c r="DHS6" s="684"/>
      <c r="DHT6" s="684"/>
      <c r="DHU6" s="684"/>
      <c r="DHV6" s="684"/>
      <c r="DHW6" s="684"/>
      <c r="DHX6" s="684"/>
      <c r="DHY6" s="684"/>
      <c r="DHZ6" s="684"/>
      <c r="DIA6" s="684"/>
      <c r="DIB6" s="684"/>
      <c r="DIC6" s="684"/>
      <c r="DID6" s="684"/>
      <c r="DIE6" s="684"/>
      <c r="DIF6" s="684"/>
      <c r="DIG6" s="684"/>
      <c r="DIH6" s="684"/>
      <c r="DII6" s="684"/>
      <c r="DIJ6" s="684"/>
      <c r="DIK6" s="684"/>
      <c r="DIL6" s="684"/>
      <c r="DIM6" s="684"/>
      <c r="DIN6" s="684"/>
      <c r="DIO6" s="684"/>
      <c r="DIP6" s="684"/>
      <c r="DIQ6" s="684"/>
      <c r="DIR6" s="684"/>
      <c r="DIS6" s="684"/>
      <c r="DIT6" s="684"/>
      <c r="DIU6" s="684"/>
      <c r="DIV6" s="684"/>
      <c r="DIW6" s="684"/>
      <c r="DIX6" s="684"/>
      <c r="DIY6" s="684"/>
      <c r="DIZ6" s="684"/>
      <c r="DJA6" s="684"/>
      <c r="DJB6" s="684"/>
      <c r="DJC6" s="684"/>
      <c r="DJD6" s="684"/>
      <c r="DJE6" s="684"/>
      <c r="DJF6" s="684"/>
      <c r="DJG6" s="684"/>
      <c r="DJH6" s="684"/>
      <c r="DJI6" s="684"/>
      <c r="DJJ6" s="684"/>
      <c r="DJK6" s="684"/>
      <c r="DJL6" s="684"/>
      <c r="DJM6" s="684"/>
      <c r="DJN6" s="684"/>
      <c r="DJO6" s="684"/>
      <c r="DJP6" s="684"/>
      <c r="DJQ6" s="684"/>
      <c r="DJR6" s="684"/>
      <c r="DJS6" s="684"/>
      <c r="DJT6" s="684"/>
      <c r="DJU6" s="684"/>
      <c r="DJV6" s="684"/>
      <c r="DJW6" s="684"/>
      <c r="DJX6" s="684"/>
      <c r="DJY6" s="684"/>
      <c r="DJZ6" s="684"/>
      <c r="DKA6" s="684"/>
      <c r="DKB6" s="684"/>
      <c r="DKC6" s="684"/>
      <c r="DKD6" s="684"/>
      <c r="DKE6" s="684"/>
      <c r="DKF6" s="684"/>
      <c r="DKG6" s="684"/>
      <c r="DKH6" s="684"/>
      <c r="DKI6" s="684"/>
      <c r="DKJ6" s="684"/>
      <c r="DKK6" s="684"/>
      <c r="DKL6" s="684"/>
      <c r="DKM6" s="684"/>
      <c r="DKN6" s="684"/>
      <c r="DKO6" s="684"/>
      <c r="DKP6" s="684"/>
      <c r="DKQ6" s="684"/>
      <c r="DKR6" s="684"/>
      <c r="DKS6" s="684"/>
      <c r="DKT6" s="684"/>
      <c r="DKU6" s="684"/>
      <c r="DKV6" s="684"/>
      <c r="DKW6" s="684"/>
      <c r="DKX6" s="684"/>
      <c r="DKY6" s="684"/>
      <c r="DKZ6" s="684"/>
      <c r="DLA6" s="684"/>
      <c r="DLB6" s="684"/>
      <c r="DLC6" s="684"/>
      <c r="DLD6" s="684"/>
      <c r="DLE6" s="684"/>
      <c r="DLF6" s="684"/>
      <c r="DLG6" s="684"/>
      <c r="DLH6" s="684"/>
      <c r="DLI6" s="684"/>
      <c r="DLJ6" s="684"/>
      <c r="DLK6" s="684"/>
      <c r="DLL6" s="684"/>
      <c r="DLM6" s="684"/>
      <c r="DLN6" s="684"/>
      <c r="DLO6" s="684"/>
      <c r="DLP6" s="684"/>
      <c r="DLQ6" s="684"/>
      <c r="DLR6" s="684"/>
      <c r="DLS6" s="684"/>
      <c r="DLT6" s="684"/>
      <c r="DLU6" s="684"/>
      <c r="DLV6" s="684"/>
      <c r="DLW6" s="684"/>
      <c r="DLX6" s="684"/>
      <c r="DLY6" s="684"/>
      <c r="DLZ6" s="684"/>
      <c r="DMA6" s="684"/>
      <c r="DMB6" s="684"/>
      <c r="DMC6" s="684"/>
      <c r="DMD6" s="684"/>
      <c r="DME6" s="684"/>
      <c r="DMF6" s="684"/>
      <c r="DMG6" s="684"/>
      <c r="DMH6" s="684"/>
      <c r="DMI6" s="684"/>
      <c r="DMJ6" s="684"/>
      <c r="DMK6" s="684"/>
      <c r="DML6" s="684"/>
      <c r="DMM6" s="684"/>
      <c r="DMN6" s="684"/>
      <c r="DMO6" s="684"/>
      <c r="DMP6" s="684"/>
      <c r="DMQ6" s="684"/>
      <c r="DMR6" s="684"/>
      <c r="DMS6" s="684"/>
      <c r="DMT6" s="684"/>
      <c r="DMU6" s="684"/>
      <c r="DMV6" s="684"/>
      <c r="DMW6" s="684"/>
      <c r="DMX6" s="684"/>
      <c r="DMY6" s="684"/>
      <c r="DMZ6" s="684"/>
      <c r="DNA6" s="684"/>
      <c r="DNB6" s="684"/>
      <c r="DNC6" s="684"/>
      <c r="DND6" s="684"/>
      <c r="DNE6" s="684"/>
      <c r="DNF6" s="684"/>
      <c r="DNG6" s="684"/>
      <c r="DNH6" s="684"/>
      <c r="DNI6" s="684"/>
      <c r="DNJ6" s="684"/>
      <c r="DNK6" s="684"/>
      <c r="DNL6" s="684"/>
      <c r="DNM6" s="684"/>
      <c r="DNN6" s="684"/>
      <c r="DNO6" s="684"/>
      <c r="DNP6" s="684"/>
      <c r="DNQ6" s="684"/>
      <c r="DNR6" s="684"/>
      <c r="DNS6" s="684"/>
      <c r="DNT6" s="684"/>
      <c r="DNU6" s="684"/>
      <c r="DNV6" s="684"/>
      <c r="DNW6" s="684"/>
      <c r="DNX6" s="684"/>
      <c r="DNY6" s="684"/>
      <c r="DNZ6" s="684"/>
      <c r="DOA6" s="684"/>
      <c r="DOB6" s="684"/>
      <c r="DOC6" s="684"/>
      <c r="DOD6" s="684"/>
      <c r="DOE6" s="684"/>
      <c r="DOF6" s="684"/>
      <c r="DOG6" s="684"/>
      <c r="DOH6" s="684"/>
      <c r="DOI6" s="684"/>
      <c r="DOJ6" s="684"/>
      <c r="DOK6" s="684"/>
      <c r="DOL6" s="684"/>
      <c r="DOM6" s="684"/>
      <c r="DON6" s="684"/>
      <c r="DOO6" s="684"/>
      <c r="DOP6" s="684"/>
      <c r="DOQ6" s="684"/>
      <c r="DOR6" s="684"/>
      <c r="DOS6" s="684"/>
      <c r="DOT6" s="684"/>
      <c r="DOU6" s="684"/>
      <c r="DOV6" s="684"/>
      <c r="DOW6" s="684"/>
      <c r="DOX6" s="684"/>
      <c r="DOY6" s="684"/>
      <c r="DOZ6" s="684"/>
      <c r="DPA6" s="684"/>
      <c r="DPB6" s="684"/>
      <c r="DPC6" s="684"/>
      <c r="DPD6" s="684"/>
      <c r="DPE6" s="684"/>
      <c r="DPF6" s="684"/>
      <c r="DPG6" s="684"/>
      <c r="DPH6" s="684"/>
      <c r="DPI6" s="684"/>
      <c r="DPJ6" s="684"/>
      <c r="DPK6" s="684"/>
      <c r="DPL6" s="684"/>
      <c r="DPM6" s="684"/>
      <c r="DPN6" s="684"/>
      <c r="DPO6" s="684"/>
      <c r="DPP6" s="684"/>
      <c r="DPQ6" s="684"/>
      <c r="DPR6" s="684"/>
      <c r="DPS6" s="684"/>
      <c r="DPT6" s="684"/>
      <c r="DPU6" s="684"/>
      <c r="DPV6" s="684"/>
      <c r="DPW6" s="684"/>
      <c r="DPX6" s="684"/>
      <c r="DPY6" s="684"/>
      <c r="DPZ6" s="684"/>
      <c r="DQA6" s="684"/>
      <c r="DQB6" s="684"/>
      <c r="DQC6" s="684"/>
      <c r="DQD6" s="684"/>
      <c r="DQE6" s="684"/>
      <c r="DQF6" s="684"/>
      <c r="DQG6" s="684"/>
      <c r="DQH6" s="684"/>
      <c r="DQI6" s="684"/>
      <c r="DQJ6" s="684"/>
      <c r="DQK6" s="684"/>
      <c r="DQL6" s="684"/>
      <c r="DQM6" s="684"/>
      <c r="DQN6" s="684"/>
      <c r="DQO6" s="684"/>
      <c r="DQP6" s="684"/>
      <c r="DQQ6" s="684"/>
      <c r="DQR6" s="684"/>
      <c r="DQS6" s="684"/>
      <c r="DQT6" s="684"/>
      <c r="DQU6" s="684"/>
      <c r="DQV6" s="684"/>
      <c r="DQW6" s="684"/>
      <c r="DQX6" s="684"/>
      <c r="DQY6" s="684"/>
      <c r="DQZ6" s="684"/>
      <c r="DRA6" s="684"/>
      <c r="DRB6" s="684"/>
      <c r="DRC6" s="684"/>
      <c r="DRD6" s="684"/>
      <c r="DRE6" s="684"/>
      <c r="DRF6" s="684"/>
      <c r="DRG6" s="684"/>
      <c r="DRH6" s="684"/>
      <c r="DRI6" s="684"/>
      <c r="DRJ6" s="684"/>
      <c r="DRK6" s="684"/>
      <c r="DRL6" s="684"/>
      <c r="DRM6" s="684"/>
      <c r="DRN6" s="684"/>
      <c r="DRO6" s="684"/>
      <c r="DRP6" s="684"/>
      <c r="DRQ6" s="684"/>
      <c r="DRR6" s="684"/>
      <c r="DRS6" s="684"/>
      <c r="DRT6" s="684"/>
      <c r="DRU6" s="684"/>
      <c r="DRV6" s="684"/>
      <c r="DRW6" s="684"/>
      <c r="DRX6" s="684"/>
      <c r="DRY6" s="684"/>
      <c r="DRZ6" s="684"/>
      <c r="DSA6" s="684"/>
      <c r="DSB6" s="684"/>
      <c r="DSC6" s="684"/>
      <c r="DSD6" s="684"/>
      <c r="DSE6" s="684"/>
      <c r="DSF6" s="684"/>
      <c r="DSG6" s="684"/>
      <c r="DSH6" s="684"/>
      <c r="DSI6" s="684"/>
      <c r="DSJ6" s="684"/>
      <c r="DSK6" s="684"/>
      <c r="DSL6" s="684"/>
      <c r="DSM6" s="684"/>
      <c r="DSN6" s="684"/>
      <c r="DSO6" s="684"/>
      <c r="DSP6" s="684"/>
      <c r="DSQ6" s="684"/>
      <c r="DSR6" s="684"/>
      <c r="DSS6" s="684"/>
      <c r="DST6" s="684"/>
      <c r="DSU6" s="684"/>
      <c r="DSV6" s="684"/>
      <c r="DSW6" s="684"/>
      <c r="DSX6" s="684"/>
      <c r="DSY6" s="684"/>
      <c r="DSZ6" s="684"/>
      <c r="DTA6" s="684"/>
      <c r="DTB6" s="684"/>
      <c r="DTC6" s="684"/>
      <c r="DTD6" s="684"/>
      <c r="DTE6" s="684"/>
      <c r="DTF6" s="684"/>
      <c r="DTG6" s="684"/>
      <c r="DTH6" s="684"/>
      <c r="DTI6" s="684"/>
      <c r="DTJ6" s="684"/>
      <c r="DTK6" s="684"/>
      <c r="DTL6" s="684"/>
      <c r="DTM6" s="684"/>
      <c r="DTN6" s="684"/>
      <c r="DTO6" s="684"/>
      <c r="DTP6" s="684"/>
      <c r="DTQ6" s="684"/>
      <c r="DTR6" s="684"/>
      <c r="DTS6" s="684"/>
      <c r="DTT6" s="684"/>
      <c r="DTU6" s="684"/>
      <c r="DTV6" s="684"/>
      <c r="DTW6" s="684"/>
      <c r="DTX6" s="684"/>
      <c r="DTY6" s="684"/>
      <c r="DTZ6" s="684"/>
      <c r="DUA6" s="684"/>
      <c r="DUB6" s="684"/>
      <c r="DUC6" s="684"/>
      <c r="DUD6" s="684"/>
      <c r="DUE6" s="684"/>
      <c r="DUF6" s="684"/>
      <c r="DUG6" s="684"/>
      <c r="DUH6" s="684"/>
      <c r="DUI6" s="684"/>
      <c r="DUJ6" s="684"/>
      <c r="DUK6" s="684"/>
      <c r="DUL6" s="684"/>
      <c r="DUM6" s="684"/>
      <c r="DUN6" s="684"/>
      <c r="DUO6" s="684"/>
      <c r="DUP6" s="684"/>
      <c r="DUQ6" s="684"/>
      <c r="DUR6" s="684"/>
      <c r="DUS6" s="684"/>
      <c r="DUT6" s="684"/>
      <c r="DUU6" s="684"/>
      <c r="DUV6" s="684"/>
      <c r="DUW6" s="684"/>
      <c r="DUX6" s="684"/>
      <c r="DUY6" s="684"/>
      <c r="DUZ6" s="684"/>
      <c r="DVA6" s="684"/>
      <c r="DVB6" s="684"/>
      <c r="DVC6" s="684"/>
      <c r="DVD6" s="684"/>
      <c r="DVE6" s="684"/>
      <c r="DVF6" s="684"/>
      <c r="DVG6" s="684"/>
      <c r="DVH6" s="684"/>
      <c r="DVI6" s="684"/>
      <c r="DVJ6" s="684"/>
      <c r="DVK6" s="684"/>
      <c r="DVL6" s="684"/>
      <c r="DVM6" s="684"/>
      <c r="DVN6" s="684"/>
      <c r="DVO6" s="684"/>
      <c r="DVP6" s="684"/>
      <c r="DVQ6" s="684"/>
      <c r="DVR6" s="684"/>
      <c r="DVS6" s="684"/>
      <c r="DVT6" s="684"/>
      <c r="DVU6" s="684"/>
      <c r="DVV6" s="684"/>
      <c r="DVW6" s="684"/>
      <c r="DVX6" s="684"/>
      <c r="DVY6" s="684"/>
      <c r="DVZ6" s="684"/>
      <c r="DWA6" s="684"/>
      <c r="DWB6" s="684"/>
      <c r="DWC6" s="684"/>
      <c r="DWD6" s="684"/>
      <c r="DWE6" s="684"/>
      <c r="DWF6" s="684"/>
      <c r="DWG6" s="684"/>
      <c r="DWH6" s="684"/>
      <c r="DWI6" s="684"/>
      <c r="DWJ6" s="684"/>
      <c r="DWK6" s="684"/>
      <c r="DWL6" s="684"/>
      <c r="DWM6" s="684"/>
      <c r="DWN6" s="684"/>
      <c r="DWO6" s="684"/>
      <c r="DWP6" s="684"/>
      <c r="DWQ6" s="684"/>
      <c r="DWR6" s="684"/>
      <c r="DWS6" s="684"/>
      <c r="DWT6" s="684"/>
      <c r="DWU6" s="684"/>
      <c r="DWV6" s="684"/>
      <c r="DWW6" s="684"/>
      <c r="DWX6" s="684"/>
      <c r="DWY6" s="684"/>
      <c r="DWZ6" s="684"/>
      <c r="DXA6" s="684"/>
      <c r="DXB6" s="684"/>
      <c r="DXC6" s="684"/>
      <c r="DXD6" s="684"/>
      <c r="DXE6" s="684"/>
      <c r="DXF6" s="684"/>
      <c r="DXG6" s="684"/>
      <c r="DXH6" s="684"/>
      <c r="DXI6" s="684"/>
      <c r="DXJ6" s="684"/>
      <c r="DXK6" s="684"/>
      <c r="DXL6" s="684"/>
      <c r="DXM6" s="684"/>
      <c r="DXN6" s="684"/>
      <c r="DXO6" s="684"/>
      <c r="DXP6" s="684"/>
      <c r="DXQ6" s="684"/>
      <c r="DXR6" s="684"/>
      <c r="DXS6" s="684"/>
      <c r="DXT6" s="684"/>
      <c r="DXU6" s="684"/>
      <c r="DXV6" s="684"/>
      <c r="DXW6" s="684"/>
      <c r="DXX6" s="684"/>
      <c r="DXY6" s="684"/>
      <c r="DXZ6" s="684"/>
      <c r="DYA6" s="684"/>
      <c r="DYB6" s="684"/>
      <c r="DYC6" s="684"/>
      <c r="DYD6" s="684"/>
      <c r="DYE6" s="684"/>
      <c r="DYF6" s="684"/>
      <c r="DYG6" s="684"/>
      <c r="DYH6" s="684"/>
      <c r="DYI6" s="684"/>
      <c r="DYJ6" s="684"/>
      <c r="DYK6" s="684"/>
      <c r="DYL6" s="684"/>
      <c r="DYM6" s="684"/>
      <c r="DYN6" s="684"/>
      <c r="DYO6" s="684"/>
      <c r="DYP6" s="684"/>
      <c r="DYQ6" s="684"/>
      <c r="DYR6" s="684"/>
      <c r="DYS6" s="684"/>
      <c r="DYT6" s="684"/>
      <c r="DYU6" s="684"/>
      <c r="DYV6" s="684"/>
      <c r="DYW6" s="684"/>
      <c r="DYX6" s="684"/>
      <c r="DYY6" s="684"/>
      <c r="DYZ6" s="684"/>
      <c r="DZA6" s="684"/>
      <c r="DZB6" s="684"/>
      <c r="DZC6" s="684"/>
      <c r="DZD6" s="684"/>
      <c r="DZE6" s="684"/>
      <c r="DZF6" s="684"/>
      <c r="DZG6" s="684"/>
      <c r="DZH6" s="684"/>
      <c r="DZI6" s="684"/>
      <c r="DZJ6" s="684"/>
      <c r="DZK6" s="684"/>
      <c r="DZL6" s="684"/>
      <c r="DZM6" s="684"/>
      <c r="DZN6" s="684"/>
      <c r="DZO6" s="684"/>
      <c r="DZP6" s="684"/>
      <c r="DZQ6" s="684"/>
      <c r="DZR6" s="684"/>
      <c r="DZS6" s="684"/>
      <c r="DZT6" s="684"/>
      <c r="DZU6" s="684"/>
      <c r="DZV6" s="684"/>
      <c r="DZW6" s="684"/>
      <c r="DZX6" s="684"/>
      <c r="DZY6" s="684"/>
      <c r="DZZ6" s="684"/>
      <c r="EAA6" s="684"/>
      <c r="EAB6" s="684"/>
      <c r="EAC6" s="684"/>
      <c r="EAD6" s="684"/>
      <c r="EAE6" s="684"/>
      <c r="EAF6" s="684"/>
      <c r="EAG6" s="684"/>
      <c r="EAH6" s="684"/>
      <c r="EAI6" s="684"/>
      <c r="EAJ6" s="684"/>
      <c r="EAK6" s="684"/>
      <c r="EAL6" s="684"/>
      <c r="EAM6" s="684"/>
      <c r="EAN6" s="684"/>
      <c r="EAO6" s="684"/>
      <c r="EAP6" s="684"/>
      <c r="EAQ6" s="684"/>
      <c r="EAR6" s="684"/>
      <c r="EAS6" s="684"/>
      <c r="EAT6" s="684"/>
      <c r="EAU6" s="684"/>
      <c r="EAV6" s="684"/>
      <c r="EAW6" s="684"/>
      <c r="EAX6" s="684"/>
      <c r="EAY6" s="684"/>
      <c r="EAZ6" s="684"/>
      <c r="EBA6" s="684"/>
      <c r="EBB6" s="684"/>
      <c r="EBC6" s="684"/>
      <c r="EBD6" s="684"/>
      <c r="EBE6" s="684"/>
      <c r="EBF6" s="684"/>
      <c r="EBG6" s="684"/>
      <c r="EBH6" s="684"/>
      <c r="EBI6" s="684"/>
      <c r="EBJ6" s="684"/>
      <c r="EBK6" s="684"/>
      <c r="EBL6" s="684"/>
      <c r="EBM6" s="684"/>
      <c r="EBN6" s="684"/>
      <c r="EBO6" s="684"/>
      <c r="EBP6" s="684"/>
      <c r="EBQ6" s="684"/>
      <c r="EBR6" s="684"/>
      <c r="EBS6" s="684"/>
      <c r="EBT6" s="684"/>
      <c r="EBU6" s="684"/>
      <c r="EBV6" s="684"/>
      <c r="EBW6" s="684"/>
      <c r="EBX6" s="684"/>
      <c r="EBY6" s="684"/>
      <c r="EBZ6" s="684"/>
      <c r="ECA6" s="684"/>
      <c r="ECB6" s="684"/>
      <c r="ECC6" s="684"/>
      <c r="ECD6" s="684"/>
      <c r="ECE6" s="684"/>
      <c r="ECF6" s="684"/>
      <c r="ECG6" s="684"/>
      <c r="ECH6" s="684"/>
      <c r="ECI6" s="684"/>
      <c r="ECJ6" s="684"/>
      <c r="ECK6" s="684"/>
      <c r="ECL6" s="684"/>
      <c r="ECM6" s="684"/>
      <c r="ECN6" s="684"/>
      <c r="ECO6" s="684"/>
      <c r="ECP6" s="684"/>
      <c r="ECQ6" s="684"/>
      <c r="ECR6" s="684"/>
      <c r="ECS6" s="684"/>
      <c r="ECT6" s="684"/>
      <c r="ECU6" s="684"/>
      <c r="ECV6" s="684"/>
      <c r="ECW6" s="684"/>
      <c r="ECX6" s="684"/>
      <c r="ECY6" s="684"/>
      <c r="ECZ6" s="684"/>
      <c r="EDA6" s="684"/>
      <c r="EDB6" s="684"/>
      <c r="EDC6" s="684"/>
      <c r="EDD6" s="684"/>
      <c r="EDE6" s="684"/>
      <c r="EDF6" s="684"/>
      <c r="EDG6" s="684"/>
      <c r="EDH6" s="684"/>
      <c r="EDI6" s="684"/>
      <c r="EDJ6" s="684"/>
      <c r="EDK6" s="684"/>
      <c r="EDL6" s="684"/>
      <c r="EDM6" s="684"/>
      <c r="EDN6" s="684"/>
      <c r="EDO6" s="684"/>
      <c r="EDP6" s="684"/>
      <c r="EDQ6" s="684"/>
      <c r="EDR6" s="684"/>
      <c r="EDS6" s="684"/>
      <c r="EDT6" s="684"/>
      <c r="EDU6" s="684"/>
      <c r="EDV6" s="684"/>
      <c r="EDW6" s="684"/>
      <c r="EDX6" s="684"/>
      <c r="EDY6" s="684"/>
      <c r="EDZ6" s="684"/>
      <c r="EEA6" s="684"/>
      <c r="EEB6" s="684"/>
      <c r="EEC6" s="684"/>
      <c r="EED6" s="684"/>
      <c r="EEE6" s="684"/>
      <c r="EEF6" s="684"/>
      <c r="EEG6" s="684"/>
      <c r="EEH6" s="684"/>
      <c r="EEI6" s="684"/>
      <c r="EEJ6" s="684"/>
      <c r="EEK6" s="684"/>
      <c r="EEL6" s="684"/>
      <c r="EEM6" s="684"/>
      <c r="EEN6" s="684"/>
      <c r="EEO6" s="684"/>
      <c r="EEP6" s="684"/>
      <c r="EEQ6" s="684"/>
      <c r="EER6" s="684"/>
      <c r="EES6" s="684"/>
      <c r="EET6" s="684"/>
      <c r="EEU6" s="684"/>
      <c r="EEV6" s="684"/>
      <c r="EEW6" s="684"/>
      <c r="EEX6" s="684"/>
      <c r="EEY6" s="684"/>
      <c r="EEZ6" s="684"/>
      <c r="EFA6" s="684"/>
      <c r="EFB6" s="684"/>
      <c r="EFC6" s="684"/>
      <c r="EFD6" s="684"/>
      <c r="EFE6" s="684"/>
      <c r="EFF6" s="684"/>
      <c r="EFG6" s="684"/>
      <c r="EFH6" s="684"/>
      <c r="EFI6" s="684"/>
      <c r="EFJ6" s="684"/>
      <c r="EFK6" s="684"/>
      <c r="EFL6" s="684"/>
      <c r="EFM6" s="684"/>
      <c r="EFN6" s="684"/>
      <c r="EFO6" s="684"/>
      <c r="EFP6" s="684"/>
      <c r="EFQ6" s="684"/>
      <c r="EFR6" s="684"/>
      <c r="EFS6" s="684"/>
      <c r="EFT6" s="684"/>
      <c r="EFU6" s="684"/>
      <c r="EFV6" s="684"/>
      <c r="EFW6" s="684"/>
      <c r="EFX6" s="684"/>
      <c r="EFY6" s="684"/>
      <c r="EFZ6" s="684"/>
      <c r="EGA6" s="684"/>
      <c r="EGB6" s="684"/>
      <c r="EGC6" s="684"/>
      <c r="EGD6" s="684"/>
      <c r="EGE6" s="684"/>
      <c r="EGF6" s="684"/>
      <c r="EGG6" s="684"/>
      <c r="EGH6" s="684"/>
      <c r="EGI6" s="684"/>
      <c r="EGJ6" s="684"/>
      <c r="EGK6" s="684"/>
      <c r="EGL6" s="684"/>
      <c r="EGM6" s="684"/>
      <c r="EGN6" s="684"/>
      <c r="EGO6" s="684"/>
      <c r="EGP6" s="684"/>
      <c r="EGQ6" s="684"/>
      <c r="EGR6" s="684"/>
      <c r="EGS6" s="684"/>
      <c r="EGT6" s="684"/>
      <c r="EGU6" s="684"/>
      <c r="EGV6" s="684"/>
      <c r="EGW6" s="684"/>
      <c r="EGX6" s="684"/>
      <c r="EGY6" s="684"/>
      <c r="EGZ6" s="684"/>
      <c r="EHA6" s="684"/>
      <c r="EHB6" s="684"/>
      <c r="EHC6" s="684"/>
      <c r="EHD6" s="684"/>
      <c r="EHE6" s="684"/>
      <c r="EHF6" s="684"/>
      <c r="EHG6" s="684"/>
      <c r="EHH6" s="684"/>
      <c r="EHI6" s="684"/>
      <c r="EHJ6" s="684"/>
      <c r="EHK6" s="684"/>
      <c r="EHL6" s="684"/>
      <c r="EHM6" s="684"/>
      <c r="EHN6" s="684"/>
      <c r="EHO6" s="684"/>
      <c r="EHP6" s="684"/>
      <c r="EHQ6" s="684"/>
      <c r="EHR6" s="684"/>
      <c r="EHS6" s="684"/>
      <c r="EHT6" s="684"/>
      <c r="EHU6" s="684"/>
      <c r="EHV6" s="684"/>
      <c r="EHW6" s="684"/>
      <c r="EHX6" s="684"/>
      <c r="EHY6" s="684"/>
      <c r="EHZ6" s="684"/>
      <c r="EIA6" s="684"/>
      <c r="EIB6" s="684"/>
      <c r="EIC6" s="684"/>
      <c r="EID6" s="684"/>
      <c r="EIE6" s="684"/>
      <c r="EIF6" s="684"/>
      <c r="EIG6" s="684"/>
      <c r="EIH6" s="684"/>
      <c r="EII6" s="684"/>
      <c r="EIJ6" s="684"/>
      <c r="EIK6" s="684"/>
      <c r="EIL6" s="684"/>
      <c r="EIM6" s="684"/>
      <c r="EIN6" s="684"/>
      <c r="EIO6" s="684"/>
      <c r="EIP6" s="684"/>
      <c r="EIQ6" s="684"/>
      <c r="EIR6" s="684"/>
      <c r="EIS6" s="684"/>
      <c r="EIT6" s="684"/>
      <c r="EIU6" s="684"/>
      <c r="EIV6" s="684"/>
      <c r="EIW6" s="684"/>
      <c r="EIX6" s="684"/>
      <c r="EIY6" s="684"/>
      <c r="EIZ6" s="684"/>
      <c r="EJA6" s="684"/>
      <c r="EJB6" s="684"/>
      <c r="EJC6" s="684"/>
      <c r="EJD6" s="684"/>
      <c r="EJE6" s="684"/>
      <c r="EJF6" s="684"/>
      <c r="EJG6" s="684"/>
      <c r="EJH6" s="684"/>
      <c r="EJI6" s="684"/>
      <c r="EJJ6" s="684"/>
      <c r="EJK6" s="684"/>
      <c r="EJL6" s="684"/>
      <c r="EJM6" s="684"/>
      <c r="EJN6" s="684"/>
      <c r="EJO6" s="684"/>
      <c r="EJP6" s="684"/>
      <c r="EJQ6" s="684"/>
      <c r="EJR6" s="684"/>
      <c r="EJS6" s="684"/>
      <c r="EJT6" s="684"/>
      <c r="EJU6" s="684"/>
      <c r="EJV6" s="684"/>
      <c r="EJW6" s="684"/>
      <c r="EJX6" s="684"/>
      <c r="EJY6" s="684"/>
      <c r="EJZ6" s="684"/>
      <c r="EKA6" s="684"/>
      <c r="EKB6" s="684"/>
      <c r="EKC6" s="684"/>
      <c r="EKD6" s="684"/>
      <c r="EKE6" s="684"/>
      <c r="EKF6" s="684"/>
      <c r="EKG6" s="684"/>
      <c r="EKH6" s="684"/>
      <c r="EKI6" s="684"/>
      <c r="EKJ6" s="684"/>
      <c r="EKK6" s="684"/>
      <c r="EKL6" s="684"/>
      <c r="EKM6" s="684"/>
      <c r="EKN6" s="684"/>
      <c r="EKO6" s="684"/>
      <c r="EKP6" s="684"/>
      <c r="EKQ6" s="684"/>
      <c r="EKR6" s="684"/>
      <c r="EKS6" s="684"/>
      <c r="EKT6" s="684"/>
      <c r="EKU6" s="684"/>
      <c r="EKV6" s="684"/>
      <c r="EKW6" s="684"/>
      <c r="EKX6" s="684"/>
      <c r="EKY6" s="684"/>
      <c r="EKZ6" s="684"/>
      <c r="ELA6" s="684"/>
      <c r="ELB6" s="684"/>
      <c r="ELC6" s="684"/>
      <c r="ELD6" s="684"/>
      <c r="ELE6" s="684"/>
      <c r="ELF6" s="684"/>
      <c r="ELG6" s="684"/>
      <c r="ELH6" s="684"/>
      <c r="ELI6" s="684"/>
      <c r="ELJ6" s="684"/>
      <c r="ELK6" s="684"/>
      <c r="ELL6" s="684"/>
      <c r="ELM6" s="684"/>
      <c r="ELN6" s="684"/>
      <c r="ELO6" s="684"/>
      <c r="ELP6" s="684"/>
      <c r="ELQ6" s="684"/>
      <c r="ELR6" s="684"/>
      <c r="ELS6" s="684"/>
      <c r="ELT6" s="684"/>
      <c r="ELU6" s="684"/>
      <c r="ELV6" s="684"/>
      <c r="ELW6" s="684"/>
      <c r="ELX6" s="684"/>
      <c r="ELY6" s="684"/>
      <c r="ELZ6" s="684"/>
      <c r="EMA6" s="684"/>
      <c r="EMB6" s="684"/>
      <c r="EMC6" s="684"/>
      <c r="EMD6" s="684"/>
      <c r="EME6" s="684"/>
      <c r="EMF6" s="684"/>
      <c r="EMG6" s="684"/>
      <c r="EMH6" s="684"/>
      <c r="EMI6" s="684"/>
      <c r="EMJ6" s="684"/>
      <c r="EMK6" s="684"/>
      <c r="EML6" s="684"/>
      <c r="EMM6" s="684"/>
      <c r="EMN6" s="684"/>
      <c r="EMO6" s="684"/>
      <c r="EMP6" s="684"/>
      <c r="EMQ6" s="684"/>
      <c r="EMR6" s="684"/>
      <c r="EMS6" s="684"/>
      <c r="EMT6" s="684"/>
      <c r="EMU6" s="684"/>
      <c r="EMV6" s="684"/>
      <c r="EMW6" s="684"/>
      <c r="EMX6" s="684"/>
      <c r="EMY6" s="684"/>
      <c r="EMZ6" s="684"/>
      <c r="ENA6" s="684"/>
      <c r="ENB6" s="684"/>
      <c r="ENC6" s="684"/>
      <c r="END6" s="684"/>
      <c r="ENE6" s="684"/>
      <c r="ENF6" s="684"/>
      <c r="ENG6" s="684"/>
      <c r="ENH6" s="684"/>
      <c r="ENI6" s="684"/>
      <c r="ENJ6" s="684"/>
      <c r="ENK6" s="684"/>
      <c r="ENL6" s="684"/>
      <c r="ENM6" s="684"/>
      <c r="ENN6" s="684"/>
      <c r="ENO6" s="684"/>
      <c r="ENP6" s="684"/>
      <c r="ENQ6" s="684"/>
      <c r="ENR6" s="684"/>
      <c r="ENS6" s="684"/>
      <c r="ENT6" s="684"/>
      <c r="ENU6" s="684"/>
      <c r="ENV6" s="684"/>
      <c r="ENW6" s="684"/>
      <c r="ENX6" s="684"/>
      <c r="ENY6" s="684"/>
      <c r="ENZ6" s="684"/>
      <c r="EOA6" s="684"/>
      <c r="EOB6" s="684"/>
      <c r="EOC6" s="684"/>
      <c r="EOD6" s="684"/>
      <c r="EOE6" s="684"/>
      <c r="EOF6" s="684"/>
      <c r="EOG6" s="684"/>
      <c r="EOH6" s="684"/>
      <c r="EOI6" s="684"/>
      <c r="EOJ6" s="684"/>
      <c r="EOK6" s="684"/>
      <c r="EOL6" s="684"/>
      <c r="EOM6" s="684"/>
      <c r="EON6" s="684"/>
      <c r="EOO6" s="684"/>
      <c r="EOP6" s="684"/>
      <c r="EOQ6" s="684"/>
      <c r="EOR6" s="684"/>
      <c r="EOS6" s="684"/>
      <c r="EOT6" s="684"/>
      <c r="EOU6" s="684"/>
      <c r="EOV6" s="684"/>
      <c r="EOW6" s="684"/>
      <c r="EOX6" s="684"/>
      <c r="EOY6" s="684"/>
      <c r="EOZ6" s="684"/>
      <c r="EPA6" s="684"/>
      <c r="EPB6" s="684"/>
      <c r="EPC6" s="684"/>
      <c r="EPD6" s="684"/>
      <c r="EPE6" s="684"/>
      <c r="EPF6" s="684"/>
      <c r="EPG6" s="684"/>
      <c r="EPH6" s="684"/>
      <c r="EPI6" s="684"/>
      <c r="EPJ6" s="684"/>
      <c r="EPK6" s="684"/>
      <c r="EPL6" s="684"/>
      <c r="EPM6" s="684"/>
      <c r="EPN6" s="684"/>
      <c r="EPO6" s="684"/>
      <c r="EPP6" s="684"/>
      <c r="EPQ6" s="684"/>
      <c r="EPR6" s="684"/>
      <c r="EPS6" s="684"/>
      <c r="EPT6" s="684"/>
      <c r="EPU6" s="684"/>
      <c r="EPV6" s="684"/>
      <c r="EPW6" s="684"/>
      <c r="EPX6" s="684"/>
      <c r="EPY6" s="684"/>
      <c r="EPZ6" s="684"/>
      <c r="EQA6" s="684"/>
      <c r="EQB6" s="684"/>
      <c r="EQC6" s="684"/>
      <c r="EQD6" s="684"/>
      <c r="EQE6" s="684"/>
      <c r="EQF6" s="684"/>
      <c r="EQG6" s="684"/>
      <c r="EQH6" s="684"/>
      <c r="EQI6" s="684"/>
      <c r="EQJ6" s="684"/>
      <c r="EQK6" s="684"/>
      <c r="EQL6" s="684"/>
      <c r="EQM6" s="684"/>
      <c r="EQN6" s="684"/>
      <c r="EQO6" s="684"/>
      <c r="EQP6" s="684"/>
      <c r="EQQ6" s="684"/>
      <c r="EQR6" s="684"/>
      <c r="EQS6" s="684"/>
      <c r="EQT6" s="684"/>
      <c r="EQU6" s="684"/>
      <c r="EQV6" s="684"/>
      <c r="EQW6" s="684"/>
      <c r="EQX6" s="684"/>
      <c r="EQY6" s="684"/>
      <c r="EQZ6" s="684"/>
      <c r="ERA6" s="684"/>
      <c r="ERB6" s="684"/>
      <c r="ERC6" s="684"/>
      <c r="ERD6" s="684"/>
      <c r="ERE6" s="684"/>
      <c r="ERF6" s="684"/>
      <c r="ERG6" s="684"/>
      <c r="ERH6" s="684"/>
      <c r="ERI6" s="684"/>
      <c r="ERJ6" s="684"/>
      <c r="ERK6" s="684"/>
      <c r="ERL6" s="684"/>
      <c r="ERM6" s="684"/>
      <c r="ERN6" s="684"/>
      <c r="ERO6" s="684"/>
      <c r="ERP6" s="684"/>
      <c r="ERQ6" s="684"/>
      <c r="ERR6" s="684"/>
      <c r="ERS6" s="684"/>
      <c r="ERT6" s="684"/>
      <c r="ERU6" s="684"/>
      <c r="ERV6" s="684"/>
      <c r="ERW6" s="684"/>
      <c r="ERX6" s="684"/>
      <c r="ERY6" s="684"/>
      <c r="ERZ6" s="684"/>
      <c r="ESA6" s="684"/>
      <c r="ESB6" s="684"/>
      <c r="ESC6" s="684"/>
      <c r="ESD6" s="684"/>
      <c r="ESE6" s="684"/>
      <c r="ESF6" s="684"/>
      <c r="ESG6" s="684"/>
      <c r="ESH6" s="684"/>
      <c r="ESI6" s="684"/>
      <c r="ESJ6" s="684"/>
      <c r="ESK6" s="684"/>
      <c r="ESL6" s="684"/>
      <c r="ESM6" s="684"/>
      <c r="ESN6" s="684"/>
      <c r="ESO6" s="684"/>
      <c r="ESP6" s="684"/>
      <c r="ESQ6" s="684"/>
      <c r="ESR6" s="684"/>
      <c r="ESS6" s="684"/>
      <c r="EST6" s="684"/>
      <c r="ESU6" s="684"/>
      <c r="ESV6" s="684"/>
      <c r="ESW6" s="684"/>
      <c r="ESX6" s="684"/>
      <c r="ESY6" s="684"/>
      <c r="ESZ6" s="684"/>
      <c r="ETA6" s="684"/>
      <c r="ETB6" s="684"/>
      <c r="ETC6" s="684"/>
      <c r="ETD6" s="684"/>
      <c r="ETE6" s="684"/>
      <c r="ETF6" s="684"/>
      <c r="ETG6" s="684"/>
      <c r="ETH6" s="684"/>
      <c r="ETI6" s="684"/>
      <c r="ETJ6" s="684"/>
      <c r="ETK6" s="684"/>
      <c r="ETL6" s="684"/>
      <c r="ETM6" s="684"/>
      <c r="ETN6" s="684"/>
      <c r="ETO6" s="684"/>
      <c r="ETP6" s="684"/>
      <c r="ETQ6" s="684"/>
      <c r="ETR6" s="684"/>
      <c r="ETS6" s="684"/>
      <c r="ETT6" s="684"/>
      <c r="ETU6" s="684"/>
      <c r="ETV6" s="684"/>
      <c r="ETW6" s="684"/>
      <c r="ETX6" s="684"/>
      <c r="ETY6" s="684"/>
      <c r="ETZ6" s="684"/>
      <c r="EUA6" s="684"/>
      <c r="EUB6" s="684"/>
      <c r="EUC6" s="684"/>
      <c r="EUD6" s="684"/>
      <c r="EUE6" s="684"/>
      <c r="EUF6" s="684"/>
      <c r="EUG6" s="684"/>
      <c r="EUH6" s="684"/>
      <c r="EUI6" s="684"/>
      <c r="EUJ6" s="684"/>
      <c r="EUK6" s="684"/>
      <c r="EUL6" s="684"/>
      <c r="EUM6" s="684"/>
      <c r="EUN6" s="684"/>
      <c r="EUO6" s="684"/>
      <c r="EUP6" s="684"/>
      <c r="EUQ6" s="684"/>
      <c r="EUR6" s="684"/>
      <c r="EUS6" s="684"/>
      <c r="EUT6" s="684"/>
      <c r="EUU6" s="684"/>
      <c r="EUV6" s="684"/>
      <c r="EUW6" s="684"/>
      <c r="EUX6" s="684"/>
      <c r="EUY6" s="684"/>
      <c r="EUZ6" s="684"/>
      <c r="EVA6" s="684"/>
      <c r="EVB6" s="684"/>
      <c r="EVC6" s="684"/>
      <c r="EVD6" s="684"/>
      <c r="EVE6" s="684"/>
      <c r="EVF6" s="684"/>
      <c r="EVG6" s="684"/>
      <c r="EVH6" s="684"/>
      <c r="EVI6" s="684"/>
      <c r="EVJ6" s="684"/>
      <c r="EVK6" s="684"/>
      <c r="EVL6" s="684"/>
      <c r="EVM6" s="684"/>
      <c r="EVN6" s="684"/>
      <c r="EVO6" s="684"/>
      <c r="EVP6" s="684"/>
      <c r="EVQ6" s="684"/>
      <c r="EVR6" s="684"/>
      <c r="EVS6" s="684"/>
      <c r="EVT6" s="684"/>
      <c r="EVU6" s="684"/>
      <c r="EVV6" s="684"/>
      <c r="EVW6" s="684"/>
      <c r="EVX6" s="684"/>
      <c r="EVY6" s="684"/>
      <c r="EVZ6" s="684"/>
      <c r="EWA6" s="684"/>
      <c r="EWB6" s="684"/>
      <c r="EWC6" s="684"/>
      <c r="EWD6" s="684"/>
      <c r="EWE6" s="684"/>
      <c r="EWF6" s="684"/>
      <c r="EWG6" s="684"/>
      <c r="EWH6" s="684"/>
      <c r="EWI6" s="684"/>
      <c r="EWJ6" s="684"/>
      <c r="EWK6" s="684"/>
      <c r="EWL6" s="684"/>
      <c r="EWM6" s="684"/>
      <c r="EWN6" s="684"/>
      <c r="EWO6" s="684"/>
      <c r="EWP6" s="684"/>
      <c r="EWQ6" s="684"/>
      <c r="EWR6" s="684"/>
      <c r="EWS6" s="684"/>
      <c r="EWT6" s="684"/>
      <c r="EWU6" s="684"/>
      <c r="EWV6" s="684"/>
      <c r="EWW6" s="684"/>
      <c r="EWX6" s="684"/>
      <c r="EWY6" s="684"/>
      <c r="EWZ6" s="684"/>
      <c r="EXA6" s="684"/>
      <c r="EXB6" s="684"/>
      <c r="EXC6" s="684"/>
      <c r="EXD6" s="684"/>
      <c r="EXE6" s="684"/>
      <c r="EXF6" s="684"/>
      <c r="EXG6" s="684"/>
      <c r="EXH6" s="684"/>
      <c r="EXI6" s="684"/>
      <c r="EXJ6" s="684"/>
      <c r="EXK6" s="684"/>
      <c r="EXL6" s="684"/>
      <c r="EXM6" s="684"/>
      <c r="EXN6" s="684"/>
      <c r="EXO6" s="684"/>
      <c r="EXP6" s="684"/>
      <c r="EXQ6" s="684"/>
      <c r="EXR6" s="684"/>
      <c r="EXS6" s="684"/>
      <c r="EXT6" s="684"/>
      <c r="EXU6" s="684"/>
      <c r="EXV6" s="684"/>
      <c r="EXW6" s="684"/>
      <c r="EXX6" s="684"/>
      <c r="EXY6" s="684"/>
      <c r="EXZ6" s="684"/>
      <c r="EYA6" s="684"/>
      <c r="EYB6" s="684"/>
      <c r="EYC6" s="684"/>
      <c r="EYD6" s="684"/>
      <c r="EYE6" s="684"/>
      <c r="EYF6" s="684"/>
      <c r="EYG6" s="684"/>
      <c r="EYH6" s="684"/>
      <c r="EYI6" s="684"/>
      <c r="EYJ6" s="684"/>
      <c r="EYK6" s="684"/>
      <c r="EYL6" s="684"/>
      <c r="EYM6" s="684"/>
      <c r="EYN6" s="684"/>
      <c r="EYO6" s="684"/>
      <c r="EYP6" s="684"/>
      <c r="EYQ6" s="684"/>
      <c r="EYR6" s="684"/>
      <c r="EYS6" s="684"/>
      <c r="EYT6" s="684"/>
      <c r="EYU6" s="684"/>
      <c r="EYV6" s="684"/>
      <c r="EYW6" s="684"/>
      <c r="EYX6" s="684"/>
      <c r="EYY6" s="684"/>
      <c r="EYZ6" s="684"/>
      <c r="EZA6" s="684"/>
      <c r="EZB6" s="684"/>
      <c r="EZC6" s="684"/>
      <c r="EZD6" s="684"/>
      <c r="EZE6" s="684"/>
      <c r="EZF6" s="684"/>
      <c r="EZG6" s="684"/>
      <c r="EZH6" s="684"/>
      <c r="EZI6" s="684"/>
      <c r="EZJ6" s="684"/>
      <c r="EZK6" s="684"/>
      <c r="EZL6" s="684"/>
      <c r="EZM6" s="684"/>
      <c r="EZN6" s="684"/>
      <c r="EZO6" s="684"/>
      <c r="EZP6" s="684"/>
      <c r="EZQ6" s="684"/>
      <c r="EZR6" s="684"/>
      <c r="EZS6" s="684"/>
      <c r="EZT6" s="684"/>
      <c r="EZU6" s="684"/>
      <c r="EZV6" s="684"/>
      <c r="EZW6" s="684"/>
      <c r="EZX6" s="684"/>
      <c r="EZY6" s="684"/>
      <c r="EZZ6" s="684"/>
      <c r="FAA6" s="684"/>
      <c r="FAB6" s="684"/>
      <c r="FAC6" s="684"/>
      <c r="FAD6" s="684"/>
      <c r="FAE6" s="684"/>
      <c r="FAF6" s="684"/>
      <c r="FAG6" s="684"/>
      <c r="FAH6" s="684"/>
      <c r="FAI6" s="684"/>
      <c r="FAJ6" s="684"/>
      <c r="FAK6" s="684"/>
      <c r="FAL6" s="684"/>
      <c r="FAM6" s="684"/>
      <c r="FAN6" s="684"/>
      <c r="FAO6" s="684"/>
      <c r="FAP6" s="684"/>
      <c r="FAQ6" s="684"/>
      <c r="FAR6" s="684"/>
      <c r="FAS6" s="684"/>
      <c r="FAT6" s="684"/>
      <c r="FAU6" s="684"/>
      <c r="FAV6" s="684"/>
      <c r="FAW6" s="684"/>
      <c r="FAX6" s="684"/>
      <c r="FAY6" s="684"/>
      <c r="FAZ6" s="684"/>
      <c r="FBA6" s="684"/>
      <c r="FBB6" s="684"/>
      <c r="FBC6" s="684"/>
      <c r="FBD6" s="684"/>
      <c r="FBE6" s="684"/>
      <c r="FBF6" s="684"/>
      <c r="FBG6" s="684"/>
      <c r="FBH6" s="684"/>
      <c r="FBI6" s="684"/>
      <c r="FBJ6" s="684"/>
      <c r="FBK6" s="684"/>
      <c r="FBL6" s="684"/>
      <c r="FBM6" s="684"/>
      <c r="FBN6" s="684"/>
      <c r="FBO6" s="684"/>
      <c r="FBP6" s="684"/>
      <c r="FBQ6" s="684"/>
      <c r="FBR6" s="684"/>
      <c r="FBS6" s="684"/>
      <c r="FBT6" s="684"/>
      <c r="FBU6" s="684"/>
      <c r="FBV6" s="684"/>
      <c r="FBW6" s="684"/>
      <c r="FBX6" s="684"/>
      <c r="FBY6" s="684"/>
      <c r="FBZ6" s="684"/>
      <c r="FCA6" s="684"/>
      <c r="FCB6" s="684"/>
      <c r="FCC6" s="684"/>
      <c r="FCD6" s="684"/>
      <c r="FCE6" s="684"/>
      <c r="FCF6" s="684"/>
      <c r="FCG6" s="684"/>
      <c r="FCH6" s="684"/>
      <c r="FCI6" s="684"/>
      <c r="FCJ6" s="684"/>
      <c r="FCK6" s="684"/>
      <c r="FCL6" s="684"/>
      <c r="FCM6" s="684"/>
      <c r="FCN6" s="684"/>
      <c r="FCO6" s="684"/>
      <c r="FCP6" s="684"/>
      <c r="FCQ6" s="684"/>
      <c r="FCR6" s="684"/>
      <c r="FCS6" s="684"/>
      <c r="FCT6" s="684"/>
      <c r="FCU6" s="684"/>
      <c r="FCV6" s="684"/>
      <c r="FCW6" s="684"/>
      <c r="FCX6" s="684"/>
      <c r="FCY6" s="684"/>
      <c r="FCZ6" s="684"/>
      <c r="FDA6" s="684"/>
      <c r="FDB6" s="684"/>
      <c r="FDC6" s="684"/>
      <c r="FDD6" s="684"/>
      <c r="FDE6" s="684"/>
      <c r="FDF6" s="684"/>
      <c r="FDG6" s="684"/>
      <c r="FDH6" s="684"/>
      <c r="FDI6" s="684"/>
      <c r="FDJ6" s="684"/>
      <c r="FDK6" s="684"/>
      <c r="FDL6" s="684"/>
      <c r="FDM6" s="684"/>
      <c r="FDN6" s="684"/>
      <c r="FDO6" s="684"/>
      <c r="FDP6" s="684"/>
      <c r="FDQ6" s="684"/>
      <c r="FDR6" s="684"/>
      <c r="FDS6" s="684"/>
      <c r="FDT6" s="684"/>
      <c r="FDU6" s="684"/>
      <c r="FDV6" s="684"/>
      <c r="FDW6" s="684"/>
      <c r="FDX6" s="684"/>
      <c r="FDY6" s="684"/>
      <c r="FDZ6" s="684"/>
      <c r="FEA6" s="684"/>
      <c r="FEB6" s="684"/>
      <c r="FEC6" s="684"/>
      <c r="FED6" s="684"/>
      <c r="FEE6" s="684"/>
      <c r="FEF6" s="684"/>
      <c r="FEG6" s="684"/>
      <c r="FEH6" s="684"/>
      <c r="FEI6" s="684"/>
      <c r="FEJ6" s="684"/>
      <c r="FEK6" s="684"/>
      <c r="FEL6" s="684"/>
      <c r="FEM6" s="684"/>
      <c r="FEN6" s="684"/>
      <c r="FEO6" s="684"/>
      <c r="FEP6" s="684"/>
      <c r="FEQ6" s="684"/>
      <c r="FER6" s="684"/>
      <c r="FES6" s="684"/>
      <c r="FET6" s="684"/>
      <c r="FEU6" s="684"/>
      <c r="FEV6" s="684"/>
      <c r="FEW6" s="684"/>
      <c r="FEX6" s="684"/>
      <c r="FEY6" s="684"/>
      <c r="FEZ6" s="684"/>
      <c r="FFA6" s="684"/>
      <c r="FFB6" s="684"/>
      <c r="FFC6" s="684"/>
      <c r="FFD6" s="684"/>
      <c r="FFE6" s="684"/>
      <c r="FFF6" s="684"/>
      <c r="FFG6" s="684"/>
      <c r="FFH6" s="684"/>
      <c r="FFI6" s="684"/>
      <c r="FFJ6" s="684"/>
      <c r="FFK6" s="684"/>
      <c r="FFL6" s="684"/>
      <c r="FFM6" s="684"/>
      <c r="FFN6" s="684"/>
      <c r="FFO6" s="684"/>
      <c r="FFP6" s="684"/>
      <c r="FFQ6" s="684"/>
      <c r="FFR6" s="684"/>
      <c r="FFS6" s="684"/>
      <c r="FFT6" s="684"/>
      <c r="FFU6" s="684"/>
      <c r="FFV6" s="684"/>
      <c r="FFW6" s="684"/>
      <c r="FFX6" s="684"/>
      <c r="FFY6" s="684"/>
      <c r="FFZ6" s="684"/>
      <c r="FGA6" s="684"/>
      <c r="FGB6" s="684"/>
      <c r="FGC6" s="684"/>
      <c r="FGD6" s="684"/>
      <c r="FGE6" s="684"/>
      <c r="FGF6" s="684"/>
      <c r="FGG6" s="684"/>
      <c r="FGH6" s="684"/>
      <c r="FGI6" s="684"/>
      <c r="FGJ6" s="684"/>
      <c r="FGK6" s="684"/>
      <c r="FGL6" s="684"/>
      <c r="FGM6" s="684"/>
      <c r="FGN6" s="684"/>
      <c r="FGO6" s="684"/>
      <c r="FGP6" s="684"/>
      <c r="FGQ6" s="684"/>
      <c r="FGR6" s="684"/>
      <c r="FGS6" s="684"/>
      <c r="FGT6" s="684"/>
      <c r="FGU6" s="684"/>
      <c r="FGV6" s="684"/>
      <c r="FGW6" s="684"/>
      <c r="FGX6" s="684"/>
      <c r="FGY6" s="684"/>
      <c r="FGZ6" s="684"/>
      <c r="FHA6" s="684"/>
      <c r="FHB6" s="684"/>
      <c r="FHC6" s="684"/>
      <c r="FHD6" s="684"/>
      <c r="FHE6" s="684"/>
      <c r="FHF6" s="684"/>
      <c r="FHG6" s="684"/>
      <c r="FHH6" s="684"/>
      <c r="FHI6" s="684"/>
      <c r="FHJ6" s="684"/>
      <c r="FHK6" s="684"/>
      <c r="FHL6" s="684"/>
      <c r="FHM6" s="684"/>
      <c r="FHN6" s="684"/>
      <c r="FHO6" s="684"/>
      <c r="FHP6" s="684"/>
      <c r="FHQ6" s="684"/>
      <c r="FHR6" s="684"/>
      <c r="FHS6" s="684"/>
      <c r="FHT6" s="684"/>
      <c r="FHU6" s="684"/>
      <c r="FHV6" s="684"/>
      <c r="FHW6" s="684"/>
      <c r="FHX6" s="684"/>
      <c r="FHY6" s="684"/>
      <c r="FHZ6" s="684"/>
      <c r="FIA6" s="684"/>
      <c r="FIB6" s="684"/>
      <c r="FIC6" s="684"/>
      <c r="FID6" s="684"/>
      <c r="FIE6" s="684"/>
      <c r="FIF6" s="684"/>
      <c r="FIG6" s="684"/>
      <c r="FIH6" s="684"/>
      <c r="FII6" s="684"/>
      <c r="FIJ6" s="684"/>
      <c r="FIK6" s="684"/>
      <c r="FIL6" s="684"/>
      <c r="FIM6" s="684"/>
      <c r="FIN6" s="684"/>
      <c r="FIO6" s="684"/>
      <c r="FIP6" s="684"/>
      <c r="FIQ6" s="684"/>
      <c r="FIR6" s="684"/>
      <c r="FIS6" s="684"/>
      <c r="FIT6" s="684"/>
      <c r="FIU6" s="684"/>
      <c r="FIV6" s="684"/>
      <c r="FIW6" s="684"/>
      <c r="FIX6" s="684"/>
      <c r="FIY6" s="684"/>
      <c r="FIZ6" s="684"/>
      <c r="FJA6" s="684"/>
      <c r="FJB6" s="684"/>
      <c r="FJC6" s="684"/>
      <c r="FJD6" s="684"/>
      <c r="FJE6" s="684"/>
      <c r="FJF6" s="684"/>
      <c r="FJG6" s="684"/>
      <c r="FJH6" s="684"/>
      <c r="FJI6" s="684"/>
      <c r="FJJ6" s="684"/>
      <c r="FJK6" s="684"/>
      <c r="FJL6" s="684"/>
      <c r="FJM6" s="684"/>
      <c r="FJN6" s="684"/>
      <c r="FJO6" s="684"/>
      <c r="FJP6" s="684"/>
      <c r="FJQ6" s="684"/>
      <c r="FJR6" s="684"/>
      <c r="FJS6" s="684"/>
      <c r="FJT6" s="684"/>
      <c r="FJU6" s="684"/>
      <c r="FJV6" s="684"/>
      <c r="FJW6" s="684"/>
      <c r="FJX6" s="684"/>
      <c r="FJY6" s="684"/>
      <c r="FJZ6" s="684"/>
      <c r="FKA6" s="684"/>
      <c r="FKB6" s="684"/>
      <c r="FKC6" s="684"/>
      <c r="FKD6" s="684"/>
      <c r="FKE6" s="684"/>
      <c r="FKF6" s="684"/>
      <c r="FKG6" s="684"/>
      <c r="FKH6" s="684"/>
      <c r="FKI6" s="684"/>
      <c r="FKJ6" s="684"/>
      <c r="FKK6" s="684"/>
      <c r="FKL6" s="684"/>
      <c r="FKM6" s="684"/>
      <c r="FKN6" s="684"/>
      <c r="FKO6" s="684"/>
      <c r="FKP6" s="684"/>
      <c r="FKQ6" s="684"/>
      <c r="FKR6" s="684"/>
      <c r="FKS6" s="684"/>
      <c r="FKT6" s="684"/>
      <c r="FKU6" s="684"/>
      <c r="FKV6" s="684"/>
      <c r="FKW6" s="684"/>
      <c r="FKX6" s="684"/>
      <c r="FKY6" s="684"/>
      <c r="FKZ6" s="684"/>
      <c r="FLA6" s="684"/>
      <c r="FLB6" s="684"/>
      <c r="FLC6" s="684"/>
      <c r="FLD6" s="684"/>
      <c r="FLE6" s="684"/>
      <c r="FLF6" s="684"/>
      <c r="FLG6" s="684"/>
      <c r="FLH6" s="684"/>
      <c r="FLI6" s="684"/>
      <c r="FLJ6" s="684"/>
      <c r="FLK6" s="684"/>
      <c r="FLL6" s="684"/>
      <c r="FLM6" s="684"/>
      <c r="FLN6" s="684"/>
      <c r="FLO6" s="684"/>
      <c r="FLP6" s="684"/>
      <c r="FLQ6" s="684"/>
      <c r="FLR6" s="684"/>
      <c r="FLS6" s="684"/>
      <c r="FLT6" s="684"/>
      <c r="FLU6" s="684"/>
      <c r="FLV6" s="684"/>
      <c r="FLW6" s="684"/>
      <c r="FLX6" s="684"/>
      <c r="FLY6" s="684"/>
      <c r="FLZ6" s="684"/>
      <c r="FMA6" s="684"/>
      <c r="FMB6" s="684"/>
      <c r="FMC6" s="684"/>
      <c r="FMD6" s="684"/>
      <c r="FME6" s="684"/>
      <c r="FMF6" s="684"/>
      <c r="FMG6" s="684"/>
      <c r="FMH6" s="684"/>
      <c r="FMI6" s="684"/>
      <c r="FMJ6" s="684"/>
      <c r="FMK6" s="684"/>
      <c r="FML6" s="684"/>
      <c r="FMM6" s="684"/>
      <c r="FMN6" s="684"/>
      <c r="FMO6" s="684"/>
      <c r="FMP6" s="684"/>
      <c r="FMQ6" s="684"/>
      <c r="FMR6" s="684"/>
      <c r="FMS6" s="684"/>
      <c r="FMT6" s="684"/>
      <c r="FMU6" s="684"/>
      <c r="FMV6" s="684"/>
      <c r="FMW6" s="684"/>
      <c r="FMX6" s="684"/>
      <c r="FMY6" s="684"/>
      <c r="FMZ6" s="684"/>
      <c r="FNA6" s="684"/>
      <c r="FNB6" s="684"/>
      <c r="FNC6" s="684"/>
      <c r="FND6" s="684"/>
      <c r="FNE6" s="684"/>
      <c r="FNF6" s="684"/>
      <c r="FNG6" s="684"/>
      <c r="FNH6" s="684"/>
      <c r="FNI6" s="684"/>
      <c r="FNJ6" s="684"/>
      <c r="FNK6" s="684"/>
      <c r="FNL6" s="684"/>
      <c r="FNM6" s="684"/>
      <c r="FNN6" s="684"/>
      <c r="FNO6" s="684"/>
      <c r="FNP6" s="684"/>
      <c r="FNQ6" s="684"/>
      <c r="FNR6" s="684"/>
      <c r="FNS6" s="684"/>
      <c r="FNT6" s="684"/>
      <c r="FNU6" s="684"/>
      <c r="FNV6" s="684"/>
      <c r="FNW6" s="684"/>
      <c r="FNX6" s="684"/>
      <c r="FNY6" s="684"/>
      <c r="FNZ6" s="684"/>
      <c r="FOA6" s="684"/>
      <c r="FOB6" s="684"/>
      <c r="FOC6" s="684"/>
      <c r="FOD6" s="684"/>
      <c r="FOE6" s="684"/>
      <c r="FOF6" s="684"/>
      <c r="FOG6" s="684"/>
      <c r="FOH6" s="684"/>
      <c r="FOI6" s="684"/>
      <c r="FOJ6" s="684"/>
      <c r="FOK6" s="684"/>
      <c r="FOL6" s="684"/>
      <c r="FOM6" s="684"/>
      <c r="FON6" s="684"/>
      <c r="FOO6" s="684"/>
      <c r="FOP6" s="684"/>
      <c r="FOQ6" s="684"/>
      <c r="FOR6" s="684"/>
      <c r="FOS6" s="684"/>
      <c r="FOT6" s="684"/>
      <c r="FOU6" s="684"/>
      <c r="FOV6" s="684"/>
      <c r="FOW6" s="684"/>
      <c r="FOX6" s="684"/>
      <c r="FOY6" s="684"/>
      <c r="FOZ6" s="684"/>
      <c r="FPA6" s="684"/>
      <c r="FPB6" s="684"/>
      <c r="FPC6" s="684"/>
      <c r="FPD6" s="684"/>
      <c r="FPE6" s="684"/>
      <c r="FPF6" s="684"/>
      <c r="FPG6" s="684"/>
      <c r="FPH6" s="684"/>
      <c r="FPI6" s="684"/>
      <c r="FPJ6" s="684"/>
      <c r="FPK6" s="684"/>
      <c r="FPL6" s="684"/>
      <c r="FPM6" s="684"/>
      <c r="FPN6" s="684"/>
      <c r="FPO6" s="684"/>
      <c r="FPP6" s="684"/>
      <c r="FPQ6" s="684"/>
      <c r="FPR6" s="684"/>
      <c r="FPS6" s="684"/>
      <c r="FPT6" s="684"/>
      <c r="FPU6" s="684"/>
      <c r="FPV6" s="684"/>
      <c r="FPW6" s="684"/>
      <c r="FPX6" s="684"/>
      <c r="FPY6" s="684"/>
      <c r="FPZ6" s="684"/>
      <c r="FQA6" s="684"/>
      <c r="FQB6" s="684"/>
      <c r="FQC6" s="684"/>
      <c r="FQD6" s="684"/>
      <c r="FQE6" s="684"/>
      <c r="FQF6" s="684"/>
      <c r="FQG6" s="684"/>
      <c r="FQH6" s="684"/>
      <c r="FQI6" s="684"/>
      <c r="FQJ6" s="684"/>
      <c r="FQK6" s="684"/>
      <c r="FQL6" s="684"/>
      <c r="FQM6" s="684"/>
      <c r="FQN6" s="684"/>
      <c r="FQO6" s="684"/>
      <c r="FQP6" s="684"/>
      <c r="FQQ6" s="684"/>
      <c r="FQR6" s="684"/>
      <c r="FQS6" s="684"/>
      <c r="FQT6" s="684"/>
      <c r="FQU6" s="684"/>
      <c r="FQV6" s="684"/>
      <c r="FQW6" s="684"/>
      <c r="FQX6" s="684"/>
      <c r="FQY6" s="684"/>
      <c r="FQZ6" s="684"/>
      <c r="FRA6" s="684"/>
      <c r="FRB6" s="684"/>
      <c r="FRC6" s="684"/>
      <c r="FRD6" s="684"/>
      <c r="FRE6" s="684"/>
      <c r="FRF6" s="684"/>
      <c r="FRG6" s="684"/>
      <c r="FRH6" s="684"/>
      <c r="FRI6" s="684"/>
      <c r="FRJ6" s="684"/>
      <c r="FRK6" s="684"/>
      <c r="FRL6" s="684"/>
      <c r="FRM6" s="684"/>
      <c r="FRN6" s="684"/>
      <c r="FRO6" s="684"/>
      <c r="FRP6" s="684"/>
      <c r="FRQ6" s="684"/>
      <c r="FRR6" s="684"/>
      <c r="FRS6" s="684"/>
      <c r="FRT6" s="684"/>
      <c r="FRU6" s="684"/>
      <c r="FRV6" s="684"/>
      <c r="FRW6" s="684"/>
      <c r="FRX6" s="684"/>
      <c r="FRY6" s="684"/>
      <c r="FRZ6" s="684"/>
      <c r="FSA6" s="684"/>
      <c r="FSB6" s="684"/>
      <c r="FSC6" s="684"/>
      <c r="FSD6" s="684"/>
      <c r="FSE6" s="684"/>
      <c r="FSF6" s="684"/>
      <c r="FSG6" s="684"/>
      <c r="FSH6" s="684"/>
      <c r="FSI6" s="684"/>
      <c r="FSJ6" s="684"/>
      <c r="FSK6" s="684"/>
      <c r="FSL6" s="684"/>
      <c r="FSM6" s="684"/>
      <c r="FSN6" s="684"/>
      <c r="FSO6" s="684"/>
      <c r="FSP6" s="684"/>
      <c r="FSQ6" s="684"/>
      <c r="FSR6" s="684"/>
      <c r="FSS6" s="684"/>
      <c r="FST6" s="684"/>
      <c r="FSU6" s="684"/>
      <c r="FSV6" s="684"/>
      <c r="FSW6" s="684"/>
      <c r="FSX6" s="684"/>
      <c r="FSY6" s="684"/>
      <c r="FSZ6" s="684"/>
      <c r="FTA6" s="684"/>
      <c r="FTB6" s="684"/>
      <c r="FTC6" s="684"/>
      <c r="FTD6" s="684"/>
      <c r="FTE6" s="684"/>
      <c r="FTF6" s="684"/>
      <c r="FTG6" s="684"/>
      <c r="FTH6" s="684"/>
      <c r="FTI6" s="684"/>
      <c r="FTJ6" s="684"/>
      <c r="FTK6" s="684"/>
      <c r="FTL6" s="684"/>
      <c r="FTM6" s="684"/>
      <c r="FTN6" s="684"/>
      <c r="FTO6" s="684"/>
      <c r="FTP6" s="684"/>
      <c r="FTQ6" s="684"/>
      <c r="FTR6" s="684"/>
      <c r="FTS6" s="684"/>
      <c r="FTT6" s="684"/>
      <c r="FTU6" s="684"/>
      <c r="FTV6" s="684"/>
      <c r="FTW6" s="684"/>
      <c r="FTX6" s="684"/>
      <c r="FTY6" s="684"/>
      <c r="FTZ6" s="684"/>
      <c r="FUA6" s="684"/>
      <c r="FUB6" s="684"/>
      <c r="FUC6" s="684"/>
      <c r="FUD6" s="684"/>
      <c r="FUE6" s="684"/>
      <c r="FUF6" s="684"/>
      <c r="FUG6" s="684"/>
      <c r="FUH6" s="684"/>
      <c r="FUI6" s="684"/>
      <c r="FUJ6" s="684"/>
      <c r="FUK6" s="684"/>
      <c r="FUL6" s="684"/>
      <c r="FUM6" s="684"/>
      <c r="FUN6" s="684"/>
      <c r="FUO6" s="684"/>
      <c r="FUP6" s="684"/>
      <c r="FUQ6" s="684"/>
      <c r="FUR6" s="684"/>
      <c r="FUS6" s="684"/>
      <c r="FUT6" s="684"/>
      <c r="FUU6" s="684"/>
      <c r="FUV6" s="684"/>
      <c r="FUW6" s="684"/>
      <c r="FUX6" s="684"/>
      <c r="FUY6" s="684"/>
      <c r="FUZ6" s="684"/>
      <c r="FVA6" s="684"/>
      <c r="FVB6" s="684"/>
      <c r="FVC6" s="684"/>
      <c r="FVD6" s="684"/>
      <c r="FVE6" s="684"/>
      <c r="FVF6" s="684"/>
      <c r="FVG6" s="684"/>
      <c r="FVH6" s="684"/>
      <c r="FVI6" s="684"/>
      <c r="FVJ6" s="684"/>
      <c r="FVK6" s="684"/>
      <c r="FVL6" s="684"/>
      <c r="FVM6" s="684"/>
      <c r="FVN6" s="684"/>
      <c r="FVO6" s="684"/>
      <c r="FVP6" s="684"/>
      <c r="FVQ6" s="684"/>
      <c r="FVR6" s="684"/>
      <c r="FVS6" s="684"/>
      <c r="FVT6" s="684"/>
      <c r="FVU6" s="684"/>
      <c r="FVV6" s="684"/>
      <c r="FVW6" s="684"/>
      <c r="FVX6" s="684"/>
      <c r="FVY6" s="684"/>
      <c r="FVZ6" s="684"/>
      <c r="FWA6" s="684"/>
      <c r="FWB6" s="684"/>
      <c r="FWC6" s="684"/>
      <c r="FWD6" s="684"/>
      <c r="FWE6" s="684"/>
      <c r="FWF6" s="684"/>
      <c r="FWG6" s="684"/>
      <c r="FWH6" s="684"/>
      <c r="FWI6" s="684"/>
      <c r="FWJ6" s="684"/>
      <c r="FWK6" s="684"/>
      <c r="FWL6" s="684"/>
      <c r="FWM6" s="684"/>
      <c r="FWN6" s="684"/>
      <c r="FWO6" s="684"/>
      <c r="FWP6" s="684"/>
      <c r="FWQ6" s="684"/>
      <c r="FWR6" s="684"/>
      <c r="FWS6" s="684"/>
      <c r="FWT6" s="684"/>
      <c r="FWU6" s="684"/>
      <c r="FWV6" s="684"/>
      <c r="FWW6" s="684"/>
      <c r="FWX6" s="684"/>
      <c r="FWY6" s="684"/>
      <c r="FWZ6" s="684"/>
      <c r="FXA6" s="684"/>
      <c r="FXB6" s="684"/>
      <c r="FXC6" s="684"/>
      <c r="FXD6" s="684"/>
      <c r="FXE6" s="684"/>
      <c r="FXF6" s="684"/>
      <c r="FXG6" s="684"/>
      <c r="FXH6" s="684"/>
      <c r="FXI6" s="684"/>
      <c r="FXJ6" s="684"/>
      <c r="FXK6" s="684"/>
      <c r="FXL6" s="684"/>
      <c r="FXM6" s="684"/>
      <c r="FXN6" s="684"/>
      <c r="FXO6" s="684"/>
      <c r="FXP6" s="684"/>
      <c r="FXQ6" s="684"/>
      <c r="FXR6" s="684"/>
      <c r="FXS6" s="684"/>
      <c r="FXT6" s="684"/>
      <c r="FXU6" s="684"/>
      <c r="FXV6" s="684"/>
      <c r="FXW6" s="684"/>
      <c r="FXX6" s="684"/>
      <c r="FXY6" s="684"/>
      <c r="FXZ6" s="684"/>
      <c r="FYA6" s="684"/>
      <c r="FYB6" s="684"/>
      <c r="FYC6" s="684"/>
      <c r="FYD6" s="684"/>
      <c r="FYE6" s="684"/>
      <c r="FYF6" s="684"/>
      <c r="FYG6" s="684"/>
      <c r="FYH6" s="684"/>
      <c r="FYI6" s="684"/>
      <c r="FYJ6" s="684"/>
      <c r="FYK6" s="684"/>
      <c r="FYL6" s="684"/>
      <c r="FYM6" s="684"/>
      <c r="FYN6" s="684"/>
      <c r="FYO6" s="684"/>
      <c r="FYP6" s="684"/>
      <c r="FYQ6" s="684"/>
      <c r="FYR6" s="684"/>
      <c r="FYS6" s="684"/>
      <c r="FYT6" s="684"/>
      <c r="FYU6" s="684"/>
      <c r="FYV6" s="684"/>
      <c r="FYW6" s="684"/>
      <c r="FYX6" s="684"/>
      <c r="FYY6" s="684"/>
      <c r="FYZ6" s="684"/>
      <c r="FZA6" s="684"/>
      <c r="FZB6" s="684"/>
      <c r="FZC6" s="684"/>
      <c r="FZD6" s="684"/>
      <c r="FZE6" s="684"/>
      <c r="FZF6" s="684"/>
      <c r="FZG6" s="684"/>
      <c r="FZH6" s="684"/>
      <c r="FZI6" s="684"/>
      <c r="FZJ6" s="684"/>
      <c r="FZK6" s="684"/>
      <c r="FZL6" s="684"/>
      <c r="FZM6" s="684"/>
      <c r="FZN6" s="684"/>
      <c r="FZO6" s="684"/>
      <c r="FZP6" s="684"/>
      <c r="FZQ6" s="684"/>
      <c r="FZR6" s="684"/>
      <c r="FZS6" s="684"/>
      <c r="FZT6" s="684"/>
      <c r="FZU6" s="684"/>
      <c r="FZV6" s="684"/>
      <c r="FZW6" s="684"/>
      <c r="FZX6" s="684"/>
      <c r="FZY6" s="684"/>
      <c r="FZZ6" s="684"/>
      <c r="GAA6" s="684"/>
      <c r="GAB6" s="684"/>
      <c r="GAC6" s="684"/>
      <c r="GAD6" s="684"/>
      <c r="GAE6" s="684"/>
      <c r="GAF6" s="684"/>
      <c r="GAG6" s="684"/>
      <c r="GAH6" s="684"/>
      <c r="GAI6" s="684"/>
      <c r="GAJ6" s="684"/>
      <c r="GAK6" s="684"/>
      <c r="GAL6" s="684"/>
      <c r="GAM6" s="684"/>
      <c r="GAN6" s="684"/>
      <c r="GAO6" s="684"/>
      <c r="GAP6" s="684"/>
      <c r="GAQ6" s="684"/>
      <c r="GAR6" s="684"/>
      <c r="GAS6" s="684"/>
      <c r="GAT6" s="684"/>
      <c r="GAU6" s="684"/>
      <c r="GAV6" s="684"/>
      <c r="GAW6" s="684"/>
      <c r="GAX6" s="684"/>
      <c r="GAY6" s="684"/>
      <c r="GAZ6" s="684"/>
      <c r="GBA6" s="684"/>
      <c r="GBB6" s="684"/>
      <c r="GBC6" s="684"/>
      <c r="GBD6" s="684"/>
      <c r="GBE6" s="684"/>
      <c r="GBF6" s="684"/>
      <c r="GBG6" s="684"/>
      <c r="GBH6" s="684"/>
      <c r="GBI6" s="684"/>
      <c r="GBJ6" s="684"/>
      <c r="GBK6" s="684"/>
      <c r="GBL6" s="684"/>
      <c r="GBM6" s="684"/>
      <c r="GBN6" s="684"/>
      <c r="GBO6" s="684"/>
      <c r="GBP6" s="684"/>
      <c r="GBQ6" s="684"/>
      <c r="GBR6" s="684"/>
      <c r="GBS6" s="684"/>
      <c r="GBT6" s="684"/>
      <c r="GBU6" s="684"/>
      <c r="GBV6" s="684"/>
      <c r="GBW6" s="684"/>
      <c r="GBX6" s="684"/>
      <c r="GBY6" s="684"/>
      <c r="GBZ6" s="684"/>
      <c r="GCA6" s="684"/>
      <c r="GCB6" s="684"/>
      <c r="GCC6" s="684"/>
      <c r="GCD6" s="684"/>
      <c r="GCE6" s="684"/>
      <c r="GCF6" s="684"/>
      <c r="GCG6" s="684"/>
      <c r="GCH6" s="684"/>
      <c r="GCI6" s="684"/>
      <c r="GCJ6" s="684"/>
      <c r="GCK6" s="684"/>
      <c r="GCL6" s="684"/>
      <c r="GCM6" s="684"/>
      <c r="GCN6" s="684"/>
      <c r="GCO6" s="684"/>
      <c r="GCP6" s="684"/>
      <c r="GCQ6" s="684"/>
      <c r="GCR6" s="684"/>
      <c r="GCS6" s="684"/>
      <c r="GCT6" s="684"/>
      <c r="GCU6" s="684"/>
      <c r="GCV6" s="684"/>
      <c r="GCW6" s="684"/>
      <c r="GCX6" s="684"/>
      <c r="GCY6" s="684"/>
      <c r="GCZ6" s="684"/>
      <c r="GDA6" s="684"/>
      <c r="GDB6" s="684"/>
      <c r="GDC6" s="684"/>
      <c r="GDD6" s="684"/>
      <c r="GDE6" s="684"/>
      <c r="GDF6" s="684"/>
      <c r="GDG6" s="684"/>
      <c r="GDH6" s="684"/>
      <c r="GDI6" s="684"/>
      <c r="GDJ6" s="684"/>
      <c r="GDK6" s="684"/>
      <c r="GDL6" s="684"/>
      <c r="GDM6" s="684"/>
      <c r="GDN6" s="684"/>
      <c r="GDO6" s="684"/>
      <c r="GDP6" s="684"/>
      <c r="GDQ6" s="684"/>
      <c r="GDR6" s="684"/>
      <c r="GDS6" s="684"/>
      <c r="GDT6" s="684"/>
      <c r="GDU6" s="684"/>
      <c r="GDV6" s="684"/>
      <c r="GDW6" s="684"/>
      <c r="GDX6" s="684"/>
      <c r="GDY6" s="684"/>
      <c r="GDZ6" s="684"/>
      <c r="GEA6" s="684"/>
      <c r="GEB6" s="684"/>
      <c r="GEC6" s="684"/>
      <c r="GED6" s="684"/>
      <c r="GEE6" s="684"/>
      <c r="GEF6" s="684"/>
      <c r="GEG6" s="684"/>
      <c r="GEH6" s="684"/>
      <c r="GEI6" s="684"/>
      <c r="GEJ6" s="684"/>
      <c r="GEK6" s="684"/>
      <c r="GEL6" s="684"/>
      <c r="GEM6" s="684"/>
      <c r="GEN6" s="684"/>
      <c r="GEO6" s="684"/>
      <c r="GEP6" s="684"/>
      <c r="GEQ6" s="684"/>
      <c r="GER6" s="684"/>
      <c r="GES6" s="684"/>
      <c r="GET6" s="684"/>
      <c r="GEU6" s="684"/>
      <c r="GEV6" s="684"/>
      <c r="GEW6" s="684"/>
      <c r="GEX6" s="684"/>
      <c r="GEY6" s="684"/>
      <c r="GEZ6" s="684"/>
      <c r="GFA6" s="684"/>
      <c r="GFB6" s="684"/>
      <c r="GFC6" s="684"/>
      <c r="GFD6" s="684"/>
      <c r="GFE6" s="684"/>
      <c r="GFF6" s="684"/>
      <c r="GFG6" s="684"/>
      <c r="GFH6" s="684"/>
      <c r="GFI6" s="684"/>
      <c r="GFJ6" s="684"/>
      <c r="GFK6" s="684"/>
      <c r="GFL6" s="684"/>
      <c r="GFM6" s="684"/>
      <c r="GFN6" s="684"/>
      <c r="GFO6" s="684"/>
      <c r="GFP6" s="684"/>
      <c r="GFQ6" s="684"/>
      <c r="GFR6" s="684"/>
      <c r="GFS6" s="684"/>
      <c r="GFT6" s="684"/>
      <c r="GFU6" s="684"/>
      <c r="GFV6" s="684"/>
      <c r="GFW6" s="684"/>
      <c r="GFX6" s="684"/>
      <c r="GFY6" s="684"/>
      <c r="GFZ6" s="684"/>
      <c r="GGA6" s="684"/>
      <c r="GGB6" s="684"/>
      <c r="GGC6" s="684"/>
      <c r="GGD6" s="684"/>
      <c r="GGE6" s="684"/>
      <c r="GGF6" s="684"/>
      <c r="GGG6" s="684"/>
      <c r="GGH6" s="684"/>
      <c r="GGI6" s="684"/>
      <c r="GGJ6" s="684"/>
      <c r="GGK6" s="684"/>
      <c r="GGL6" s="684"/>
      <c r="GGM6" s="684"/>
      <c r="GGN6" s="684"/>
      <c r="GGO6" s="684"/>
      <c r="GGP6" s="684"/>
      <c r="GGQ6" s="684"/>
      <c r="GGR6" s="684"/>
      <c r="GGS6" s="684"/>
      <c r="GGT6" s="684"/>
      <c r="GGU6" s="684"/>
      <c r="GGV6" s="684"/>
      <c r="GGW6" s="684"/>
      <c r="GGX6" s="684"/>
      <c r="GGY6" s="684"/>
      <c r="GGZ6" s="684"/>
      <c r="GHA6" s="684"/>
      <c r="GHB6" s="684"/>
      <c r="GHC6" s="684"/>
      <c r="GHD6" s="684"/>
      <c r="GHE6" s="684"/>
      <c r="GHF6" s="684"/>
      <c r="GHG6" s="684"/>
      <c r="GHH6" s="684"/>
      <c r="GHI6" s="684"/>
      <c r="GHJ6" s="684"/>
      <c r="GHK6" s="684"/>
      <c r="GHL6" s="684"/>
      <c r="GHM6" s="684"/>
      <c r="GHN6" s="684"/>
      <c r="GHO6" s="684"/>
      <c r="GHP6" s="684"/>
      <c r="GHQ6" s="684"/>
      <c r="GHR6" s="684"/>
      <c r="GHS6" s="684"/>
      <c r="GHT6" s="684"/>
      <c r="GHU6" s="684"/>
      <c r="GHV6" s="684"/>
      <c r="GHW6" s="684"/>
      <c r="GHX6" s="684"/>
      <c r="GHY6" s="684"/>
      <c r="GHZ6" s="684"/>
      <c r="GIA6" s="684"/>
      <c r="GIB6" s="684"/>
      <c r="GIC6" s="684"/>
      <c r="GID6" s="684"/>
      <c r="GIE6" s="684"/>
      <c r="GIF6" s="684"/>
      <c r="GIG6" s="684"/>
      <c r="GIH6" s="684"/>
      <c r="GII6" s="684"/>
      <c r="GIJ6" s="684"/>
      <c r="GIK6" s="684"/>
      <c r="GIL6" s="684"/>
      <c r="GIM6" s="684"/>
      <c r="GIN6" s="684"/>
      <c r="GIO6" s="684"/>
      <c r="GIP6" s="684"/>
      <c r="GIQ6" s="684"/>
      <c r="GIR6" s="684"/>
      <c r="GIS6" s="684"/>
      <c r="GIT6" s="684"/>
      <c r="GIU6" s="684"/>
      <c r="GIV6" s="684"/>
      <c r="GIW6" s="684"/>
      <c r="GIX6" s="684"/>
      <c r="GIY6" s="684"/>
      <c r="GIZ6" s="684"/>
      <c r="GJA6" s="684"/>
      <c r="GJB6" s="684"/>
      <c r="GJC6" s="684"/>
      <c r="GJD6" s="684"/>
      <c r="GJE6" s="684"/>
      <c r="GJF6" s="684"/>
      <c r="GJG6" s="684"/>
      <c r="GJH6" s="684"/>
      <c r="GJI6" s="684"/>
      <c r="GJJ6" s="684"/>
      <c r="GJK6" s="684"/>
      <c r="GJL6" s="684"/>
      <c r="GJM6" s="684"/>
      <c r="GJN6" s="684"/>
      <c r="GJO6" s="684"/>
      <c r="GJP6" s="684"/>
      <c r="GJQ6" s="684"/>
      <c r="GJR6" s="684"/>
      <c r="GJS6" s="684"/>
      <c r="GJT6" s="684"/>
      <c r="GJU6" s="684"/>
      <c r="GJV6" s="684"/>
      <c r="GJW6" s="684"/>
      <c r="GJX6" s="684"/>
      <c r="GJY6" s="684"/>
      <c r="GJZ6" s="684"/>
      <c r="GKA6" s="684"/>
      <c r="GKB6" s="684"/>
      <c r="GKC6" s="684"/>
      <c r="GKD6" s="684"/>
      <c r="GKE6" s="684"/>
      <c r="GKF6" s="684"/>
      <c r="GKG6" s="684"/>
      <c r="GKH6" s="684"/>
      <c r="GKI6" s="684"/>
      <c r="GKJ6" s="684"/>
      <c r="GKK6" s="684"/>
      <c r="GKL6" s="684"/>
      <c r="GKM6" s="684"/>
      <c r="GKN6" s="684"/>
      <c r="GKO6" s="684"/>
      <c r="GKP6" s="684"/>
      <c r="GKQ6" s="684"/>
      <c r="GKR6" s="684"/>
      <c r="GKS6" s="684"/>
      <c r="GKT6" s="684"/>
      <c r="GKU6" s="684"/>
      <c r="GKV6" s="684"/>
      <c r="GKW6" s="684"/>
      <c r="GKX6" s="684"/>
      <c r="GKY6" s="684"/>
      <c r="GKZ6" s="684"/>
      <c r="GLA6" s="684"/>
      <c r="GLB6" s="684"/>
      <c r="GLC6" s="684"/>
      <c r="GLD6" s="684"/>
      <c r="GLE6" s="684"/>
      <c r="GLF6" s="684"/>
      <c r="GLG6" s="684"/>
      <c r="GLH6" s="684"/>
      <c r="GLI6" s="684"/>
      <c r="GLJ6" s="684"/>
      <c r="GLK6" s="684"/>
      <c r="GLL6" s="684"/>
      <c r="GLM6" s="684"/>
      <c r="GLN6" s="684"/>
      <c r="GLO6" s="684"/>
      <c r="GLP6" s="684"/>
      <c r="GLQ6" s="684"/>
      <c r="GLR6" s="684"/>
      <c r="GLS6" s="684"/>
      <c r="GLT6" s="684"/>
      <c r="GLU6" s="684"/>
      <c r="GLV6" s="684"/>
      <c r="GLW6" s="684"/>
      <c r="GLX6" s="684"/>
      <c r="GLY6" s="684"/>
      <c r="GLZ6" s="684"/>
      <c r="GMA6" s="684"/>
      <c r="GMB6" s="684"/>
      <c r="GMC6" s="684"/>
      <c r="GMD6" s="684"/>
      <c r="GME6" s="684"/>
      <c r="GMF6" s="684"/>
      <c r="GMG6" s="684"/>
      <c r="GMH6" s="684"/>
      <c r="GMI6" s="684"/>
      <c r="GMJ6" s="684"/>
      <c r="GMK6" s="684"/>
      <c r="GML6" s="684"/>
      <c r="GMM6" s="684"/>
      <c r="GMN6" s="684"/>
      <c r="GMO6" s="684"/>
      <c r="GMP6" s="684"/>
      <c r="GMQ6" s="684"/>
      <c r="GMR6" s="684"/>
      <c r="GMS6" s="684"/>
      <c r="GMT6" s="684"/>
      <c r="GMU6" s="684"/>
      <c r="GMV6" s="684"/>
      <c r="GMW6" s="684"/>
      <c r="GMX6" s="684"/>
      <c r="GMY6" s="684"/>
      <c r="GMZ6" s="684"/>
      <c r="GNA6" s="684"/>
      <c r="GNB6" s="684"/>
      <c r="GNC6" s="684"/>
      <c r="GND6" s="684"/>
      <c r="GNE6" s="684"/>
      <c r="GNF6" s="684"/>
      <c r="GNG6" s="684"/>
      <c r="GNH6" s="684"/>
      <c r="GNI6" s="684"/>
      <c r="GNJ6" s="684"/>
      <c r="GNK6" s="684"/>
      <c r="GNL6" s="684"/>
      <c r="GNM6" s="684"/>
      <c r="GNN6" s="684"/>
      <c r="GNO6" s="684"/>
      <c r="GNP6" s="684"/>
      <c r="GNQ6" s="684"/>
      <c r="GNR6" s="684"/>
      <c r="GNS6" s="684"/>
      <c r="GNT6" s="684"/>
      <c r="GNU6" s="684"/>
      <c r="GNV6" s="684"/>
      <c r="GNW6" s="684"/>
      <c r="GNX6" s="684"/>
      <c r="GNY6" s="684"/>
      <c r="GNZ6" s="684"/>
      <c r="GOA6" s="684"/>
      <c r="GOB6" s="684"/>
      <c r="GOC6" s="684"/>
      <c r="GOD6" s="684"/>
      <c r="GOE6" s="684"/>
      <c r="GOF6" s="684"/>
      <c r="GOG6" s="684"/>
      <c r="GOH6" s="684"/>
      <c r="GOI6" s="684"/>
      <c r="GOJ6" s="684"/>
      <c r="GOK6" s="684"/>
      <c r="GOL6" s="684"/>
      <c r="GOM6" s="684"/>
      <c r="GON6" s="684"/>
      <c r="GOO6" s="684"/>
      <c r="GOP6" s="684"/>
      <c r="GOQ6" s="684"/>
      <c r="GOR6" s="684"/>
      <c r="GOS6" s="684"/>
      <c r="GOT6" s="684"/>
      <c r="GOU6" s="684"/>
      <c r="GOV6" s="684"/>
      <c r="GOW6" s="684"/>
      <c r="GOX6" s="684"/>
      <c r="GOY6" s="684"/>
      <c r="GOZ6" s="684"/>
      <c r="GPA6" s="684"/>
      <c r="GPB6" s="684"/>
      <c r="GPC6" s="684"/>
      <c r="GPD6" s="684"/>
      <c r="GPE6" s="684"/>
      <c r="GPF6" s="684"/>
      <c r="GPG6" s="684"/>
      <c r="GPH6" s="684"/>
      <c r="GPI6" s="684"/>
      <c r="GPJ6" s="684"/>
      <c r="GPK6" s="684"/>
      <c r="GPL6" s="684"/>
      <c r="GPM6" s="684"/>
      <c r="GPN6" s="684"/>
      <c r="GPO6" s="684"/>
      <c r="GPP6" s="684"/>
      <c r="GPQ6" s="684"/>
      <c r="GPR6" s="684"/>
      <c r="GPS6" s="684"/>
      <c r="GPT6" s="684"/>
      <c r="GPU6" s="684"/>
      <c r="GPV6" s="684"/>
      <c r="GPW6" s="684"/>
      <c r="GPX6" s="684"/>
      <c r="GPY6" s="684"/>
      <c r="GPZ6" s="684"/>
      <c r="GQA6" s="684"/>
      <c r="GQB6" s="684"/>
      <c r="GQC6" s="684"/>
      <c r="GQD6" s="684"/>
      <c r="GQE6" s="684"/>
      <c r="GQF6" s="684"/>
      <c r="GQG6" s="684"/>
      <c r="GQH6" s="684"/>
      <c r="GQI6" s="684"/>
      <c r="GQJ6" s="684"/>
      <c r="GQK6" s="684"/>
      <c r="GQL6" s="684"/>
      <c r="GQM6" s="684"/>
      <c r="GQN6" s="684"/>
      <c r="GQO6" s="684"/>
      <c r="GQP6" s="684"/>
      <c r="GQQ6" s="684"/>
      <c r="GQR6" s="684"/>
      <c r="GQS6" s="684"/>
      <c r="GQT6" s="684"/>
      <c r="GQU6" s="684"/>
      <c r="GQV6" s="684"/>
      <c r="GQW6" s="684"/>
      <c r="GQX6" s="684"/>
      <c r="GQY6" s="684"/>
      <c r="GQZ6" s="684"/>
      <c r="GRA6" s="684"/>
      <c r="GRB6" s="684"/>
      <c r="GRC6" s="684"/>
      <c r="GRD6" s="684"/>
      <c r="GRE6" s="684"/>
      <c r="GRF6" s="684"/>
      <c r="GRG6" s="684"/>
      <c r="GRH6" s="684"/>
      <c r="GRI6" s="684"/>
      <c r="GRJ6" s="684"/>
      <c r="GRK6" s="684"/>
      <c r="GRL6" s="684"/>
      <c r="GRM6" s="684"/>
      <c r="GRN6" s="684"/>
      <c r="GRO6" s="684"/>
      <c r="GRP6" s="684"/>
      <c r="GRQ6" s="684"/>
      <c r="GRR6" s="684"/>
      <c r="GRS6" s="684"/>
      <c r="GRT6" s="684"/>
      <c r="GRU6" s="684"/>
      <c r="GRV6" s="684"/>
      <c r="GRW6" s="684"/>
      <c r="GRX6" s="684"/>
      <c r="GRY6" s="684"/>
      <c r="GRZ6" s="684"/>
      <c r="GSA6" s="684"/>
      <c r="GSB6" s="684"/>
      <c r="GSC6" s="684"/>
      <c r="GSD6" s="684"/>
      <c r="GSE6" s="684"/>
      <c r="GSF6" s="684"/>
      <c r="GSG6" s="684"/>
      <c r="GSH6" s="684"/>
      <c r="GSI6" s="684"/>
      <c r="GSJ6" s="684"/>
      <c r="GSK6" s="684"/>
      <c r="GSL6" s="684"/>
      <c r="GSM6" s="684"/>
      <c r="GSN6" s="684"/>
      <c r="GSO6" s="684"/>
      <c r="GSP6" s="684"/>
      <c r="GSQ6" s="684"/>
      <c r="GSR6" s="684"/>
      <c r="GSS6" s="684"/>
      <c r="GST6" s="684"/>
      <c r="GSU6" s="684"/>
      <c r="GSV6" s="684"/>
      <c r="GSW6" s="684"/>
      <c r="GSX6" s="684"/>
      <c r="GSY6" s="684"/>
      <c r="GSZ6" s="684"/>
      <c r="GTA6" s="684"/>
      <c r="GTB6" s="684"/>
      <c r="GTC6" s="684"/>
      <c r="GTD6" s="684"/>
      <c r="GTE6" s="684"/>
      <c r="GTF6" s="684"/>
      <c r="GTG6" s="684"/>
      <c r="GTH6" s="684"/>
      <c r="GTI6" s="684"/>
      <c r="GTJ6" s="684"/>
      <c r="GTK6" s="684"/>
      <c r="GTL6" s="684"/>
      <c r="GTM6" s="684"/>
      <c r="GTN6" s="684"/>
      <c r="GTO6" s="684"/>
      <c r="GTP6" s="684"/>
      <c r="GTQ6" s="684"/>
      <c r="GTR6" s="684"/>
      <c r="GTS6" s="684"/>
      <c r="GTT6" s="684"/>
      <c r="GTU6" s="684"/>
      <c r="GTV6" s="684"/>
      <c r="GTW6" s="684"/>
      <c r="GTX6" s="684"/>
      <c r="GTY6" s="684"/>
      <c r="GTZ6" s="684"/>
      <c r="GUA6" s="684"/>
      <c r="GUB6" s="684"/>
      <c r="GUC6" s="684"/>
      <c r="GUD6" s="684"/>
      <c r="GUE6" s="684"/>
      <c r="GUF6" s="684"/>
      <c r="GUG6" s="684"/>
      <c r="GUH6" s="684"/>
      <c r="GUI6" s="684"/>
      <c r="GUJ6" s="684"/>
      <c r="GUK6" s="684"/>
      <c r="GUL6" s="684"/>
      <c r="GUM6" s="684"/>
      <c r="GUN6" s="684"/>
      <c r="GUO6" s="684"/>
      <c r="GUP6" s="684"/>
      <c r="GUQ6" s="684"/>
      <c r="GUR6" s="684"/>
      <c r="GUS6" s="684"/>
      <c r="GUT6" s="684"/>
      <c r="GUU6" s="684"/>
      <c r="GUV6" s="684"/>
      <c r="GUW6" s="684"/>
      <c r="GUX6" s="684"/>
      <c r="GUY6" s="684"/>
      <c r="GUZ6" s="684"/>
      <c r="GVA6" s="684"/>
      <c r="GVB6" s="684"/>
      <c r="GVC6" s="684"/>
      <c r="GVD6" s="684"/>
      <c r="GVE6" s="684"/>
      <c r="GVF6" s="684"/>
      <c r="GVG6" s="684"/>
      <c r="GVH6" s="684"/>
      <c r="GVI6" s="684"/>
      <c r="GVJ6" s="684"/>
      <c r="GVK6" s="684"/>
      <c r="GVL6" s="684"/>
      <c r="GVM6" s="684"/>
      <c r="GVN6" s="684"/>
      <c r="GVO6" s="684"/>
      <c r="GVP6" s="684"/>
      <c r="GVQ6" s="684"/>
      <c r="GVR6" s="684"/>
      <c r="GVS6" s="684"/>
      <c r="GVT6" s="684"/>
      <c r="GVU6" s="684"/>
      <c r="GVV6" s="684"/>
      <c r="GVW6" s="684"/>
      <c r="GVX6" s="684"/>
      <c r="GVY6" s="684"/>
      <c r="GVZ6" s="684"/>
      <c r="GWA6" s="684"/>
      <c r="GWB6" s="684"/>
      <c r="GWC6" s="684"/>
      <c r="GWD6" s="684"/>
      <c r="GWE6" s="684"/>
      <c r="GWF6" s="684"/>
      <c r="GWG6" s="684"/>
      <c r="GWH6" s="684"/>
      <c r="GWI6" s="684"/>
      <c r="GWJ6" s="684"/>
      <c r="GWK6" s="684"/>
      <c r="GWL6" s="684"/>
      <c r="GWM6" s="684"/>
      <c r="GWN6" s="684"/>
      <c r="GWO6" s="684"/>
      <c r="GWP6" s="684"/>
      <c r="GWQ6" s="684"/>
      <c r="GWR6" s="684"/>
      <c r="GWS6" s="684"/>
      <c r="GWT6" s="684"/>
      <c r="GWU6" s="684"/>
      <c r="GWV6" s="684"/>
      <c r="GWW6" s="684"/>
      <c r="GWX6" s="684"/>
      <c r="GWY6" s="684"/>
      <c r="GWZ6" s="684"/>
      <c r="GXA6" s="684"/>
      <c r="GXB6" s="684"/>
      <c r="GXC6" s="684"/>
      <c r="GXD6" s="684"/>
      <c r="GXE6" s="684"/>
      <c r="GXF6" s="684"/>
      <c r="GXG6" s="684"/>
      <c r="GXH6" s="684"/>
      <c r="GXI6" s="684"/>
      <c r="GXJ6" s="684"/>
      <c r="GXK6" s="684"/>
      <c r="GXL6" s="684"/>
      <c r="GXM6" s="684"/>
      <c r="GXN6" s="684"/>
      <c r="GXO6" s="684"/>
      <c r="GXP6" s="684"/>
      <c r="GXQ6" s="684"/>
      <c r="GXR6" s="684"/>
      <c r="GXS6" s="684"/>
      <c r="GXT6" s="684"/>
      <c r="GXU6" s="684"/>
      <c r="GXV6" s="684"/>
      <c r="GXW6" s="684"/>
      <c r="GXX6" s="684"/>
      <c r="GXY6" s="684"/>
      <c r="GXZ6" s="684"/>
      <c r="GYA6" s="684"/>
      <c r="GYB6" s="684"/>
      <c r="GYC6" s="684"/>
      <c r="GYD6" s="684"/>
      <c r="GYE6" s="684"/>
      <c r="GYF6" s="684"/>
      <c r="GYG6" s="684"/>
      <c r="GYH6" s="684"/>
      <c r="GYI6" s="684"/>
      <c r="GYJ6" s="684"/>
      <c r="GYK6" s="684"/>
      <c r="GYL6" s="684"/>
      <c r="GYM6" s="684"/>
      <c r="GYN6" s="684"/>
      <c r="GYO6" s="684"/>
      <c r="GYP6" s="684"/>
      <c r="GYQ6" s="684"/>
      <c r="GYR6" s="684"/>
      <c r="GYS6" s="684"/>
      <c r="GYT6" s="684"/>
      <c r="GYU6" s="684"/>
      <c r="GYV6" s="684"/>
      <c r="GYW6" s="684"/>
      <c r="GYX6" s="684"/>
      <c r="GYY6" s="684"/>
      <c r="GYZ6" s="684"/>
      <c r="GZA6" s="684"/>
      <c r="GZB6" s="684"/>
      <c r="GZC6" s="684"/>
      <c r="GZD6" s="684"/>
      <c r="GZE6" s="684"/>
      <c r="GZF6" s="684"/>
      <c r="GZG6" s="684"/>
      <c r="GZH6" s="684"/>
      <c r="GZI6" s="684"/>
      <c r="GZJ6" s="684"/>
      <c r="GZK6" s="684"/>
      <c r="GZL6" s="684"/>
      <c r="GZM6" s="684"/>
      <c r="GZN6" s="684"/>
      <c r="GZO6" s="684"/>
      <c r="GZP6" s="684"/>
      <c r="GZQ6" s="684"/>
      <c r="GZR6" s="684"/>
      <c r="GZS6" s="684"/>
      <c r="GZT6" s="684"/>
      <c r="GZU6" s="684"/>
      <c r="GZV6" s="684"/>
      <c r="GZW6" s="684"/>
      <c r="GZX6" s="684"/>
      <c r="GZY6" s="684"/>
      <c r="GZZ6" s="684"/>
      <c r="HAA6" s="684"/>
      <c r="HAB6" s="684"/>
      <c r="HAC6" s="684"/>
      <c r="HAD6" s="684"/>
      <c r="HAE6" s="684"/>
      <c r="HAF6" s="684"/>
      <c r="HAG6" s="684"/>
      <c r="HAH6" s="684"/>
      <c r="HAI6" s="684"/>
      <c r="HAJ6" s="684"/>
      <c r="HAK6" s="684"/>
      <c r="HAL6" s="684"/>
      <c r="HAM6" s="684"/>
      <c r="HAN6" s="684"/>
      <c r="HAO6" s="684"/>
      <c r="HAP6" s="684"/>
      <c r="HAQ6" s="684"/>
      <c r="HAR6" s="684"/>
      <c r="HAS6" s="684"/>
      <c r="HAT6" s="684"/>
      <c r="HAU6" s="684"/>
      <c r="HAV6" s="684"/>
      <c r="HAW6" s="684"/>
      <c r="HAX6" s="684"/>
      <c r="HAY6" s="684"/>
      <c r="HAZ6" s="684"/>
      <c r="HBA6" s="684"/>
      <c r="HBB6" s="684"/>
      <c r="HBC6" s="684"/>
      <c r="HBD6" s="684"/>
      <c r="HBE6" s="684"/>
      <c r="HBF6" s="684"/>
      <c r="HBG6" s="684"/>
      <c r="HBH6" s="684"/>
      <c r="HBI6" s="684"/>
      <c r="HBJ6" s="684"/>
      <c r="HBK6" s="684"/>
      <c r="HBL6" s="684"/>
      <c r="HBM6" s="684"/>
      <c r="HBN6" s="684"/>
      <c r="HBO6" s="684"/>
      <c r="HBP6" s="684"/>
      <c r="HBQ6" s="684"/>
      <c r="HBR6" s="684"/>
      <c r="HBS6" s="684"/>
      <c r="HBT6" s="684"/>
      <c r="HBU6" s="684"/>
      <c r="HBV6" s="684"/>
      <c r="HBW6" s="684"/>
      <c r="HBX6" s="684"/>
      <c r="HBY6" s="684"/>
      <c r="HBZ6" s="684"/>
      <c r="HCA6" s="684"/>
      <c r="HCB6" s="684"/>
      <c r="HCC6" s="684"/>
      <c r="HCD6" s="684"/>
      <c r="HCE6" s="684"/>
      <c r="HCF6" s="684"/>
      <c r="HCG6" s="684"/>
      <c r="HCH6" s="684"/>
      <c r="HCI6" s="684"/>
      <c r="HCJ6" s="684"/>
      <c r="HCK6" s="684"/>
      <c r="HCL6" s="684"/>
      <c r="HCM6" s="684"/>
      <c r="HCN6" s="684"/>
      <c r="HCO6" s="684"/>
      <c r="HCP6" s="684"/>
      <c r="HCQ6" s="684"/>
      <c r="HCR6" s="684"/>
      <c r="HCS6" s="684"/>
      <c r="HCT6" s="684"/>
      <c r="HCU6" s="684"/>
      <c r="HCV6" s="684"/>
      <c r="HCW6" s="684"/>
      <c r="HCX6" s="684"/>
      <c r="HCY6" s="684"/>
      <c r="HCZ6" s="684"/>
      <c r="HDA6" s="684"/>
      <c r="HDB6" s="684"/>
      <c r="HDC6" s="684"/>
      <c r="HDD6" s="684"/>
      <c r="HDE6" s="684"/>
      <c r="HDF6" s="684"/>
      <c r="HDG6" s="684"/>
      <c r="HDH6" s="684"/>
      <c r="HDI6" s="684"/>
      <c r="HDJ6" s="684"/>
      <c r="HDK6" s="684"/>
      <c r="HDL6" s="684"/>
      <c r="HDM6" s="684"/>
      <c r="HDN6" s="684"/>
      <c r="HDO6" s="684"/>
      <c r="HDP6" s="684"/>
      <c r="HDQ6" s="684"/>
      <c r="HDR6" s="684"/>
      <c r="HDS6" s="684"/>
      <c r="HDT6" s="684"/>
      <c r="HDU6" s="684"/>
      <c r="HDV6" s="684"/>
      <c r="HDW6" s="684"/>
      <c r="HDX6" s="684"/>
      <c r="HDY6" s="684"/>
      <c r="HDZ6" s="684"/>
      <c r="HEA6" s="684"/>
      <c r="HEB6" s="684"/>
      <c r="HEC6" s="684"/>
      <c r="HED6" s="684"/>
      <c r="HEE6" s="684"/>
      <c r="HEF6" s="684"/>
      <c r="HEG6" s="684"/>
      <c r="HEH6" s="684"/>
      <c r="HEI6" s="684"/>
      <c r="HEJ6" s="684"/>
      <c r="HEK6" s="684"/>
      <c r="HEL6" s="684"/>
      <c r="HEM6" s="684"/>
      <c r="HEN6" s="684"/>
      <c r="HEO6" s="684"/>
      <c r="HEP6" s="684"/>
      <c r="HEQ6" s="684"/>
      <c r="HER6" s="684"/>
      <c r="HES6" s="684"/>
      <c r="HET6" s="684"/>
      <c r="HEU6" s="684"/>
      <c r="HEV6" s="684"/>
      <c r="HEW6" s="684"/>
      <c r="HEX6" s="684"/>
      <c r="HEY6" s="684"/>
      <c r="HEZ6" s="684"/>
      <c r="HFA6" s="684"/>
      <c r="HFB6" s="684"/>
      <c r="HFC6" s="684"/>
      <c r="HFD6" s="684"/>
      <c r="HFE6" s="684"/>
      <c r="HFF6" s="684"/>
      <c r="HFG6" s="684"/>
      <c r="HFH6" s="684"/>
      <c r="HFI6" s="684"/>
      <c r="HFJ6" s="684"/>
      <c r="HFK6" s="684"/>
      <c r="HFL6" s="684"/>
      <c r="HFM6" s="684"/>
      <c r="HFN6" s="684"/>
      <c r="HFO6" s="684"/>
      <c r="HFP6" s="684"/>
      <c r="HFQ6" s="684"/>
      <c r="HFR6" s="684"/>
      <c r="HFS6" s="684"/>
      <c r="HFT6" s="684"/>
      <c r="HFU6" s="684"/>
      <c r="HFV6" s="684"/>
      <c r="HFW6" s="684"/>
      <c r="HFX6" s="684"/>
      <c r="HFY6" s="684"/>
      <c r="HFZ6" s="684"/>
      <c r="HGA6" s="684"/>
      <c r="HGB6" s="684"/>
      <c r="HGC6" s="684"/>
      <c r="HGD6" s="684"/>
      <c r="HGE6" s="684"/>
      <c r="HGF6" s="684"/>
      <c r="HGG6" s="684"/>
      <c r="HGH6" s="684"/>
      <c r="HGI6" s="684"/>
      <c r="HGJ6" s="684"/>
      <c r="HGK6" s="684"/>
      <c r="HGL6" s="684"/>
      <c r="HGM6" s="684"/>
      <c r="HGN6" s="684"/>
      <c r="HGO6" s="684"/>
      <c r="HGP6" s="684"/>
      <c r="HGQ6" s="684"/>
      <c r="HGR6" s="684"/>
      <c r="HGS6" s="684"/>
      <c r="HGT6" s="684"/>
      <c r="HGU6" s="684"/>
      <c r="HGV6" s="684"/>
      <c r="HGW6" s="684"/>
      <c r="HGX6" s="684"/>
      <c r="HGY6" s="684"/>
      <c r="HGZ6" s="684"/>
      <c r="HHA6" s="684"/>
      <c r="HHB6" s="684"/>
      <c r="HHC6" s="684"/>
      <c r="HHD6" s="684"/>
      <c r="HHE6" s="684"/>
      <c r="HHF6" s="684"/>
      <c r="HHG6" s="684"/>
      <c r="HHH6" s="684"/>
      <c r="HHI6" s="684"/>
      <c r="HHJ6" s="684"/>
      <c r="HHK6" s="684"/>
      <c r="HHL6" s="684"/>
      <c r="HHM6" s="684"/>
      <c r="HHN6" s="684"/>
      <c r="HHO6" s="684"/>
      <c r="HHP6" s="684"/>
      <c r="HHQ6" s="684"/>
      <c r="HHR6" s="684"/>
      <c r="HHS6" s="684"/>
      <c r="HHT6" s="684"/>
      <c r="HHU6" s="684"/>
      <c r="HHV6" s="684"/>
      <c r="HHW6" s="684"/>
      <c r="HHX6" s="684"/>
      <c r="HHY6" s="684"/>
      <c r="HHZ6" s="684"/>
      <c r="HIA6" s="684"/>
      <c r="HIB6" s="684"/>
      <c r="HIC6" s="684"/>
      <c r="HID6" s="684"/>
      <c r="HIE6" s="684"/>
      <c r="HIF6" s="684"/>
      <c r="HIG6" s="684"/>
      <c r="HIH6" s="684"/>
      <c r="HII6" s="684"/>
      <c r="HIJ6" s="684"/>
      <c r="HIK6" s="684"/>
      <c r="HIL6" s="684"/>
      <c r="HIM6" s="684"/>
      <c r="HIN6" s="684"/>
      <c r="HIO6" s="684"/>
      <c r="HIP6" s="684"/>
      <c r="HIQ6" s="684"/>
      <c r="HIR6" s="684"/>
      <c r="HIS6" s="684"/>
      <c r="HIT6" s="684"/>
      <c r="HIU6" s="684"/>
      <c r="HIV6" s="684"/>
      <c r="HIW6" s="684"/>
      <c r="HIX6" s="684"/>
      <c r="HIY6" s="684"/>
      <c r="HIZ6" s="684"/>
      <c r="HJA6" s="684"/>
      <c r="HJB6" s="684"/>
      <c r="HJC6" s="684"/>
      <c r="HJD6" s="684"/>
      <c r="HJE6" s="684"/>
      <c r="HJF6" s="684"/>
      <c r="HJG6" s="684"/>
      <c r="HJH6" s="684"/>
      <c r="HJI6" s="684"/>
      <c r="HJJ6" s="684"/>
      <c r="HJK6" s="684"/>
      <c r="HJL6" s="684"/>
      <c r="HJM6" s="684"/>
      <c r="HJN6" s="684"/>
      <c r="HJO6" s="684"/>
      <c r="HJP6" s="684"/>
      <c r="HJQ6" s="684"/>
      <c r="HJR6" s="684"/>
      <c r="HJS6" s="684"/>
      <c r="HJT6" s="684"/>
      <c r="HJU6" s="684"/>
      <c r="HJV6" s="684"/>
      <c r="HJW6" s="684"/>
      <c r="HJX6" s="684"/>
      <c r="HJY6" s="684"/>
      <c r="HJZ6" s="684"/>
      <c r="HKA6" s="684"/>
      <c r="HKB6" s="684"/>
      <c r="HKC6" s="684"/>
      <c r="HKD6" s="684"/>
      <c r="HKE6" s="684"/>
      <c r="HKF6" s="684"/>
      <c r="HKG6" s="684"/>
      <c r="HKH6" s="684"/>
      <c r="HKI6" s="684"/>
      <c r="HKJ6" s="684"/>
      <c r="HKK6" s="684"/>
      <c r="HKL6" s="684"/>
      <c r="HKM6" s="684"/>
      <c r="HKN6" s="684"/>
      <c r="HKO6" s="684"/>
      <c r="HKP6" s="684"/>
      <c r="HKQ6" s="684"/>
      <c r="HKR6" s="684"/>
      <c r="HKS6" s="684"/>
      <c r="HKT6" s="684"/>
      <c r="HKU6" s="684"/>
      <c r="HKV6" s="684"/>
      <c r="HKW6" s="684"/>
      <c r="HKX6" s="684"/>
      <c r="HKY6" s="684"/>
      <c r="HKZ6" s="684"/>
      <c r="HLA6" s="684"/>
      <c r="HLB6" s="684"/>
      <c r="HLC6" s="684"/>
      <c r="HLD6" s="684"/>
      <c r="HLE6" s="684"/>
      <c r="HLF6" s="684"/>
      <c r="HLG6" s="684"/>
      <c r="HLH6" s="684"/>
      <c r="HLI6" s="684"/>
      <c r="HLJ6" s="684"/>
      <c r="HLK6" s="684"/>
      <c r="HLL6" s="684"/>
      <c r="HLM6" s="684"/>
      <c r="HLN6" s="684"/>
      <c r="HLO6" s="684"/>
      <c r="HLP6" s="684"/>
      <c r="HLQ6" s="684"/>
      <c r="HLR6" s="684"/>
      <c r="HLS6" s="684"/>
      <c r="HLT6" s="684"/>
      <c r="HLU6" s="684"/>
      <c r="HLV6" s="684"/>
      <c r="HLW6" s="684"/>
      <c r="HLX6" s="684"/>
      <c r="HLY6" s="684"/>
      <c r="HLZ6" s="684"/>
      <c r="HMA6" s="684"/>
      <c r="HMB6" s="684"/>
      <c r="HMC6" s="684"/>
      <c r="HMD6" s="684"/>
      <c r="HME6" s="684"/>
      <c r="HMF6" s="684"/>
      <c r="HMG6" s="684"/>
      <c r="HMH6" s="684"/>
      <c r="HMI6" s="684"/>
      <c r="HMJ6" s="684"/>
      <c r="HMK6" s="684"/>
      <c r="HML6" s="684"/>
      <c r="HMM6" s="684"/>
      <c r="HMN6" s="684"/>
      <c r="HMO6" s="684"/>
      <c r="HMP6" s="684"/>
      <c r="HMQ6" s="684"/>
      <c r="HMR6" s="684"/>
      <c r="HMS6" s="684"/>
      <c r="HMT6" s="684"/>
      <c r="HMU6" s="684"/>
      <c r="HMV6" s="684"/>
      <c r="HMW6" s="684"/>
      <c r="HMX6" s="684"/>
      <c r="HMY6" s="684"/>
      <c r="HMZ6" s="684"/>
      <c r="HNA6" s="684"/>
      <c r="HNB6" s="684"/>
      <c r="HNC6" s="684"/>
      <c r="HND6" s="684"/>
      <c r="HNE6" s="684"/>
      <c r="HNF6" s="684"/>
      <c r="HNG6" s="684"/>
      <c r="HNH6" s="684"/>
      <c r="HNI6" s="684"/>
      <c r="HNJ6" s="684"/>
      <c r="HNK6" s="684"/>
      <c r="HNL6" s="684"/>
      <c r="HNM6" s="684"/>
      <c r="HNN6" s="684"/>
      <c r="HNO6" s="684"/>
      <c r="HNP6" s="684"/>
      <c r="HNQ6" s="684"/>
      <c r="HNR6" s="684"/>
      <c r="HNS6" s="684"/>
      <c r="HNT6" s="684"/>
      <c r="HNU6" s="684"/>
      <c r="HNV6" s="684"/>
      <c r="HNW6" s="684"/>
      <c r="HNX6" s="684"/>
      <c r="HNY6" s="684"/>
      <c r="HNZ6" s="684"/>
      <c r="HOA6" s="684"/>
      <c r="HOB6" s="684"/>
      <c r="HOC6" s="684"/>
      <c r="HOD6" s="684"/>
      <c r="HOE6" s="684"/>
      <c r="HOF6" s="684"/>
      <c r="HOG6" s="684"/>
      <c r="HOH6" s="684"/>
      <c r="HOI6" s="684"/>
      <c r="HOJ6" s="684"/>
      <c r="HOK6" s="684"/>
      <c r="HOL6" s="684"/>
      <c r="HOM6" s="684"/>
      <c r="HON6" s="684"/>
      <c r="HOO6" s="684"/>
      <c r="HOP6" s="684"/>
      <c r="HOQ6" s="684"/>
      <c r="HOR6" s="684"/>
      <c r="HOS6" s="684"/>
      <c r="HOT6" s="684"/>
      <c r="HOU6" s="684"/>
      <c r="HOV6" s="684"/>
      <c r="HOW6" s="684"/>
      <c r="HOX6" s="684"/>
      <c r="HOY6" s="684"/>
      <c r="HOZ6" s="684"/>
      <c r="HPA6" s="684"/>
      <c r="HPB6" s="684"/>
      <c r="HPC6" s="684"/>
      <c r="HPD6" s="684"/>
      <c r="HPE6" s="684"/>
      <c r="HPF6" s="684"/>
      <c r="HPG6" s="684"/>
      <c r="HPH6" s="684"/>
      <c r="HPI6" s="684"/>
      <c r="HPJ6" s="684"/>
      <c r="HPK6" s="684"/>
      <c r="HPL6" s="684"/>
      <c r="HPM6" s="684"/>
      <c r="HPN6" s="684"/>
      <c r="HPO6" s="684"/>
      <c r="HPP6" s="684"/>
      <c r="HPQ6" s="684"/>
      <c r="HPR6" s="684"/>
      <c r="HPS6" s="684"/>
      <c r="HPT6" s="684"/>
      <c r="HPU6" s="684"/>
      <c r="HPV6" s="684"/>
      <c r="HPW6" s="684"/>
      <c r="HPX6" s="684"/>
      <c r="HPY6" s="684"/>
      <c r="HPZ6" s="684"/>
      <c r="HQA6" s="684"/>
      <c r="HQB6" s="684"/>
      <c r="HQC6" s="684"/>
      <c r="HQD6" s="684"/>
      <c r="HQE6" s="684"/>
      <c r="HQF6" s="684"/>
      <c r="HQG6" s="684"/>
      <c r="HQH6" s="684"/>
      <c r="HQI6" s="684"/>
      <c r="HQJ6" s="684"/>
      <c r="HQK6" s="684"/>
      <c r="HQL6" s="684"/>
      <c r="HQM6" s="684"/>
      <c r="HQN6" s="684"/>
      <c r="HQO6" s="684"/>
      <c r="HQP6" s="684"/>
      <c r="HQQ6" s="684"/>
      <c r="HQR6" s="684"/>
      <c r="HQS6" s="684"/>
      <c r="HQT6" s="684"/>
      <c r="HQU6" s="684"/>
      <c r="HQV6" s="684"/>
      <c r="HQW6" s="684"/>
      <c r="HQX6" s="684"/>
      <c r="HQY6" s="684"/>
      <c r="HQZ6" s="684"/>
      <c r="HRA6" s="684"/>
      <c r="HRB6" s="684"/>
      <c r="HRC6" s="684"/>
      <c r="HRD6" s="684"/>
      <c r="HRE6" s="684"/>
      <c r="HRF6" s="684"/>
      <c r="HRG6" s="684"/>
      <c r="HRH6" s="684"/>
      <c r="HRI6" s="684"/>
      <c r="HRJ6" s="684"/>
      <c r="HRK6" s="684"/>
      <c r="HRL6" s="684"/>
      <c r="HRM6" s="684"/>
      <c r="HRN6" s="684"/>
      <c r="HRO6" s="684"/>
      <c r="HRP6" s="684"/>
      <c r="HRQ6" s="684"/>
      <c r="HRR6" s="684"/>
      <c r="HRS6" s="684"/>
      <c r="HRT6" s="684"/>
      <c r="HRU6" s="684"/>
      <c r="HRV6" s="684"/>
      <c r="HRW6" s="684"/>
      <c r="HRX6" s="684"/>
      <c r="HRY6" s="684"/>
      <c r="HRZ6" s="684"/>
      <c r="HSA6" s="684"/>
      <c r="HSB6" s="684"/>
      <c r="HSC6" s="684"/>
      <c r="HSD6" s="684"/>
      <c r="HSE6" s="684"/>
      <c r="HSF6" s="684"/>
      <c r="HSG6" s="684"/>
      <c r="HSH6" s="684"/>
      <c r="HSI6" s="684"/>
      <c r="HSJ6" s="684"/>
      <c r="HSK6" s="684"/>
      <c r="HSL6" s="684"/>
      <c r="HSM6" s="684"/>
      <c r="HSN6" s="684"/>
      <c r="HSO6" s="684"/>
      <c r="HSP6" s="684"/>
      <c r="HSQ6" s="684"/>
      <c r="HSR6" s="684"/>
      <c r="HSS6" s="684"/>
      <c r="HST6" s="684"/>
      <c r="HSU6" s="684"/>
      <c r="HSV6" s="684"/>
      <c r="HSW6" s="684"/>
      <c r="HSX6" s="684"/>
      <c r="HSY6" s="684"/>
      <c r="HSZ6" s="684"/>
      <c r="HTA6" s="684"/>
      <c r="HTB6" s="684"/>
      <c r="HTC6" s="684"/>
      <c r="HTD6" s="684"/>
      <c r="HTE6" s="684"/>
      <c r="HTF6" s="684"/>
      <c r="HTG6" s="684"/>
      <c r="HTH6" s="684"/>
      <c r="HTI6" s="684"/>
      <c r="HTJ6" s="684"/>
      <c r="HTK6" s="684"/>
      <c r="HTL6" s="684"/>
      <c r="HTM6" s="684"/>
      <c r="HTN6" s="684"/>
      <c r="HTO6" s="684"/>
      <c r="HTP6" s="684"/>
      <c r="HTQ6" s="684"/>
      <c r="HTR6" s="684"/>
      <c r="HTS6" s="684"/>
      <c r="HTT6" s="684"/>
      <c r="HTU6" s="684"/>
      <c r="HTV6" s="684"/>
      <c r="HTW6" s="684"/>
      <c r="HTX6" s="684"/>
      <c r="HTY6" s="684"/>
      <c r="HTZ6" s="684"/>
      <c r="HUA6" s="684"/>
      <c r="HUB6" s="684"/>
      <c r="HUC6" s="684"/>
      <c r="HUD6" s="684"/>
      <c r="HUE6" s="684"/>
      <c r="HUF6" s="684"/>
      <c r="HUG6" s="684"/>
      <c r="HUH6" s="684"/>
      <c r="HUI6" s="684"/>
      <c r="HUJ6" s="684"/>
      <c r="HUK6" s="684"/>
      <c r="HUL6" s="684"/>
      <c r="HUM6" s="684"/>
      <c r="HUN6" s="684"/>
      <c r="HUO6" s="684"/>
      <c r="HUP6" s="684"/>
      <c r="HUQ6" s="684"/>
      <c r="HUR6" s="684"/>
      <c r="HUS6" s="684"/>
      <c r="HUT6" s="684"/>
      <c r="HUU6" s="684"/>
      <c r="HUV6" s="684"/>
      <c r="HUW6" s="684"/>
      <c r="HUX6" s="684"/>
      <c r="HUY6" s="684"/>
      <c r="HUZ6" s="684"/>
      <c r="HVA6" s="684"/>
      <c r="HVB6" s="684"/>
      <c r="HVC6" s="684"/>
      <c r="HVD6" s="684"/>
      <c r="HVE6" s="684"/>
      <c r="HVF6" s="684"/>
      <c r="HVG6" s="684"/>
      <c r="HVH6" s="684"/>
      <c r="HVI6" s="684"/>
      <c r="HVJ6" s="684"/>
      <c r="HVK6" s="684"/>
      <c r="HVL6" s="684"/>
      <c r="HVM6" s="684"/>
      <c r="HVN6" s="684"/>
      <c r="HVO6" s="684"/>
      <c r="HVP6" s="684"/>
      <c r="HVQ6" s="684"/>
      <c r="HVR6" s="684"/>
      <c r="HVS6" s="684"/>
      <c r="HVT6" s="684"/>
      <c r="HVU6" s="684"/>
      <c r="HVV6" s="684"/>
      <c r="HVW6" s="684"/>
      <c r="HVX6" s="684"/>
      <c r="HVY6" s="684"/>
      <c r="HVZ6" s="684"/>
      <c r="HWA6" s="684"/>
      <c r="HWB6" s="684"/>
      <c r="HWC6" s="684"/>
      <c r="HWD6" s="684"/>
      <c r="HWE6" s="684"/>
      <c r="HWF6" s="684"/>
      <c r="HWG6" s="684"/>
      <c r="HWH6" s="684"/>
      <c r="HWI6" s="684"/>
      <c r="HWJ6" s="684"/>
      <c r="HWK6" s="684"/>
      <c r="HWL6" s="684"/>
      <c r="HWM6" s="684"/>
      <c r="HWN6" s="684"/>
      <c r="HWO6" s="684"/>
      <c r="HWP6" s="684"/>
      <c r="HWQ6" s="684"/>
      <c r="HWR6" s="684"/>
      <c r="HWS6" s="684"/>
      <c r="HWT6" s="684"/>
      <c r="HWU6" s="684"/>
      <c r="HWV6" s="684"/>
      <c r="HWW6" s="684"/>
      <c r="HWX6" s="684"/>
      <c r="HWY6" s="684"/>
      <c r="HWZ6" s="684"/>
      <c r="HXA6" s="684"/>
      <c r="HXB6" s="684"/>
      <c r="HXC6" s="684"/>
      <c r="HXD6" s="684"/>
      <c r="HXE6" s="684"/>
      <c r="HXF6" s="684"/>
      <c r="HXG6" s="684"/>
      <c r="HXH6" s="684"/>
      <c r="HXI6" s="684"/>
      <c r="HXJ6" s="684"/>
      <c r="HXK6" s="684"/>
      <c r="HXL6" s="684"/>
      <c r="HXM6" s="684"/>
      <c r="HXN6" s="684"/>
      <c r="HXO6" s="684"/>
      <c r="HXP6" s="684"/>
      <c r="HXQ6" s="684"/>
      <c r="HXR6" s="684"/>
      <c r="HXS6" s="684"/>
      <c r="HXT6" s="684"/>
      <c r="HXU6" s="684"/>
      <c r="HXV6" s="684"/>
      <c r="HXW6" s="684"/>
      <c r="HXX6" s="684"/>
      <c r="HXY6" s="684"/>
      <c r="HXZ6" s="684"/>
      <c r="HYA6" s="684"/>
      <c r="HYB6" s="684"/>
      <c r="HYC6" s="684"/>
      <c r="HYD6" s="684"/>
      <c r="HYE6" s="684"/>
      <c r="HYF6" s="684"/>
      <c r="HYG6" s="684"/>
      <c r="HYH6" s="684"/>
      <c r="HYI6" s="684"/>
      <c r="HYJ6" s="684"/>
      <c r="HYK6" s="684"/>
      <c r="HYL6" s="684"/>
      <c r="HYM6" s="684"/>
      <c r="HYN6" s="684"/>
      <c r="HYO6" s="684"/>
      <c r="HYP6" s="684"/>
      <c r="HYQ6" s="684"/>
      <c r="HYR6" s="684"/>
      <c r="HYS6" s="684"/>
      <c r="HYT6" s="684"/>
      <c r="HYU6" s="684"/>
      <c r="HYV6" s="684"/>
      <c r="HYW6" s="684"/>
      <c r="HYX6" s="684"/>
      <c r="HYY6" s="684"/>
      <c r="HYZ6" s="684"/>
      <c r="HZA6" s="684"/>
      <c r="HZB6" s="684"/>
      <c r="HZC6" s="684"/>
      <c r="HZD6" s="684"/>
      <c r="HZE6" s="684"/>
      <c r="HZF6" s="684"/>
      <c r="HZG6" s="684"/>
      <c r="HZH6" s="684"/>
      <c r="HZI6" s="684"/>
      <c r="HZJ6" s="684"/>
      <c r="HZK6" s="684"/>
      <c r="HZL6" s="684"/>
      <c r="HZM6" s="684"/>
      <c r="HZN6" s="684"/>
      <c r="HZO6" s="684"/>
      <c r="HZP6" s="684"/>
      <c r="HZQ6" s="684"/>
      <c r="HZR6" s="684"/>
      <c r="HZS6" s="684"/>
      <c r="HZT6" s="684"/>
      <c r="HZU6" s="684"/>
      <c r="HZV6" s="684"/>
      <c r="HZW6" s="684"/>
      <c r="HZX6" s="684"/>
      <c r="HZY6" s="684"/>
      <c r="HZZ6" s="684"/>
      <c r="IAA6" s="684"/>
      <c r="IAB6" s="684"/>
      <c r="IAC6" s="684"/>
      <c r="IAD6" s="684"/>
      <c r="IAE6" s="684"/>
      <c r="IAF6" s="684"/>
      <c r="IAG6" s="684"/>
      <c r="IAH6" s="684"/>
      <c r="IAI6" s="684"/>
      <c r="IAJ6" s="684"/>
      <c r="IAK6" s="684"/>
      <c r="IAL6" s="684"/>
      <c r="IAM6" s="684"/>
      <c r="IAN6" s="684"/>
      <c r="IAO6" s="684"/>
      <c r="IAP6" s="684"/>
      <c r="IAQ6" s="684"/>
      <c r="IAR6" s="684"/>
      <c r="IAS6" s="684"/>
      <c r="IAT6" s="684"/>
      <c r="IAU6" s="684"/>
      <c r="IAV6" s="684"/>
      <c r="IAW6" s="684"/>
      <c r="IAX6" s="684"/>
      <c r="IAY6" s="684"/>
      <c r="IAZ6" s="684"/>
      <c r="IBA6" s="684"/>
      <c r="IBB6" s="684"/>
      <c r="IBC6" s="684"/>
      <c r="IBD6" s="684"/>
      <c r="IBE6" s="684"/>
      <c r="IBF6" s="684"/>
      <c r="IBG6" s="684"/>
      <c r="IBH6" s="684"/>
      <c r="IBI6" s="684"/>
      <c r="IBJ6" s="684"/>
      <c r="IBK6" s="684"/>
      <c r="IBL6" s="684"/>
      <c r="IBM6" s="684"/>
      <c r="IBN6" s="684"/>
      <c r="IBO6" s="684"/>
      <c r="IBP6" s="684"/>
      <c r="IBQ6" s="684"/>
      <c r="IBR6" s="684"/>
      <c r="IBS6" s="684"/>
      <c r="IBT6" s="684"/>
      <c r="IBU6" s="684"/>
      <c r="IBV6" s="684"/>
      <c r="IBW6" s="684"/>
      <c r="IBX6" s="684"/>
      <c r="IBY6" s="684"/>
      <c r="IBZ6" s="684"/>
      <c r="ICA6" s="684"/>
      <c r="ICB6" s="684"/>
      <c r="ICC6" s="684"/>
      <c r="ICD6" s="684"/>
      <c r="ICE6" s="684"/>
      <c r="ICF6" s="684"/>
      <c r="ICG6" s="684"/>
      <c r="ICH6" s="684"/>
      <c r="ICI6" s="684"/>
      <c r="ICJ6" s="684"/>
      <c r="ICK6" s="684"/>
      <c r="ICL6" s="684"/>
      <c r="ICM6" s="684"/>
      <c r="ICN6" s="684"/>
      <c r="ICO6" s="684"/>
      <c r="ICP6" s="684"/>
      <c r="ICQ6" s="684"/>
      <c r="ICR6" s="684"/>
      <c r="ICS6" s="684"/>
      <c r="ICT6" s="684"/>
      <c r="ICU6" s="684"/>
      <c r="ICV6" s="684"/>
      <c r="ICW6" s="684"/>
      <c r="ICX6" s="684"/>
      <c r="ICY6" s="684"/>
      <c r="ICZ6" s="684"/>
      <c r="IDA6" s="684"/>
      <c r="IDB6" s="684"/>
      <c r="IDC6" s="684"/>
      <c r="IDD6" s="684"/>
      <c r="IDE6" s="684"/>
      <c r="IDF6" s="684"/>
      <c r="IDG6" s="684"/>
      <c r="IDH6" s="684"/>
      <c r="IDI6" s="684"/>
      <c r="IDJ6" s="684"/>
      <c r="IDK6" s="684"/>
      <c r="IDL6" s="684"/>
      <c r="IDM6" s="684"/>
      <c r="IDN6" s="684"/>
      <c r="IDO6" s="684"/>
      <c r="IDP6" s="684"/>
      <c r="IDQ6" s="684"/>
      <c r="IDR6" s="684"/>
      <c r="IDS6" s="684"/>
      <c r="IDT6" s="684"/>
      <c r="IDU6" s="684"/>
      <c r="IDV6" s="684"/>
      <c r="IDW6" s="684"/>
      <c r="IDX6" s="684"/>
      <c r="IDY6" s="684"/>
      <c r="IDZ6" s="684"/>
      <c r="IEA6" s="684"/>
      <c r="IEB6" s="684"/>
      <c r="IEC6" s="684"/>
      <c r="IED6" s="684"/>
      <c r="IEE6" s="684"/>
      <c r="IEF6" s="684"/>
      <c r="IEG6" s="684"/>
      <c r="IEH6" s="684"/>
      <c r="IEI6" s="684"/>
      <c r="IEJ6" s="684"/>
      <c r="IEK6" s="684"/>
      <c r="IEL6" s="684"/>
      <c r="IEM6" s="684"/>
      <c r="IEN6" s="684"/>
      <c r="IEO6" s="684"/>
      <c r="IEP6" s="684"/>
      <c r="IEQ6" s="684"/>
      <c r="IER6" s="684"/>
      <c r="IES6" s="684"/>
      <c r="IET6" s="684"/>
      <c r="IEU6" s="684"/>
      <c r="IEV6" s="684"/>
      <c r="IEW6" s="684"/>
      <c r="IEX6" s="684"/>
      <c r="IEY6" s="684"/>
      <c r="IEZ6" s="684"/>
      <c r="IFA6" s="684"/>
      <c r="IFB6" s="684"/>
      <c r="IFC6" s="684"/>
      <c r="IFD6" s="684"/>
      <c r="IFE6" s="684"/>
      <c r="IFF6" s="684"/>
      <c r="IFG6" s="684"/>
      <c r="IFH6" s="684"/>
      <c r="IFI6" s="684"/>
      <c r="IFJ6" s="684"/>
      <c r="IFK6" s="684"/>
      <c r="IFL6" s="684"/>
      <c r="IFM6" s="684"/>
      <c r="IFN6" s="684"/>
      <c r="IFO6" s="684"/>
      <c r="IFP6" s="684"/>
      <c r="IFQ6" s="684"/>
      <c r="IFR6" s="684"/>
      <c r="IFS6" s="684"/>
      <c r="IFT6" s="684"/>
      <c r="IFU6" s="684"/>
      <c r="IFV6" s="684"/>
      <c r="IFW6" s="684"/>
      <c r="IFX6" s="684"/>
      <c r="IFY6" s="684"/>
      <c r="IFZ6" s="684"/>
      <c r="IGA6" s="684"/>
      <c r="IGB6" s="684"/>
      <c r="IGC6" s="684"/>
      <c r="IGD6" s="684"/>
      <c r="IGE6" s="684"/>
      <c r="IGF6" s="684"/>
      <c r="IGG6" s="684"/>
      <c r="IGH6" s="684"/>
      <c r="IGI6" s="684"/>
      <c r="IGJ6" s="684"/>
      <c r="IGK6" s="684"/>
      <c r="IGL6" s="684"/>
      <c r="IGM6" s="684"/>
      <c r="IGN6" s="684"/>
      <c r="IGO6" s="684"/>
      <c r="IGP6" s="684"/>
      <c r="IGQ6" s="684"/>
      <c r="IGR6" s="684"/>
      <c r="IGS6" s="684"/>
      <c r="IGT6" s="684"/>
      <c r="IGU6" s="684"/>
      <c r="IGV6" s="684"/>
      <c r="IGW6" s="684"/>
      <c r="IGX6" s="684"/>
      <c r="IGY6" s="684"/>
      <c r="IGZ6" s="684"/>
      <c r="IHA6" s="684"/>
      <c r="IHB6" s="684"/>
      <c r="IHC6" s="684"/>
      <c r="IHD6" s="684"/>
      <c r="IHE6" s="684"/>
      <c r="IHF6" s="684"/>
      <c r="IHG6" s="684"/>
      <c r="IHH6" s="684"/>
      <c r="IHI6" s="684"/>
      <c r="IHJ6" s="684"/>
      <c r="IHK6" s="684"/>
      <c r="IHL6" s="684"/>
      <c r="IHM6" s="684"/>
      <c r="IHN6" s="684"/>
      <c r="IHO6" s="684"/>
      <c r="IHP6" s="684"/>
      <c r="IHQ6" s="684"/>
      <c r="IHR6" s="684"/>
      <c r="IHS6" s="684"/>
      <c r="IHT6" s="684"/>
      <c r="IHU6" s="684"/>
      <c r="IHV6" s="684"/>
      <c r="IHW6" s="684"/>
      <c r="IHX6" s="684"/>
      <c r="IHY6" s="684"/>
      <c r="IHZ6" s="684"/>
      <c r="IIA6" s="684"/>
      <c r="IIB6" s="684"/>
      <c r="IIC6" s="684"/>
      <c r="IID6" s="684"/>
      <c r="IIE6" s="684"/>
      <c r="IIF6" s="684"/>
      <c r="IIG6" s="684"/>
      <c r="IIH6" s="684"/>
      <c r="III6" s="684"/>
      <c r="IIJ6" s="684"/>
      <c r="IIK6" s="684"/>
      <c r="IIL6" s="684"/>
      <c r="IIM6" s="684"/>
      <c r="IIN6" s="684"/>
      <c r="IIO6" s="684"/>
      <c r="IIP6" s="684"/>
      <c r="IIQ6" s="684"/>
      <c r="IIR6" s="684"/>
      <c r="IIS6" s="684"/>
      <c r="IIT6" s="684"/>
      <c r="IIU6" s="684"/>
      <c r="IIV6" s="684"/>
      <c r="IIW6" s="684"/>
      <c r="IIX6" s="684"/>
      <c r="IIY6" s="684"/>
      <c r="IIZ6" s="684"/>
      <c r="IJA6" s="684"/>
      <c r="IJB6" s="684"/>
      <c r="IJC6" s="684"/>
      <c r="IJD6" s="684"/>
      <c r="IJE6" s="684"/>
      <c r="IJF6" s="684"/>
      <c r="IJG6" s="684"/>
      <c r="IJH6" s="684"/>
      <c r="IJI6" s="684"/>
      <c r="IJJ6" s="684"/>
      <c r="IJK6" s="684"/>
      <c r="IJL6" s="684"/>
      <c r="IJM6" s="684"/>
      <c r="IJN6" s="684"/>
      <c r="IJO6" s="684"/>
      <c r="IJP6" s="684"/>
      <c r="IJQ6" s="684"/>
      <c r="IJR6" s="684"/>
      <c r="IJS6" s="684"/>
      <c r="IJT6" s="684"/>
      <c r="IJU6" s="684"/>
      <c r="IJV6" s="684"/>
      <c r="IJW6" s="684"/>
      <c r="IJX6" s="684"/>
      <c r="IJY6" s="684"/>
      <c r="IJZ6" s="684"/>
      <c r="IKA6" s="684"/>
      <c r="IKB6" s="684"/>
      <c r="IKC6" s="684"/>
      <c r="IKD6" s="684"/>
      <c r="IKE6" s="684"/>
      <c r="IKF6" s="684"/>
      <c r="IKG6" s="684"/>
      <c r="IKH6" s="684"/>
      <c r="IKI6" s="684"/>
      <c r="IKJ6" s="684"/>
      <c r="IKK6" s="684"/>
      <c r="IKL6" s="684"/>
      <c r="IKM6" s="684"/>
      <c r="IKN6" s="684"/>
      <c r="IKO6" s="684"/>
      <c r="IKP6" s="684"/>
      <c r="IKQ6" s="684"/>
      <c r="IKR6" s="684"/>
      <c r="IKS6" s="684"/>
      <c r="IKT6" s="684"/>
      <c r="IKU6" s="684"/>
      <c r="IKV6" s="684"/>
      <c r="IKW6" s="684"/>
      <c r="IKX6" s="684"/>
      <c r="IKY6" s="684"/>
      <c r="IKZ6" s="684"/>
      <c r="ILA6" s="684"/>
      <c r="ILB6" s="684"/>
      <c r="ILC6" s="684"/>
      <c r="ILD6" s="684"/>
      <c r="ILE6" s="684"/>
      <c r="ILF6" s="684"/>
      <c r="ILG6" s="684"/>
      <c r="ILH6" s="684"/>
      <c r="ILI6" s="684"/>
      <c r="ILJ6" s="684"/>
      <c r="ILK6" s="684"/>
      <c r="ILL6" s="684"/>
      <c r="ILM6" s="684"/>
      <c r="ILN6" s="684"/>
      <c r="ILO6" s="684"/>
      <c r="ILP6" s="684"/>
      <c r="ILQ6" s="684"/>
      <c r="ILR6" s="684"/>
      <c r="ILS6" s="684"/>
      <c r="ILT6" s="684"/>
      <c r="ILU6" s="684"/>
      <c r="ILV6" s="684"/>
      <c r="ILW6" s="684"/>
      <c r="ILX6" s="684"/>
      <c r="ILY6" s="684"/>
      <c r="ILZ6" s="684"/>
      <c r="IMA6" s="684"/>
      <c r="IMB6" s="684"/>
      <c r="IMC6" s="684"/>
      <c r="IMD6" s="684"/>
      <c r="IME6" s="684"/>
      <c r="IMF6" s="684"/>
      <c r="IMG6" s="684"/>
      <c r="IMH6" s="684"/>
      <c r="IMI6" s="684"/>
      <c r="IMJ6" s="684"/>
      <c r="IMK6" s="684"/>
      <c r="IML6" s="684"/>
      <c r="IMM6" s="684"/>
      <c r="IMN6" s="684"/>
      <c r="IMO6" s="684"/>
      <c r="IMP6" s="684"/>
      <c r="IMQ6" s="684"/>
      <c r="IMR6" s="684"/>
      <c r="IMS6" s="684"/>
      <c r="IMT6" s="684"/>
      <c r="IMU6" s="684"/>
      <c r="IMV6" s="684"/>
      <c r="IMW6" s="684"/>
      <c r="IMX6" s="684"/>
      <c r="IMY6" s="684"/>
      <c r="IMZ6" s="684"/>
      <c r="INA6" s="684"/>
      <c r="INB6" s="684"/>
      <c r="INC6" s="684"/>
      <c r="IND6" s="684"/>
      <c r="INE6" s="684"/>
      <c r="INF6" s="684"/>
      <c r="ING6" s="684"/>
      <c r="INH6" s="684"/>
      <c r="INI6" s="684"/>
      <c r="INJ6" s="684"/>
      <c r="INK6" s="684"/>
      <c r="INL6" s="684"/>
      <c r="INM6" s="684"/>
      <c r="INN6" s="684"/>
      <c r="INO6" s="684"/>
      <c r="INP6" s="684"/>
      <c r="INQ6" s="684"/>
      <c r="INR6" s="684"/>
      <c r="INS6" s="684"/>
      <c r="INT6" s="684"/>
      <c r="INU6" s="684"/>
      <c r="INV6" s="684"/>
      <c r="INW6" s="684"/>
      <c r="INX6" s="684"/>
      <c r="INY6" s="684"/>
      <c r="INZ6" s="684"/>
      <c r="IOA6" s="684"/>
      <c r="IOB6" s="684"/>
      <c r="IOC6" s="684"/>
      <c r="IOD6" s="684"/>
      <c r="IOE6" s="684"/>
      <c r="IOF6" s="684"/>
      <c r="IOG6" s="684"/>
      <c r="IOH6" s="684"/>
      <c r="IOI6" s="684"/>
      <c r="IOJ6" s="684"/>
      <c r="IOK6" s="684"/>
      <c r="IOL6" s="684"/>
      <c r="IOM6" s="684"/>
      <c r="ION6" s="684"/>
      <c r="IOO6" s="684"/>
      <c r="IOP6" s="684"/>
      <c r="IOQ6" s="684"/>
      <c r="IOR6" s="684"/>
      <c r="IOS6" s="684"/>
      <c r="IOT6" s="684"/>
      <c r="IOU6" s="684"/>
      <c r="IOV6" s="684"/>
      <c r="IOW6" s="684"/>
      <c r="IOX6" s="684"/>
      <c r="IOY6" s="684"/>
      <c r="IOZ6" s="684"/>
      <c r="IPA6" s="684"/>
      <c r="IPB6" s="684"/>
      <c r="IPC6" s="684"/>
      <c r="IPD6" s="684"/>
      <c r="IPE6" s="684"/>
      <c r="IPF6" s="684"/>
      <c r="IPG6" s="684"/>
      <c r="IPH6" s="684"/>
      <c r="IPI6" s="684"/>
      <c r="IPJ6" s="684"/>
      <c r="IPK6" s="684"/>
      <c r="IPL6" s="684"/>
      <c r="IPM6" s="684"/>
      <c r="IPN6" s="684"/>
      <c r="IPO6" s="684"/>
      <c r="IPP6" s="684"/>
      <c r="IPQ6" s="684"/>
      <c r="IPR6" s="684"/>
      <c r="IPS6" s="684"/>
      <c r="IPT6" s="684"/>
      <c r="IPU6" s="684"/>
      <c r="IPV6" s="684"/>
      <c r="IPW6" s="684"/>
      <c r="IPX6" s="684"/>
      <c r="IPY6" s="684"/>
      <c r="IPZ6" s="684"/>
      <c r="IQA6" s="684"/>
      <c r="IQB6" s="684"/>
      <c r="IQC6" s="684"/>
      <c r="IQD6" s="684"/>
      <c r="IQE6" s="684"/>
      <c r="IQF6" s="684"/>
      <c r="IQG6" s="684"/>
      <c r="IQH6" s="684"/>
      <c r="IQI6" s="684"/>
      <c r="IQJ6" s="684"/>
      <c r="IQK6" s="684"/>
      <c r="IQL6" s="684"/>
      <c r="IQM6" s="684"/>
      <c r="IQN6" s="684"/>
      <c r="IQO6" s="684"/>
      <c r="IQP6" s="684"/>
      <c r="IQQ6" s="684"/>
      <c r="IQR6" s="684"/>
      <c r="IQS6" s="684"/>
      <c r="IQT6" s="684"/>
      <c r="IQU6" s="684"/>
      <c r="IQV6" s="684"/>
      <c r="IQW6" s="684"/>
      <c r="IQX6" s="684"/>
      <c r="IQY6" s="684"/>
      <c r="IQZ6" s="684"/>
      <c r="IRA6" s="684"/>
      <c r="IRB6" s="684"/>
      <c r="IRC6" s="684"/>
      <c r="IRD6" s="684"/>
      <c r="IRE6" s="684"/>
      <c r="IRF6" s="684"/>
      <c r="IRG6" s="684"/>
      <c r="IRH6" s="684"/>
      <c r="IRI6" s="684"/>
      <c r="IRJ6" s="684"/>
      <c r="IRK6" s="684"/>
      <c r="IRL6" s="684"/>
      <c r="IRM6" s="684"/>
      <c r="IRN6" s="684"/>
      <c r="IRO6" s="684"/>
      <c r="IRP6" s="684"/>
      <c r="IRQ6" s="684"/>
      <c r="IRR6" s="684"/>
      <c r="IRS6" s="684"/>
      <c r="IRT6" s="684"/>
      <c r="IRU6" s="684"/>
      <c r="IRV6" s="684"/>
      <c r="IRW6" s="684"/>
      <c r="IRX6" s="684"/>
      <c r="IRY6" s="684"/>
      <c r="IRZ6" s="684"/>
      <c r="ISA6" s="684"/>
      <c r="ISB6" s="684"/>
      <c r="ISC6" s="684"/>
      <c r="ISD6" s="684"/>
      <c r="ISE6" s="684"/>
      <c r="ISF6" s="684"/>
      <c r="ISG6" s="684"/>
      <c r="ISH6" s="684"/>
      <c r="ISI6" s="684"/>
      <c r="ISJ6" s="684"/>
      <c r="ISK6" s="684"/>
      <c r="ISL6" s="684"/>
      <c r="ISM6" s="684"/>
      <c r="ISN6" s="684"/>
      <c r="ISO6" s="684"/>
      <c r="ISP6" s="684"/>
      <c r="ISQ6" s="684"/>
      <c r="ISR6" s="684"/>
      <c r="ISS6" s="684"/>
      <c r="IST6" s="684"/>
      <c r="ISU6" s="684"/>
      <c r="ISV6" s="684"/>
      <c r="ISW6" s="684"/>
      <c r="ISX6" s="684"/>
      <c r="ISY6" s="684"/>
      <c r="ISZ6" s="684"/>
      <c r="ITA6" s="684"/>
      <c r="ITB6" s="684"/>
      <c r="ITC6" s="684"/>
      <c r="ITD6" s="684"/>
      <c r="ITE6" s="684"/>
      <c r="ITF6" s="684"/>
      <c r="ITG6" s="684"/>
      <c r="ITH6" s="684"/>
      <c r="ITI6" s="684"/>
      <c r="ITJ6" s="684"/>
      <c r="ITK6" s="684"/>
      <c r="ITL6" s="684"/>
      <c r="ITM6" s="684"/>
      <c r="ITN6" s="684"/>
      <c r="ITO6" s="684"/>
      <c r="ITP6" s="684"/>
      <c r="ITQ6" s="684"/>
      <c r="ITR6" s="684"/>
      <c r="ITS6" s="684"/>
      <c r="ITT6" s="684"/>
      <c r="ITU6" s="684"/>
      <c r="ITV6" s="684"/>
      <c r="ITW6" s="684"/>
      <c r="ITX6" s="684"/>
      <c r="ITY6" s="684"/>
      <c r="ITZ6" s="684"/>
      <c r="IUA6" s="684"/>
      <c r="IUB6" s="684"/>
      <c r="IUC6" s="684"/>
      <c r="IUD6" s="684"/>
      <c r="IUE6" s="684"/>
      <c r="IUF6" s="684"/>
      <c r="IUG6" s="684"/>
      <c r="IUH6" s="684"/>
      <c r="IUI6" s="684"/>
      <c r="IUJ6" s="684"/>
      <c r="IUK6" s="684"/>
      <c r="IUL6" s="684"/>
      <c r="IUM6" s="684"/>
      <c r="IUN6" s="684"/>
      <c r="IUO6" s="684"/>
      <c r="IUP6" s="684"/>
      <c r="IUQ6" s="684"/>
      <c r="IUR6" s="684"/>
      <c r="IUS6" s="684"/>
      <c r="IUT6" s="684"/>
      <c r="IUU6" s="684"/>
      <c r="IUV6" s="684"/>
      <c r="IUW6" s="684"/>
      <c r="IUX6" s="684"/>
      <c r="IUY6" s="684"/>
      <c r="IUZ6" s="684"/>
      <c r="IVA6" s="684"/>
      <c r="IVB6" s="684"/>
      <c r="IVC6" s="684"/>
      <c r="IVD6" s="684"/>
      <c r="IVE6" s="684"/>
      <c r="IVF6" s="684"/>
      <c r="IVG6" s="684"/>
      <c r="IVH6" s="684"/>
      <c r="IVI6" s="684"/>
      <c r="IVJ6" s="684"/>
      <c r="IVK6" s="684"/>
      <c r="IVL6" s="684"/>
      <c r="IVM6" s="684"/>
      <c r="IVN6" s="684"/>
      <c r="IVO6" s="684"/>
      <c r="IVP6" s="684"/>
      <c r="IVQ6" s="684"/>
      <c r="IVR6" s="684"/>
      <c r="IVS6" s="684"/>
      <c r="IVT6" s="684"/>
      <c r="IVU6" s="684"/>
      <c r="IVV6" s="684"/>
      <c r="IVW6" s="684"/>
      <c r="IVX6" s="684"/>
      <c r="IVY6" s="684"/>
      <c r="IVZ6" s="684"/>
      <c r="IWA6" s="684"/>
      <c r="IWB6" s="684"/>
      <c r="IWC6" s="684"/>
      <c r="IWD6" s="684"/>
      <c r="IWE6" s="684"/>
      <c r="IWF6" s="684"/>
      <c r="IWG6" s="684"/>
      <c r="IWH6" s="684"/>
      <c r="IWI6" s="684"/>
      <c r="IWJ6" s="684"/>
      <c r="IWK6" s="684"/>
      <c r="IWL6" s="684"/>
      <c r="IWM6" s="684"/>
      <c r="IWN6" s="684"/>
      <c r="IWO6" s="684"/>
      <c r="IWP6" s="684"/>
      <c r="IWQ6" s="684"/>
      <c r="IWR6" s="684"/>
      <c r="IWS6" s="684"/>
      <c r="IWT6" s="684"/>
      <c r="IWU6" s="684"/>
      <c r="IWV6" s="684"/>
      <c r="IWW6" s="684"/>
      <c r="IWX6" s="684"/>
      <c r="IWY6" s="684"/>
      <c r="IWZ6" s="684"/>
      <c r="IXA6" s="684"/>
      <c r="IXB6" s="684"/>
      <c r="IXC6" s="684"/>
      <c r="IXD6" s="684"/>
      <c r="IXE6" s="684"/>
      <c r="IXF6" s="684"/>
      <c r="IXG6" s="684"/>
      <c r="IXH6" s="684"/>
      <c r="IXI6" s="684"/>
      <c r="IXJ6" s="684"/>
      <c r="IXK6" s="684"/>
      <c r="IXL6" s="684"/>
      <c r="IXM6" s="684"/>
      <c r="IXN6" s="684"/>
      <c r="IXO6" s="684"/>
      <c r="IXP6" s="684"/>
      <c r="IXQ6" s="684"/>
      <c r="IXR6" s="684"/>
      <c r="IXS6" s="684"/>
      <c r="IXT6" s="684"/>
      <c r="IXU6" s="684"/>
      <c r="IXV6" s="684"/>
      <c r="IXW6" s="684"/>
      <c r="IXX6" s="684"/>
      <c r="IXY6" s="684"/>
      <c r="IXZ6" s="684"/>
      <c r="IYA6" s="684"/>
      <c r="IYB6" s="684"/>
      <c r="IYC6" s="684"/>
      <c r="IYD6" s="684"/>
      <c r="IYE6" s="684"/>
      <c r="IYF6" s="684"/>
      <c r="IYG6" s="684"/>
      <c r="IYH6" s="684"/>
      <c r="IYI6" s="684"/>
      <c r="IYJ6" s="684"/>
      <c r="IYK6" s="684"/>
      <c r="IYL6" s="684"/>
      <c r="IYM6" s="684"/>
      <c r="IYN6" s="684"/>
      <c r="IYO6" s="684"/>
      <c r="IYP6" s="684"/>
      <c r="IYQ6" s="684"/>
      <c r="IYR6" s="684"/>
      <c r="IYS6" s="684"/>
      <c r="IYT6" s="684"/>
      <c r="IYU6" s="684"/>
      <c r="IYV6" s="684"/>
      <c r="IYW6" s="684"/>
      <c r="IYX6" s="684"/>
      <c r="IYY6" s="684"/>
      <c r="IYZ6" s="684"/>
      <c r="IZA6" s="684"/>
      <c r="IZB6" s="684"/>
      <c r="IZC6" s="684"/>
      <c r="IZD6" s="684"/>
      <c r="IZE6" s="684"/>
      <c r="IZF6" s="684"/>
      <c r="IZG6" s="684"/>
      <c r="IZH6" s="684"/>
      <c r="IZI6" s="684"/>
      <c r="IZJ6" s="684"/>
      <c r="IZK6" s="684"/>
      <c r="IZL6" s="684"/>
      <c r="IZM6" s="684"/>
      <c r="IZN6" s="684"/>
      <c r="IZO6" s="684"/>
      <c r="IZP6" s="684"/>
      <c r="IZQ6" s="684"/>
      <c r="IZR6" s="684"/>
      <c r="IZS6" s="684"/>
      <c r="IZT6" s="684"/>
      <c r="IZU6" s="684"/>
      <c r="IZV6" s="684"/>
      <c r="IZW6" s="684"/>
      <c r="IZX6" s="684"/>
      <c r="IZY6" s="684"/>
      <c r="IZZ6" s="684"/>
      <c r="JAA6" s="684"/>
      <c r="JAB6" s="684"/>
      <c r="JAC6" s="684"/>
      <c r="JAD6" s="684"/>
      <c r="JAE6" s="684"/>
      <c r="JAF6" s="684"/>
      <c r="JAG6" s="684"/>
      <c r="JAH6" s="684"/>
      <c r="JAI6" s="684"/>
      <c r="JAJ6" s="684"/>
      <c r="JAK6" s="684"/>
      <c r="JAL6" s="684"/>
      <c r="JAM6" s="684"/>
      <c r="JAN6" s="684"/>
      <c r="JAO6" s="684"/>
      <c r="JAP6" s="684"/>
      <c r="JAQ6" s="684"/>
      <c r="JAR6" s="684"/>
      <c r="JAS6" s="684"/>
      <c r="JAT6" s="684"/>
      <c r="JAU6" s="684"/>
      <c r="JAV6" s="684"/>
      <c r="JAW6" s="684"/>
      <c r="JAX6" s="684"/>
      <c r="JAY6" s="684"/>
      <c r="JAZ6" s="684"/>
      <c r="JBA6" s="684"/>
      <c r="JBB6" s="684"/>
      <c r="JBC6" s="684"/>
      <c r="JBD6" s="684"/>
      <c r="JBE6" s="684"/>
      <c r="JBF6" s="684"/>
      <c r="JBG6" s="684"/>
      <c r="JBH6" s="684"/>
      <c r="JBI6" s="684"/>
      <c r="JBJ6" s="684"/>
      <c r="JBK6" s="684"/>
      <c r="JBL6" s="684"/>
      <c r="JBM6" s="684"/>
      <c r="JBN6" s="684"/>
      <c r="JBO6" s="684"/>
      <c r="JBP6" s="684"/>
      <c r="JBQ6" s="684"/>
      <c r="JBR6" s="684"/>
      <c r="JBS6" s="684"/>
      <c r="JBT6" s="684"/>
      <c r="JBU6" s="684"/>
      <c r="JBV6" s="684"/>
      <c r="JBW6" s="684"/>
      <c r="JBX6" s="684"/>
      <c r="JBY6" s="684"/>
      <c r="JBZ6" s="684"/>
      <c r="JCA6" s="684"/>
      <c r="JCB6" s="684"/>
      <c r="JCC6" s="684"/>
      <c r="JCD6" s="684"/>
      <c r="JCE6" s="684"/>
      <c r="JCF6" s="684"/>
      <c r="JCG6" s="684"/>
      <c r="JCH6" s="684"/>
      <c r="JCI6" s="684"/>
      <c r="JCJ6" s="684"/>
      <c r="JCK6" s="684"/>
      <c r="JCL6" s="684"/>
      <c r="JCM6" s="684"/>
      <c r="JCN6" s="684"/>
      <c r="JCO6" s="684"/>
      <c r="JCP6" s="684"/>
      <c r="JCQ6" s="684"/>
      <c r="JCR6" s="684"/>
      <c r="JCS6" s="684"/>
      <c r="JCT6" s="684"/>
      <c r="JCU6" s="684"/>
      <c r="JCV6" s="684"/>
      <c r="JCW6" s="684"/>
      <c r="JCX6" s="684"/>
      <c r="JCY6" s="684"/>
      <c r="JCZ6" s="684"/>
      <c r="JDA6" s="684"/>
      <c r="JDB6" s="684"/>
      <c r="JDC6" s="684"/>
      <c r="JDD6" s="684"/>
      <c r="JDE6" s="684"/>
      <c r="JDF6" s="684"/>
      <c r="JDG6" s="684"/>
      <c r="JDH6" s="684"/>
      <c r="JDI6" s="684"/>
      <c r="JDJ6" s="684"/>
      <c r="JDK6" s="684"/>
      <c r="JDL6" s="684"/>
      <c r="JDM6" s="684"/>
      <c r="JDN6" s="684"/>
      <c r="JDO6" s="684"/>
      <c r="JDP6" s="684"/>
      <c r="JDQ6" s="684"/>
      <c r="JDR6" s="684"/>
      <c r="JDS6" s="684"/>
      <c r="JDT6" s="684"/>
      <c r="JDU6" s="684"/>
      <c r="JDV6" s="684"/>
      <c r="JDW6" s="684"/>
      <c r="JDX6" s="684"/>
      <c r="JDY6" s="684"/>
      <c r="JDZ6" s="684"/>
      <c r="JEA6" s="684"/>
      <c r="JEB6" s="684"/>
      <c r="JEC6" s="684"/>
      <c r="JED6" s="684"/>
      <c r="JEE6" s="684"/>
      <c r="JEF6" s="684"/>
      <c r="JEG6" s="684"/>
      <c r="JEH6" s="684"/>
      <c r="JEI6" s="684"/>
      <c r="JEJ6" s="684"/>
      <c r="JEK6" s="684"/>
      <c r="JEL6" s="684"/>
      <c r="JEM6" s="684"/>
      <c r="JEN6" s="684"/>
      <c r="JEO6" s="684"/>
      <c r="JEP6" s="684"/>
      <c r="JEQ6" s="684"/>
      <c r="JER6" s="684"/>
      <c r="JES6" s="684"/>
      <c r="JET6" s="684"/>
      <c r="JEU6" s="684"/>
      <c r="JEV6" s="684"/>
      <c r="JEW6" s="684"/>
      <c r="JEX6" s="684"/>
      <c r="JEY6" s="684"/>
      <c r="JEZ6" s="684"/>
      <c r="JFA6" s="684"/>
      <c r="JFB6" s="684"/>
      <c r="JFC6" s="684"/>
      <c r="JFD6" s="684"/>
      <c r="JFE6" s="684"/>
      <c r="JFF6" s="684"/>
      <c r="JFG6" s="684"/>
      <c r="JFH6" s="684"/>
      <c r="JFI6" s="684"/>
      <c r="JFJ6" s="684"/>
      <c r="JFK6" s="684"/>
      <c r="JFL6" s="684"/>
      <c r="JFM6" s="684"/>
      <c r="JFN6" s="684"/>
      <c r="JFO6" s="684"/>
      <c r="JFP6" s="684"/>
      <c r="JFQ6" s="684"/>
      <c r="JFR6" s="684"/>
      <c r="JFS6" s="684"/>
      <c r="JFT6" s="684"/>
      <c r="JFU6" s="684"/>
      <c r="JFV6" s="684"/>
      <c r="JFW6" s="684"/>
      <c r="JFX6" s="684"/>
      <c r="JFY6" s="684"/>
      <c r="JFZ6" s="684"/>
      <c r="JGA6" s="684"/>
      <c r="JGB6" s="684"/>
      <c r="JGC6" s="684"/>
      <c r="JGD6" s="684"/>
      <c r="JGE6" s="684"/>
      <c r="JGF6" s="684"/>
      <c r="JGG6" s="684"/>
      <c r="JGH6" s="684"/>
      <c r="JGI6" s="684"/>
      <c r="JGJ6" s="684"/>
      <c r="JGK6" s="684"/>
      <c r="JGL6" s="684"/>
      <c r="JGM6" s="684"/>
      <c r="JGN6" s="684"/>
      <c r="JGO6" s="684"/>
      <c r="JGP6" s="684"/>
      <c r="JGQ6" s="684"/>
      <c r="JGR6" s="684"/>
      <c r="JGS6" s="684"/>
      <c r="JGT6" s="684"/>
      <c r="JGU6" s="684"/>
      <c r="JGV6" s="684"/>
      <c r="JGW6" s="684"/>
      <c r="JGX6" s="684"/>
      <c r="JGY6" s="684"/>
      <c r="JGZ6" s="684"/>
      <c r="JHA6" s="684"/>
      <c r="JHB6" s="684"/>
      <c r="JHC6" s="684"/>
      <c r="JHD6" s="684"/>
      <c r="JHE6" s="684"/>
      <c r="JHF6" s="684"/>
      <c r="JHG6" s="684"/>
      <c r="JHH6" s="684"/>
      <c r="JHI6" s="684"/>
      <c r="JHJ6" s="684"/>
      <c r="JHK6" s="684"/>
      <c r="JHL6" s="684"/>
      <c r="JHM6" s="684"/>
      <c r="JHN6" s="684"/>
      <c r="JHO6" s="684"/>
      <c r="JHP6" s="684"/>
      <c r="JHQ6" s="684"/>
      <c r="JHR6" s="684"/>
      <c r="JHS6" s="684"/>
      <c r="JHT6" s="684"/>
      <c r="JHU6" s="684"/>
      <c r="JHV6" s="684"/>
      <c r="JHW6" s="684"/>
      <c r="JHX6" s="684"/>
      <c r="JHY6" s="684"/>
      <c r="JHZ6" s="684"/>
      <c r="JIA6" s="684"/>
      <c r="JIB6" s="684"/>
      <c r="JIC6" s="684"/>
      <c r="JID6" s="684"/>
      <c r="JIE6" s="684"/>
      <c r="JIF6" s="684"/>
      <c r="JIG6" s="684"/>
      <c r="JIH6" s="684"/>
      <c r="JII6" s="684"/>
      <c r="JIJ6" s="684"/>
      <c r="JIK6" s="684"/>
      <c r="JIL6" s="684"/>
      <c r="JIM6" s="684"/>
      <c r="JIN6" s="684"/>
      <c r="JIO6" s="684"/>
      <c r="JIP6" s="684"/>
      <c r="JIQ6" s="684"/>
      <c r="JIR6" s="684"/>
      <c r="JIS6" s="684"/>
      <c r="JIT6" s="684"/>
      <c r="JIU6" s="684"/>
      <c r="JIV6" s="684"/>
      <c r="JIW6" s="684"/>
      <c r="JIX6" s="684"/>
      <c r="JIY6" s="684"/>
      <c r="JIZ6" s="684"/>
      <c r="JJA6" s="684"/>
      <c r="JJB6" s="684"/>
      <c r="JJC6" s="684"/>
      <c r="JJD6" s="684"/>
      <c r="JJE6" s="684"/>
      <c r="JJF6" s="684"/>
      <c r="JJG6" s="684"/>
      <c r="JJH6" s="684"/>
      <c r="JJI6" s="684"/>
      <c r="JJJ6" s="684"/>
      <c r="JJK6" s="684"/>
      <c r="JJL6" s="684"/>
      <c r="JJM6" s="684"/>
      <c r="JJN6" s="684"/>
      <c r="JJO6" s="684"/>
      <c r="JJP6" s="684"/>
      <c r="JJQ6" s="684"/>
      <c r="JJR6" s="684"/>
      <c r="JJS6" s="684"/>
      <c r="JJT6" s="684"/>
      <c r="JJU6" s="684"/>
      <c r="JJV6" s="684"/>
      <c r="JJW6" s="684"/>
      <c r="JJX6" s="684"/>
      <c r="JJY6" s="684"/>
      <c r="JJZ6" s="684"/>
      <c r="JKA6" s="684"/>
      <c r="JKB6" s="684"/>
      <c r="JKC6" s="684"/>
      <c r="JKD6" s="684"/>
      <c r="JKE6" s="684"/>
      <c r="JKF6" s="684"/>
      <c r="JKG6" s="684"/>
      <c r="JKH6" s="684"/>
      <c r="JKI6" s="684"/>
      <c r="JKJ6" s="684"/>
      <c r="JKK6" s="684"/>
      <c r="JKL6" s="684"/>
      <c r="JKM6" s="684"/>
      <c r="JKN6" s="684"/>
      <c r="JKO6" s="684"/>
      <c r="JKP6" s="684"/>
      <c r="JKQ6" s="684"/>
      <c r="JKR6" s="684"/>
      <c r="JKS6" s="684"/>
      <c r="JKT6" s="684"/>
      <c r="JKU6" s="684"/>
      <c r="JKV6" s="684"/>
      <c r="JKW6" s="684"/>
      <c r="JKX6" s="684"/>
      <c r="JKY6" s="684"/>
      <c r="JKZ6" s="684"/>
      <c r="JLA6" s="684"/>
      <c r="JLB6" s="684"/>
      <c r="JLC6" s="684"/>
      <c r="JLD6" s="684"/>
      <c r="JLE6" s="684"/>
      <c r="JLF6" s="684"/>
      <c r="JLG6" s="684"/>
      <c r="JLH6" s="684"/>
      <c r="JLI6" s="684"/>
      <c r="JLJ6" s="684"/>
      <c r="JLK6" s="684"/>
      <c r="JLL6" s="684"/>
      <c r="JLM6" s="684"/>
      <c r="JLN6" s="684"/>
      <c r="JLO6" s="684"/>
      <c r="JLP6" s="684"/>
      <c r="JLQ6" s="684"/>
      <c r="JLR6" s="684"/>
      <c r="JLS6" s="684"/>
      <c r="JLT6" s="684"/>
      <c r="JLU6" s="684"/>
      <c r="JLV6" s="684"/>
      <c r="JLW6" s="684"/>
      <c r="JLX6" s="684"/>
      <c r="JLY6" s="684"/>
      <c r="JLZ6" s="684"/>
      <c r="JMA6" s="684"/>
      <c r="JMB6" s="684"/>
      <c r="JMC6" s="684"/>
      <c r="JMD6" s="684"/>
      <c r="JME6" s="684"/>
      <c r="JMF6" s="684"/>
      <c r="JMG6" s="684"/>
      <c r="JMH6" s="684"/>
      <c r="JMI6" s="684"/>
      <c r="JMJ6" s="684"/>
      <c r="JMK6" s="684"/>
      <c r="JML6" s="684"/>
      <c r="JMM6" s="684"/>
      <c r="JMN6" s="684"/>
      <c r="JMO6" s="684"/>
      <c r="JMP6" s="684"/>
      <c r="JMQ6" s="684"/>
      <c r="JMR6" s="684"/>
      <c r="JMS6" s="684"/>
      <c r="JMT6" s="684"/>
      <c r="JMU6" s="684"/>
      <c r="JMV6" s="684"/>
      <c r="JMW6" s="684"/>
      <c r="JMX6" s="684"/>
      <c r="JMY6" s="684"/>
      <c r="JMZ6" s="684"/>
      <c r="JNA6" s="684"/>
      <c r="JNB6" s="684"/>
      <c r="JNC6" s="684"/>
      <c r="JND6" s="684"/>
      <c r="JNE6" s="684"/>
      <c r="JNF6" s="684"/>
      <c r="JNG6" s="684"/>
      <c r="JNH6" s="684"/>
      <c r="JNI6" s="684"/>
      <c r="JNJ6" s="684"/>
      <c r="JNK6" s="684"/>
      <c r="JNL6" s="684"/>
      <c r="JNM6" s="684"/>
      <c r="JNN6" s="684"/>
      <c r="JNO6" s="684"/>
      <c r="JNP6" s="684"/>
      <c r="JNQ6" s="684"/>
      <c r="JNR6" s="684"/>
      <c r="JNS6" s="684"/>
      <c r="JNT6" s="684"/>
      <c r="JNU6" s="684"/>
      <c r="JNV6" s="684"/>
      <c r="JNW6" s="684"/>
      <c r="JNX6" s="684"/>
      <c r="JNY6" s="684"/>
      <c r="JNZ6" s="684"/>
      <c r="JOA6" s="684"/>
      <c r="JOB6" s="684"/>
      <c r="JOC6" s="684"/>
      <c r="JOD6" s="684"/>
      <c r="JOE6" s="684"/>
      <c r="JOF6" s="684"/>
      <c r="JOG6" s="684"/>
      <c r="JOH6" s="684"/>
      <c r="JOI6" s="684"/>
      <c r="JOJ6" s="684"/>
      <c r="JOK6" s="684"/>
      <c r="JOL6" s="684"/>
      <c r="JOM6" s="684"/>
      <c r="JON6" s="684"/>
      <c r="JOO6" s="684"/>
      <c r="JOP6" s="684"/>
      <c r="JOQ6" s="684"/>
      <c r="JOR6" s="684"/>
      <c r="JOS6" s="684"/>
      <c r="JOT6" s="684"/>
      <c r="JOU6" s="684"/>
      <c r="JOV6" s="684"/>
      <c r="JOW6" s="684"/>
      <c r="JOX6" s="684"/>
      <c r="JOY6" s="684"/>
      <c r="JOZ6" s="684"/>
      <c r="JPA6" s="684"/>
      <c r="JPB6" s="684"/>
      <c r="JPC6" s="684"/>
      <c r="JPD6" s="684"/>
      <c r="JPE6" s="684"/>
      <c r="JPF6" s="684"/>
      <c r="JPG6" s="684"/>
      <c r="JPH6" s="684"/>
      <c r="JPI6" s="684"/>
      <c r="JPJ6" s="684"/>
      <c r="JPK6" s="684"/>
      <c r="JPL6" s="684"/>
      <c r="JPM6" s="684"/>
      <c r="JPN6" s="684"/>
      <c r="JPO6" s="684"/>
      <c r="JPP6" s="684"/>
      <c r="JPQ6" s="684"/>
      <c r="JPR6" s="684"/>
      <c r="JPS6" s="684"/>
      <c r="JPT6" s="684"/>
      <c r="JPU6" s="684"/>
      <c r="JPV6" s="684"/>
      <c r="JPW6" s="684"/>
      <c r="JPX6" s="684"/>
      <c r="JPY6" s="684"/>
      <c r="JPZ6" s="684"/>
      <c r="JQA6" s="684"/>
      <c r="JQB6" s="684"/>
      <c r="JQC6" s="684"/>
      <c r="JQD6" s="684"/>
      <c r="JQE6" s="684"/>
      <c r="JQF6" s="684"/>
      <c r="JQG6" s="684"/>
      <c r="JQH6" s="684"/>
      <c r="JQI6" s="684"/>
      <c r="JQJ6" s="684"/>
      <c r="JQK6" s="684"/>
      <c r="JQL6" s="684"/>
      <c r="JQM6" s="684"/>
      <c r="JQN6" s="684"/>
      <c r="JQO6" s="684"/>
      <c r="JQP6" s="684"/>
      <c r="JQQ6" s="684"/>
      <c r="JQR6" s="684"/>
      <c r="JQS6" s="684"/>
      <c r="JQT6" s="684"/>
      <c r="JQU6" s="684"/>
      <c r="JQV6" s="684"/>
      <c r="JQW6" s="684"/>
      <c r="JQX6" s="684"/>
      <c r="JQY6" s="684"/>
      <c r="JQZ6" s="684"/>
      <c r="JRA6" s="684"/>
      <c r="JRB6" s="684"/>
      <c r="JRC6" s="684"/>
      <c r="JRD6" s="684"/>
      <c r="JRE6" s="684"/>
      <c r="JRF6" s="684"/>
      <c r="JRG6" s="684"/>
      <c r="JRH6" s="684"/>
      <c r="JRI6" s="684"/>
      <c r="JRJ6" s="684"/>
      <c r="JRK6" s="684"/>
      <c r="JRL6" s="684"/>
      <c r="JRM6" s="684"/>
      <c r="JRN6" s="684"/>
      <c r="JRO6" s="684"/>
      <c r="JRP6" s="684"/>
      <c r="JRQ6" s="684"/>
      <c r="JRR6" s="684"/>
      <c r="JRS6" s="684"/>
      <c r="JRT6" s="684"/>
      <c r="JRU6" s="684"/>
      <c r="JRV6" s="684"/>
      <c r="JRW6" s="684"/>
      <c r="JRX6" s="684"/>
      <c r="JRY6" s="684"/>
      <c r="JRZ6" s="684"/>
      <c r="JSA6" s="684"/>
      <c r="JSB6" s="684"/>
      <c r="JSC6" s="684"/>
      <c r="JSD6" s="684"/>
      <c r="JSE6" s="684"/>
      <c r="JSF6" s="684"/>
      <c r="JSG6" s="684"/>
      <c r="JSH6" s="684"/>
      <c r="JSI6" s="684"/>
      <c r="JSJ6" s="684"/>
      <c r="JSK6" s="684"/>
      <c r="JSL6" s="684"/>
      <c r="JSM6" s="684"/>
      <c r="JSN6" s="684"/>
      <c r="JSO6" s="684"/>
      <c r="JSP6" s="684"/>
      <c r="JSQ6" s="684"/>
      <c r="JSR6" s="684"/>
      <c r="JSS6" s="684"/>
      <c r="JST6" s="684"/>
      <c r="JSU6" s="684"/>
      <c r="JSV6" s="684"/>
      <c r="JSW6" s="684"/>
      <c r="JSX6" s="684"/>
      <c r="JSY6" s="684"/>
      <c r="JSZ6" s="684"/>
      <c r="JTA6" s="684"/>
      <c r="JTB6" s="684"/>
      <c r="JTC6" s="684"/>
      <c r="JTD6" s="684"/>
      <c r="JTE6" s="684"/>
      <c r="JTF6" s="684"/>
      <c r="JTG6" s="684"/>
      <c r="JTH6" s="684"/>
      <c r="JTI6" s="684"/>
      <c r="JTJ6" s="684"/>
      <c r="JTK6" s="684"/>
      <c r="JTL6" s="684"/>
      <c r="JTM6" s="684"/>
      <c r="JTN6" s="684"/>
      <c r="JTO6" s="684"/>
      <c r="JTP6" s="684"/>
      <c r="JTQ6" s="684"/>
      <c r="JTR6" s="684"/>
      <c r="JTS6" s="684"/>
      <c r="JTT6" s="684"/>
      <c r="JTU6" s="684"/>
      <c r="JTV6" s="684"/>
      <c r="JTW6" s="684"/>
      <c r="JTX6" s="684"/>
      <c r="JTY6" s="684"/>
      <c r="JTZ6" s="684"/>
      <c r="JUA6" s="684"/>
      <c r="JUB6" s="684"/>
      <c r="JUC6" s="684"/>
      <c r="JUD6" s="684"/>
      <c r="JUE6" s="684"/>
      <c r="JUF6" s="684"/>
      <c r="JUG6" s="684"/>
      <c r="JUH6" s="684"/>
      <c r="JUI6" s="684"/>
      <c r="JUJ6" s="684"/>
      <c r="JUK6" s="684"/>
      <c r="JUL6" s="684"/>
      <c r="JUM6" s="684"/>
      <c r="JUN6" s="684"/>
      <c r="JUO6" s="684"/>
      <c r="JUP6" s="684"/>
      <c r="JUQ6" s="684"/>
      <c r="JUR6" s="684"/>
      <c r="JUS6" s="684"/>
      <c r="JUT6" s="684"/>
      <c r="JUU6" s="684"/>
      <c r="JUV6" s="684"/>
      <c r="JUW6" s="684"/>
      <c r="JUX6" s="684"/>
      <c r="JUY6" s="684"/>
      <c r="JUZ6" s="684"/>
      <c r="JVA6" s="684"/>
      <c r="JVB6" s="684"/>
      <c r="JVC6" s="684"/>
      <c r="JVD6" s="684"/>
      <c r="JVE6" s="684"/>
      <c r="JVF6" s="684"/>
      <c r="JVG6" s="684"/>
      <c r="JVH6" s="684"/>
      <c r="JVI6" s="684"/>
      <c r="JVJ6" s="684"/>
      <c r="JVK6" s="684"/>
      <c r="JVL6" s="684"/>
      <c r="JVM6" s="684"/>
      <c r="JVN6" s="684"/>
      <c r="JVO6" s="684"/>
      <c r="JVP6" s="684"/>
      <c r="JVQ6" s="684"/>
      <c r="JVR6" s="684"/>
      <c r="JVS6" s="684"/>
      <c r="JVT6" s="684"/>
      <c r="JVU6" s="684"/>
      <c r="JVV6" s="684"/>
      <c r="JVW6" s="684"/>
      <c r="JVX6" s="684"/>
      <c r="JVY6" s="684"/>
      <c r="JVZ6" s="684"/>
      <c r="JWA6" s="684"/>
      <c r="JWB6" s="684"/>
      <c r="JWC6" s="684"/>
      <c r="JWD6" s="684"/>
      <c r="JWE6" s="684"/>
      <c r="JWF6" s="684"/>
      <c r="JWG6" s="684"/>
      <c r="JWH6" s="684"/>
      <c r="JWI6" s="684"/>
      <c r="JWJ6" s="684"/>
      <c r="JWK6" s="684"/>
      <c r="JWL6" s="684"/>
      <c r="JWM6" s="684"/>
      <c r="JWN6" s="684"/>
      <c r="JWO6" s="684"/>
      <c r="JWP6" s="684"/>
      <c r="JWQ6" s="684"/>
      <c r="JWR6" s="684"/>
      <c r="JWS6" s="684"/>
      <c r="JWT6" s="684"/>
      <c r="JWU6" s="684"/>
      <c r="JWV6" s="684"/>
      <c r="JWW6" s="684"/>
      <c r="JWX6" s="684"/>
      <c r="JWY6" s="684"/>
      <c r="JWZ6" s="684"/>
      <c r="JXA6" s="684"/>
      <c r="JXB6" s="684"/>
      <c r="JXC6" s="684"/>
      <c r="JXD6" s="684"/>
      <c r="JXE6" s="684"/>
      <c r="JXF6" s="684"/>
      <c r="JXG6" s="684"/>
      <c r="JXH6" s="684"/>
      <c r="JXI6" s="684"/>
      <c r="JXJ6" s="684"/>
      <c r="JXK6" s="684"/>
      <c r="JXL6" s="684"/>
      <c r="JXM6" s="684"/>
      <c r="JXN6" s="684"/>
      <c r="JXO6" s="684"/>
      <c r="JXP6" s="684"/>
      <c r="JXQ6" s="684"/>
      <c r="JXR6" s="684"/>
      <c r="JXS6" s="684"/>
      <c r="JXT6" s="684"/>
      <c r="JXU6" s="684"/>
      <c r="JXV6" s="684"/>
      <c r="JXW6" s="684"/>
      <c r="JXX6" s="684"/>
      <c r="JXY6" s="684"/>
      <c r="JXZ6" s="684"/>
      <c r="JYA6" s="684"/>
      <c r="JYB6" s="684"/>
      <c r="JYC6" s="684"/>
      <c r="JYD6" s="684"/>
      <c r="JYE6" s="684"/>
      <c r="JYF6" s="684"/>
      <c r="JYG6" s="684"/>
      <c r="JYH6" s="684"/>
      <c r="JYI6" s="684"/>
      <c r="JYJ6" s="684"/>
      <c r="JYK6" s="684"/>
      <c r="JYL6" s="684"/>
      <c r="JYM6" s="684"/>
      <c r="JYN6" s="684"/>
      <c r="JYO6" s="684"/>
      <c r="JYP6" s="684"/>
      <c r="JYQ6" s="684"/>
      <c r="JYR6" s="684"/>
      <c r="JYS6" s="684"/>
      <c r="JYT6" s="684"/>
      <c r="JYU6" s="684"/>
      <c r="JYV6" s="684"/>
      <c r="JYW6" s="684"/>
      <c r="JYX6" s="684"/>
      <c r="JYY6" s="684"/>
      <c r="JYZ6" s="684"/>
      <c r="JZA6" s="684"/>
      <c r="JZB6" s="684"/>
      <c r="JZC6" s="684"/>
      <c r="JZD6" s="684"/>
      <c r="JZE6" s="684"/>
      <c r="JZF6" s="684"/>
      <c r="JZG6" s="684"/>
      <c r="JZH6" s="684"/>
      <c r="JZI6" s="684"/>
      <c r="JZJ6" s="684"/>
      <c r="JZK6" s="684"/>
      <c r="JZL6" s="684"/>
      <c r="JZM6" s="684"/>
      <c r="JZN6" s="684"/>
      <c r="JZO6" s="684"/>
      <c r="JZP6" s="684"/>
      <c r="JZQ6" s="684"/>
      <c r="JZR6" s="684"/>
      <c r="JZS6" s="684"/>
      <c r="JZT6" s="684"/>
      <c r="JZU6" s="684"/>
      <c r="JZV6" s="684"/>
      <c r="JZW6" s="684"/>
      <c r="JZX6" s="684"/>
      <c r="JZY6" s="684"/>
      <c r="JZZ6" s="684"/>
      <c r="KAA6" s="684"/>
      <c r="KAB6" s="684"/>
      <c r="KAC6" s="684"/>
      <c r="KAD6" s="684"/>
      <c r="KAE6" s="684"/>
      <c r="KAF6" s="684"/>
      <c r="KAG6" s="684"/>
      <c r="KAH6" s="684"/>
      <c r="KAI6" s="684"/>
      <c r="KAJ6" s="684"/>
      <c r="KAK6" s="684"/>
      <c r="KAL6" s="684"/>
      <c r="KAM6" s="684"/>
      <c r="KAN6" s="684"/>
      <c r="KAO6" s="684"/>
      <c r="KAP6" s="684"/>
      <c r="KAQ6" s="684"/>
      <c r="KAR6" s="684"/>
      <c r="KAS6" s="684"/>
      <c r="KAT6" s="684"/>
      <c r="KAU6" s="684"/>
      <c r="KAV6" s="684"/>
      <c r="KAW6" s="684"/>
      <c r="KAX6" s="684"/>
      <c r="KAY6" s="684"/>
      <c r="KAZ6" s="684"/>
      <c r="KBA6" s="684"/>
      <c r="KBB6" s="684"/>
      <c r="KBC6" s="684"/>
      <c r="KBD6" s="684"/>
      <c r="KBE6" s="684"/>
      <c r="KBF6" s="684"/>
      <c r="KBG6" s="684"/>
      <c r="KBH6" s="684"/>
      <c r="KBI6" s="684"/>
      <c r="KBJ6" s="684"/>
      <c r="KBK6" s="684"/>
      <c r="KBL6" s="684"/>
      <c r="KBM6" s="684"/>
      <c r="KBN6" s="684"/>
      <c r="KBO6" s="684"/>
      <c r="KBP6" s="684"/>
      <c r="KBQ6" s="684"/>
      <c r="KBR6" s="684"/>
      <c r="KBS6" s="684"/>
      <c r="KBT6" s="684"/>
      <c r="KBU6" s="684"/>
      <c r="KBV6" s="684"/>
      <c r="KBW6" s="684"/>
      <c r="KBX6" s="684"/>
      <c r="KBY6" s="684"/>
      <c r="KBZ6" s="684"/>
      <c r="KCA6" s="684"/>
      <c r="KCB6" s="684"/>
      <c r="KCC6" s="684"/>
      <c r="KCD6" s="684"/>
      <c r="KCE6" s="684"/>
      <c r="KCF6" s="684"/>
      <c r="KCG6" s="684"/>
      <c r="KCH6" s="684"/>
      <c r="KCI6" s="684"/>
      <c r="KCJ6" s="684"/>
      <c r="KCK6" s="684"/>
      <c r="KCL6" s="684"/>
      <c r="KCM6" s="684"/>
      <c r="KCN6" s="684"/>
      <c r="KCO6" s="684"/>
      <c r="KCP6" s="684"/>
      <c r="KCQ6" s="684"/>
      <c r="KCR6" s="684"/>
      <c r="KCS6" s="684"/>
      <c r="KCT6" s="684"/>
      <c r="KCU6" s="684"/>
      <c r="KCV6" s="684"/>
      <c r="KCW6" s="684"/>
      <c r="KCX6" s="684"/>
      <c r="KCY6" s="684"/>
      <c r="KCZ6" s="684"/>
      <c r="KDA6" s="684"/>
      <c r="KDB6" s="684"/>
      <c r="KDC6" s="684"/>
      <c r="KDD6" s="684"/>
      <c r="KDE6" s="684"/>
      <c r="KDF6" s="684"/>
      <c r="KDG6" s="684"/>
      <c r="KDH6" s="684"/>
      <c r="KDI6" s="684"/>
      <c r="KDJ6" s="684"/>
      <c r="KDK6" s="684"/>
      <c r="KDL6" s="684"/>
      <c r="KDM6" s="684"/>
      <c r="KDN6" s="684"/>
      <c r="KDO6" s="684"/>
      <c r="KDP6" s="684"/>
      <c r="KDQ6" s="684"/>
      <c r="KDR6" s="684"/>
      <c r="KDS6" s="684"/>
      <c r="KDT6" s="684"/>
      <c r="KDU6" s="684"/>
      <c r="KDV6" s="684"/>
      <c r="KDW6" s="684"/>
      <c r="KDX6" s="684"/>
      <c r="KDY6" s="684"/>
      <c r="KDZ6" s="684"/>
      <c r="KEA6" s="684"/>
      <c r="KEB6" s="684"/>
      <c r="KEC6" s="684"/>
      <c r="KED6" s="684"/>
      <c r="KEE6" s="684"/>
      <c r="KEF6" s="684"/>
      <c r="KEG6" s="684"/>
      <c r="KEH6" s="684"/>
      <c r="KEI6" s="684"/>
      <c r="KEJ6" s="684"/>
      <c r="KEK6" s="684"/>
      <c r="KEL6" s="684"/>
      <c r="KEM6" s="684"/>
      <c r="KEN6" s="684"/>
      <c r="KEO6" s="684"/>
      <c r="KEP6" s="684"/>
      <c r="KEQ6" s="684"/>
      <c r="KER6" s="684"/>
      <c r="KES6" s="684"/>
      <c r="KET6" s="684"/>
      <c r="KEU6" s="684"/>
      <c r="KEV6" s="684"/>
      <c r="KEW6" s="684"/>
      <c r="KEX6" s="684"/>
      <c r="KEY6" s="684"/>
      <c r="KEZ6" s="684"/>
      <c r="KFA6" s="684"/>
      <c r="KFB6" s="684"/>
      <c r="KFC6" s="684"/>
      <c r="KFD6" s="684"/>
      <c r="KFE6" s="684"/>
      <c r="KFF6" s="684"/>
      <c r="KFG6" s="684"/>
      <c r="KFH6" s="684"/>
      <c r="KFI6" s="684"/>
      <c r="KFJ6" s="684"/>
      <c r="KFK6" s="684"/>
      <c r="KFL6" s="684"/>
      <c r="KFM6" s="684"/>
      <c r="KFN6" s="684"/>
      <c r="KFO6" s="684"/>
      <c r="KFP6" s="684"/>
      <c r="KFQ6" s="684"/>
      <c r="KFR6" s="684"/>
      <c r="KFS6" s="684"/>
      <c r="KFT6" s="684"/>
      <c r="KFU6" s="684"/>
      <c r="KFV6" s="684"/>
      <c r="KFW6" s="684"/>
      <c r="KFX6" s="684"/>
      <c r="KFY6" s="684"/>
      <c r="KFZ6" s="684"/>
      <c r="KGA6" s="684"/>
      <c r="KGB6" s="684"/>
      <c r="KGC6" s="684"/>
      <c r="KGD6" s="684"/>
      <c r="KGE6" s="684"/>
      <c r="KGF6" s="684"/>
      <c r="KGG6" s="684"/>
      <c r="KGH6" s="684"/>
      <c r="KGI6" s="684"/>
      <c r="KGJ6" s="684"/>
      <c r="KGK6" s="684"/>
      <c r="KGL6" s="684"/>
      <c r="KGM6" s="684"/>
      <c r="KGN6" s="684"/>
      <c r="KGO6" s="684"/>
      <c r="KGP6" s="684"/>
      <c r="KGQ6" s="684"/>
      <c r="KGR6" s="684"/>
      <c r="KGS6" s="684"/>
      <c r="KGT6" s="684"/>
      <c r="KGU6" s="684"/>
      <c r="KGV6" s="684"/>
      <c r="KGW6" s="684"/>
      <c r="KGX6" s="684"/>
      <c r="KGY6" s="684"/>
      <c r="KGZ6" s="684"/>
      <c r="KHA6" s="684"/>
      <c r="KHB6" s="684"/>
      <c r="KHC6" s="684"/>
      <c r="KHD6" s="684"/>
      <c r="KHE6" s="684"/>
      <c r="KHF6" s="684"/>
      <c r="KHG6" s="684"/>
      <c r="KHH6" s="684"/>
      <c r="KHI6" s="684"/>
      <c r="KHJ6" s="684"/>
      <c r="KHK6" s="684"/>
      <c r="KHL6" s="684"/>
      <c r="KHM6" s="684"/>
      <c r="KHN6" s="684"/>
      <c r="KHO6" s="684"/>
      <c r="KHP6" s="684"/>
      <c r="KHQ6" s="684"/>
      <c r="KHR6" s="684"/>
      <c r="KHS6" s="684"/>
      <c r="KHT6" s="684"/>
      <c r="KHU6" s="684"/>
      <c r="KHV6" s="684"/>
      <c r="KHW6" s="684"/>
      <c r="KHX6" s="684"/>
      <c r="KHY6" s="684"/>
      <c r="KHZ6" s="684"/>
      <c r="KIA6" s="684"/>
      <c r="KIB6" s="684"/>
      <c r="KIC6" s="684"/>
      <c r="KID6" s="684"/>
      <c r="KIE6" s="684"/>
      <c r="KIF6" s="684"/>
      <c r="KIG6" s="684"/>
      <c r="KIH6" s="684"/>
      <c r="KII6" s="684"/>
      <c r="KIJ6" s="684"/>
      <c r="KIK6" s="684"/>
      <c r="KIL6" s="684"/>
      <c r="KIM6" s="684"/>
      <c r="KIN6" s="684"/>
      <c r="KIO6" s="684"/>
      <c r="KIP6" s="684"/>
      <c r="KIQ6" s="684"/>
      <c r="KIR6" s="684"/>
      <c r="KIS6" s="684"/>
      <c r="KIT6" s="684"/>
      <c r="KIU6" s="684"/>
      <c r="KIV6" s="684"/>
      <c r="KIW6" s="684"/>
      <c r="KIX6" s="684"/>
      <c r="KIY6" s="684"/>
      <c r="KIZ6" s="684"/>
      <c r="KJA6" s="684"/>
      <c r="KJB6" s="684"/>
      <c r="KJC6" s="684"/>
      <c r="KJD6" s="684"/>
      <c r="KJE6" s="684"/>
      <c r="KJF6" s="684"/>
      <c r="KJG6" s="684"/>
      <c r="KJH6" s="684"/>
      <c r="KJI6" s="684"/>
      <c r="KJJ6" s="684"/>
      <c r="KJK6" s="684"/>
      <c r="KJL6" s="684"/>
      <c r="KJM6" s="684"/>
      <c r="KJN6" s="684"/>
      <c r="KJO6" s="684"/>
      <c r="KJP6" s="684"/>
      <c r="KJQ6" s="684"/>
      <c r="KJR6" s="684"/>
      <c r="KJS6" s="684"/>
      <c r="KJT6" s="684"/>
      <c r="KJU6" s="684"/>
      <c r="KJV6" s="684"/>
      <c r="KJW6" s="684"/>
      <c r="KJX6" s="684"/>
      <c r="KJY6" s="684"/>
      <c r="KJZ6" s="684"/>
      <c r="KKA6" s="684"/>
      <c r="KKB6" s="684"/>
      <c r="KKC6" s="684"/>
      <c r="KKD6" s="684"/>
      <c r="KKE6" s="684"/>
      <c r="KKF6" s="684"/>
      <c r="KKG6" s="684"/>
      <c r="KKH6" s="684"/>
      <c r="KKI6" s="684"/>
      <c r="KKJ6" s="684"/>
      <c r="KKK6" s="684"/>
      <c r="KKL6" s="684"/>
      <c r="KKM6" s="684"/>
      <c r="KKN6" s="684"/>
      <c r="KKO6" s="684"/>
      <c r="KKP6" s="684"/>
      <c r="KKQ6" s="684"/>
      <c r="KKR6" s="684"/>
      <c r="KKS6" s="684"/>
      <c r="KKT6" s="684"/>
      <c r="KKU6" s="684"/>
      <c r="KKV6" s="684"/>
      <c r="KKW6" s="684"/>
      <c r="KKX6" s="684"/>
      <c r="KKY6" s="684"/>
      <c r="KKZ6" s="684"/>
      <c r="KLA6" s="684"/>
      <c r="KLB6" s="684"/>
      <c r="KLC6" s="684"/>
      <c r="KLD6" s="684"/>
      <c r="KLE6" s="684"/>
      <c r="KLF6" s="684"/>
      <c r="KLG6" s="684"/>
      <c r="KLH6" s="684"/>
      <c r="KLI6" s="684"/>
      <c r="KLJ6" s="684"/>
      <c r="KLK6" s="684"/>
      <c r="KLL6" s="684"/>
      <c r="KLM6" s="684"/>
      <c r="KLN6" s="684"/>
      <c r="KLO6" s="684"/>
      <c r="KLP6" s="684"/>
      <c r="KLQ6" s="684"/>
      <c r="KLR6" s="684"/>
      <c r="KLS6" s="684"/>
      <c r="KLT6" s="684"/>
      <c r="KLU6" s="684"/>
      <c r="KLV6" s="684"/>
      <c r="KLW6" s="684"/>
      <c r="KLX6" s="684"/>
      <c r="KLY6" s="684"/>
      <c r="KLZ6" s="684"/>
      <c r="KMA6" s="684"/>
      <c r="KMB6" s="684"/>
      <c r="KMC6" s="684"/>
      <c r="KMD6" s="684"/>
      <c r="KME6" s="684"/>
      <c r="KMF6" s="684"/>
      <c r="KMG6" s="684"/>
      <c r="KMH6" s="684"/>
      <c r="KMI6" s="684"/>
      <c r="KMJ6" s="684"/>
      <c r="KMK6" s="684"/>
      <c r="KML6" s="684"/>
      <c r="KMM6" s="684"/>
      <c r="KMN6" s="684"/>
      <c r="KMO6" s="684"/>
      <c r="KMP6" s="684"/>
      <c r="KMQ6" s="684"/>
      <c r="KMR6" s="684"/>
      <c r="KMS6" s="684"/>
      <c r="KMT6" s="684"/>
      <c r="KMU6" s="684"/>
      <c r="KMV6" s="684"/>
      <c r="KMW6" s="684"/>
      <c r="KMX6" s="684"/>
      <c r="KMY6" s="684"/>
      <c r="KMZ6" s="684"/>
      <c r="KNA6" s="684"/>
      <c r="KNB6" s="684"/>
      <c r="KNC6" s="684"/>
      <c r="KND6" s="684"/>
      <c r="KNE6" s="684"/>
      <c r="KNF6" s="684"/>
      <c r="KNG6" s="684"/>
      <c r="KNH6" s="684"/>
      <c r="KNI6" s="684"/>
      <c r="KNJ6" s="684"/>
      <c r="KNK6" s="684"/>
      <c r="KNL6" s="684"/>
      <c r="KNM6" s="684"/>
      <c r="KNN6" s="684"/>
      <c r="KNO6" s="684"/>
      <c r="KNP6" s="684"/>
      <c r="KNQ6" s="684"/>
      <c r="KNR6" s="684"/>
      <c r="KNS6" s="684"/>
      <c r="KNT6" s="684"/>
      <c r="KNU6" s="684"/>
      <c r="KNV6" s="684"/>
      <c r="KNW6" s="684"/>
      <c r="KNX6" s="684"/>
      <c r="KNY6" s="684"/>
      <c r="KNZ6" s="684"/>
      <c r="KOA6" s="684"/>
      <c r="KOB6" s="684"/>
      <c r="KOC6" s="684"/>
      <c r="KOD6" s="684"/>
      <c r="KOE6" s="684"/>
      <c r="KOF6" s="684"/>
      <c r="KOG6" s="684"/>
      <c r="KOH6" s="684"/>
      <c r="KOI6" s="684"/>
      <c r="KOJ6" s="684"/>
      <c r="KOK6" s="684"/>
      <c r="KOL6" s="684"/>
      <c r="KOM6" s="684"/>
      <c r="KON6" s="684"/>
      <c r="KOO6" s="684"/>
      <c r="KOP6" s="684"/>
      <c r="KOQ6" s="684"/>
      <c r="KOR6" s="684"/>
      <c r="KOS6" s="684"/>
      <c r="KOT6" s="684"/>
      <c r="KOU6" s="684"/>
      <c r="KOV6" s="684"/>
      <c r="KOW6" s="684"/>
      <c r="KOX6" s="684"/>
      <c r="KOY6" s="684"/>
      <c r="KOZ6" s="684"/>
      <c r="KPA6" s="684"/>
      <c r="KPB6" s="684"/>
      <c r="KPC6" s="684"/>
      <c r="KPD6" s="684"/>
      <c r="KPE6" s="684"/>
      <c r="KPF6" s="684"/>
      <c r="KPG6" s="684"/>
      <c r="KPH6" s="684"/>
      <c r="KPI6" s="684"/>
      <c r="KPJ6" s="684"/>
      <c r="KPK6" s="684"/>
      <c r="KPL6" s="684"/>
      <c r="KPM6" s="684"/>
      <c r="KPN6" s="684"/>
      <c r="KPO6" s="684"/>
      <c r="KPP6" s="684"/>
      <c r="KPQ6" s="684"/>
      <c r="KPR6" s="684"/>
      <c r="KPS6" s="684"/>
      <c r="KPT6" s="684"/>
      <c r="KPU6" s="684"/>
      <c r="KPV6" s="684"/>
      <c r="KPW6" s="684"/>
      <c r="KPX6" s="684"/>
      <c r="KPY6" s="684"/>
      <c r="KPZ6" s="684"/>
      <c r="KQA6" s="684"/>
      <c r="KQB6" s="684"/>
      <c r="KQC6" s="684"/>
      <c r="KQD6" s="684"/>
      <c r="KQE6" s="684"/>
      <c r="KQF6" s="684"/>
      <c r="KQG6" s="684"/>
      <c r="KQH6" s="684"/>
      <c r="KQI6" s="684"/>
      <c r="KQJ6" s="684"/>
      <c r="KQK6" s="684"/>
      <c r="KQL6" s="684"/>
      <c r="KQM6" s="684"/>
      <c r="KQN6" s="684"/>
      <c r="KQO6" s="684"/>
      <c r="KQP6" s="684"/>
      <c r="KQQ6" s="684"/>
      <c r="KQR6" s="684"/>
      <c r="KQS6" s="684"/>
      <c r="KQT6" s="684"/>
      <c r="KQU6" s="684"/>
      <c r="KQV6" s="684"/>
      <c r="KQW6" s="684"/>
      <c r="KQX6" s="684"/>
      <c r="KQY6" s="684"/>
      <c r="KQZ6" s="684"/>
      <c r="KRA6" s="684"/>
      <c r="KRB6" s="684"/>
      <c r="KRC6" s="684"/>
      <c r="KRD6" s="684"/>
      <c r="KRE6" s="684"/>
      <c r="KRF6" s="684"/>
      <c r="KRG6" s="684"/>
      <c r="KRH6" s="684"/>
      <c r="KRI6" s="684"/>
      <c r="KRJ6" s="684"/>
      <c r="KRK6" s="684"/>
      <c r="KRL6" s="684"/>
      <c r="KRM6" s="684"/>
      <c r="KRN6" s="684"/>
      <c r="KRO6" s="684"/>
      <c r="KRP6" s="684"/>
      <c r="KRQ6" s="684"/>
      <c r="KRR6" s="684"/>
      <c r="KRS6" s="684"/>
      <c r="KRT6" s="684"/>
      <c r="KRU6" s="684"/>
      <c r="KRV6" s="684"/>
      <c r="KRW6" s="684"/>
      <c r="KRX6" s="684"/>
      <c r="KRY6" s="684"/>
      <c r="KRZ6" s="684"/>
      <c r="KSA6" s="684"/>
      <c r="KSB6" s="684"/>
      <c r="KSC6" s="684"/>
      <c r="KSD6" s="684"/>
      <c r="KSE6" s="684"/>
      <c r="KSF6" s="684"/>
      <c r="KSG6" s="684"/>
      <c r="KSH6" s="684"/>
      <c r="KSI6" s="684"/>
      <c r="KSJ6" s="684"/>
      <c r="KSK6" s="684"/>
      <c r="KSL6" s="684"/>
      <c r="KSM6" s="684"/>
      <c r="KSN6" s="684"/>
      <c r="KSO6" s="684"/>
      <c r="KSP6" s="684"/>
      <c r="KSQ6" s="684"/>
      <c r="KSR6" s="684"/>
      <c r="KSS6" s="684"/>
      <c r="KST6" s="684"/>
      <c r="KSU6" s="684"/>
      <c r="KSV6" s="684"/>
      <c r="KSW6" s="684"/>
      <c r="KSX6" s="684"/>
      <c r="KSY6" s="684"/>
      <c r="KSZ6" s="684"/>
      <c r="KTA6" s="684"/>
      <c r="KTB6" s="684"/>
      <c r="KTC6" s="684"/>
      <c r="KTD6" s="684"/>
      <c r="KTE6" s="684"/>
      <c r="KTF6" s="684"/>
      <c r="KTG6" s="684"/>
      <c r="KTH6" s="684"/>
      <c r="KTI6" s="684"/>
      <c r="KTJ6" s="684"/>
      <c r="KTK6" s="684"/>
      <c r="KTL6" s="684"/>
      <c r="KTM6" s="684"/>
      <c r="KTN6" s="684"/>
      <c r="KTO6" s="684"/>
      <c r="KTP6" s="684"/>
      <c r="KTQ6" s="684"/>
      <c r="KTR6" s="684"/>
      <c r="KTS6" s="684"/>
      <c r="KTT6" s="684"/>
      <c r="KTU6" s="684"/>
      <c r="KTV6" s="684"/>
      <c r="KTW6" s="684"/>
      <c r="KTX6" s="684"/>
      <c r="KTY6" s="684"/>
      <c r="KTZ6" s="684"/>
      <c r="KUA6" s="684"/>
      <c r="KUB6" s="684"/>
      <c r="KUC6" s="684"/>
      <c r="KUD6" s="684"/>
      <c r="KUE6" s="684"/>
      <c r="KUF6" s="684"/>
      <c r="KUG6" s="684"/>
      <c r="KUH6" s="684"/>
      <c r="KUI6" s="684"/>
      <c r="KUJ6" s="684"/>
      <c r="KUK6" s="684"/>
      <c r="KUL6" s="684"/>
      <c r="KUM6" s="684"/>
      <c r="KUN6" s="684"/>
      <c r="KUO6" s="684"/>
      <c r="KUP6" s="684"/>
      <c r="KUQ6" s="684"/>
      <c r="KUR6" s="684"/>
      <c r="KUS6" s="684"/>
      <c r="KUT6" s="684"/>
      <c r="KUU6" s="684"/>
      <c r="KUV6" s="684"/>
      <c r="KUW6" s="684"/>
      <c r="KUX6" s="684"/>
      <c r="KUY6" s="684"/>
      <c r="KUZ6" s="684"/>
      <c r="KVA6" s="684"/>
      <c r="KVB6" s="684"/>
      <c r="KVC6" s="684"/>
      <c r="KVD6" s="684"/>
      <c r="KVE6" s="684"/>
      <c r="KVF6" s="684"/>
      <c r="KVG6" s="684"/>
      <c r="KVH6" s="684"/>
      <c r="KVI6" s="684"/>
      <c r="KVJ6" s="684"/>
      <c r="KVK6" s="684"/>
      <c r="KVL6" s="684"/>
      <c r="KVM6" s="684"/>
      <c r="KVN6" s="684"/>
      <c r="KVO6" s="684"/>
      <c r="KVP6" s="684"/>
      <c r="KVQ6" s="684"/>
      <c r="KVR6" s="684"/>
      <c r="KVS6" s="684"/>
      <c r="KVT6" s="684"/>
      <c r="KVU6" s="684"/>
      <c r="KVV6" s="684"/>
      <c r="KVW6" s="684"/>
      <c r="KVX6" s="684"/>
      <c r="KVY6" s="684"/>
      <c r="KVZ6" s="684"/>
      <c r="KWA6" s="684"/>
      <c r="KWB6" s="684"/>
      <c r="KWC6" s="684"/>
      <c r="KWD6" s="684"/>
      <c r="KWE6" s="684"/>
      <c r="KWF6" s="684"/>
      <c r="KWG6" s="684"/>
      <c r="KWH6" s="684"/>
      <c r="KWI6" s="684"/>
      <c r="KWJ6" s="684"/>
      <c r="KWK6" s="684"/>
      <c r="KWL6" s="684"/>
      <c r="KWM6" s="684"/>
      <c r="KWN6" s="684"/>
      <c r="KWO6" s="684"/>
      <c r="KWP6" s="684"/>
      <c r="KWQ6" s="684"/>
      <c r="KWR6" s="684"/>
      <c r="KWS6" s="684"/>
      <c r="KWT6" s="684"/>
      <c r="KWU6" s="684"/>
      <c r="KWV6" s="684"/>
      <c r="KWW6" s="684"/>
      <c r="KWX6" s="684"/>
      <c r="KWY6" s="684"/>
      <c r="KWZ6" s="684"/>
      <c r="KXA6" s="684"/>
      <c r="KXB6" s="684"/>
      <c r="KXC6" s="684"/>
      <c r="KXD6" s="684"/>
      <c r="KXE6" s="684"/>
      <c r="KXF6" s="684"/>
      <c r="KXG6" s="684"/>
      <c r="KXH6" s="684"/>
      <c r="KXI6" s="684"/>
      <c r="KXJ6" s="684"/>
      <c r="KXK6" s="684"/>
      <c r="KXL6" s="684"/>
      <c r="KXM6" s="684"/>
      <c r="KXN6" s="684"/>
      <c r="KXO6" s="684"/>
      <c r="KXP6" s="684"/>
      <c r="KXQ6" s="684"/>
      <c r="KXR6" s="684"/>
      <c r="KXS6" s="684"/>
      <c r="KXT6" s="684"/>
      <c r="KXU6" s="684"/>
      <c r="KXV6" s="684"/>
      <c r="KXW6" s="684"/>
      <c r="KXX6" s="684"/>
      <c r="KXY6" s="684"/>
      <c r="KXZ6" s="684"/>
      <c r="KYA6" s="684"/>
      <c r="KYB6" s="684"/>
      <c r="KYC6" s="684"/>
      <c r="KYD6" s="684"/>
      <c r="KYE6" s="684"/>
      <c r="KYF6" s="684"/>
      <c r="KYG6" s="684"/>
      <c r="KYH6" s="684"/>
      <c r="KYI6" s="684"/>
      <c r="KYJ6" s="684"/>
      <c r="KYK6" s="684"/>
      <c r="KYL6" s="684"/>
      <c r="KYM6" s="684"/>
      <c r="KYN6" s="684"/>
      <c r="KYO6" s="684"/>
      <c r="KYP6" s="684"/>
      <c r="KYQ6" s="684"/>
      <c r="KYR6" s="684"/>
      <c r="KYS6" s="684"/>
      <c r="KYT6" s="684"/>
      <c r="KYU6" s="684"/>
      <c r="KYV6" s="684"/>
      <c r="KYW6" s="684"/>
      <c r="KYX6" s="684"/>
      <c r="KYY6" s="684"/>
      <c r="KYZ6" s="684"/>
      <c r="KZA6" s="684"/>
      <c r="KZB6" s="684"/>
      <c r="KZC6" s="684"/>
      <c r="KZD6" s="684"/>
      <c r="KZE6" s="684"/>
      <c r="KZF6" s="684"/>
      <c r="KZG6" s="684"/>
      <c r="KZH6" s="684"/>
      <c r="KZI6" s="684"/>
      <c r="KZJ6" s="684"/>
      <c r="KZK6" s="684"/>
      <c r="KZL6" s="684"/>
      <c r="KZM6" s="684"/>
      <c r="KZN6" s="684"/>
      <c r="KZO6" s="684"/>
      <c r="KZP6" s="684"/>
      <c r="KZQ6" s="684"/>
      <c r="KZR6" s="684"/>
      <c r="KZS6" s="684"/>
      <c r="KZT6" s="684"/>
      <c r="KZU6" s="684"/>
      <c r="KZV6" s="684"/>
      <c r="KZW6" s="684"/>
      <c r="KZX6" s="684"/>
      <c r="KZY6" s="684"/>
      <c r="KZZ6" s="684"/>
      <c r="LAA6" s="684"/>
      <c r="LAB6" s="684"/>
      <c r="LAC6" s="684"/>
      <c r="LAD6" s="684"/>
      <c r="LAE6" s="684"/>
      <c r="LAF6" s="684"/>
      <c r="LAG6" s="684"/>
      <c r="LAH6" s="684"/>
      <c r="LAI6" s="684"/>
      <c r="LAJ6" s="684"/>
      <c r="LAK6" s="684"/>
      <c r="LAL6" s="684"/>
      <c r="LAM6" s="684"/>
      <c r="LAN6" s="684"/>
      <c r="LAO6" s="684"/>
      <c r="LAP6" s="684"/>
      <c r="LAQ6" s="684"/>
      <c r="LAR6" s="684"/>
      <c r="LAS6" s="684"/>
      <c r="LAT6" s="684"/>
      <c r="LAU6" s="684"/>
      <c r="LAV6" s="684"/>
      <c r="LAW6" s="684"/>
      <c r="LAX6" s="684"/>
      <c r="LAY6" s="684"/>
      <c r="LAZ6" s="684"/>
      <c r="LBA6" s="684"/>
      <c r="LBB6" s="684"/>
      <c r="LBC6" s="684"/>
      <c r="LBD6" s="684"/>
      <c r="LBE6" s="684"/>
      <c r="LBF6" s="684"/>
      <c r="LBG6" s="684"/>
      <c r="LBH6" s="684"/>
      <c r="LBI6" s="684"/>
      <c r="LBJ6" s="684"/>
      <c r="LBK6" s="684"/>
      <c r="LBL6" s="684"/>
      <c r="LBM6" s="684"/>
      <c r="LBN6" s="684"/>
      <c r="LBO6" s="684"/>
      <c r="LBP6" s="684"/>
      <c r="LBQ6" s="684"/>
      <c r="LBR6" s="684"/>
      <c r="LBS6" s="684"/>
      <c r="LBT6" s="684"/>
      <c r="LBU6" s="684"/>
      <c r="LBV6" s="684"/>
      <c r="LBW6" s="684"/>
      <c r="LBX6" s="684"/>
      <c r="LBY6" s="684"/>
      <c r="LBZ6" s="684"/>
      <c r="LCA6" s="684"/>
      <c r="LCB6" s="684"/>
      <c r="LCC6" s="684"/>
      <c r="LCD6" s="684"/>
      <c r="LCE6" s="684"/>
      <c r="LCF6" s="684"/>
      <c r="LCG6" s="684"/>
      <c r="LCH6" s="684"/>
      <c r="LCI6" s="684"/>
      <c r="LCJ6" s="684"/>
      <c r="LCK6" s="684"/>
      <c r="LCL6" s="684"/>
      <c r="LCM6" s="684"/>
      <c r="LCN6" s="684"/>
      <c r="LCO6" s="684"/>
      <c r="LCP6" s="684"/>
      <c r="LCQ6" s="684"/>
      <c r="LCR6" s="684"/>
      <c r="LCS6" s="684"/>
      <c r="LCT6" s="684"/>
      <c r="LCU6" s="684"/>
      <c r="LCV6" s="684"/>
      <c r="LCW6" s="684"/>
      <c r="LCX6" s="684"/>
      <c r="LCY6" s="684"/>
      <c r="LCZ6" s="684"/>
      <c r="LDA6" s="684"/>
      <c r="LDB6" s="684"/>
      <c r="LDC6" s="684"/>
      <c r="LDD6" s="684"/>
      <c r="LDE6" s="684"/>
      <c r="LDF6" s="684"/>
      <c r="LDG6" s="684"/>
      <c r="LDH6" s="684"/>
      <c r="LDI6" s="684"/>
      <c r="LDJ6" s="684"/>
      <c r="LDK6" s="684"/>
      <c r="LDL6" s="684"/>
      <c r="LDM6" s="684"/>
      <c r="LDN6" s="684"/>
      <c r="LDO6" s="684"/>
      <c r="LDP6" s="684"/>
      <c r="LDQ6" s="684"/>
      <c r="LDR6" s="684"/>
      <c r="LDS6" s="684"/>
      <c r="LDT6" s="684"/>
      <c r="LDU6" s="684"/>
      <c r="LDV6" s="684"/>
      <c r="LDW6" s="684"/>
      <c r="LDX6" s="684"/>
      <c r="LDY6" s="684"/>
      <c r="LDZ6" s="684"/>
      <c r="LEA6" s="684"/>
      <c r="LEB6" s="684"/>
      <c r="LEC6" s="684"/>
      <c r="LED6" s="684"/>
      <c r="LEE6" s="684"/>
      <c r="LEF6" s="684"/>
      <c r="LEG6" s="684"/>
      <c r="LEH6" s="684"/>
      <c r="LEI6" s="684"/>
      <c r="LEJ6" s="684"/>
      <c r="LEK6" s="684"/>
      <c r="LEL6" s="684"/>
      <c r="LEM6" s="684"/>
      <c r="LEN6" s="684"/>
      <c r="LEO6" s="684"/>
      <c r="LEP6" s="684"/>
      <c r="LEQ6" s="684"/>
      <c r="LER6" s="684"/>
      <c r="LES6" s="684"/>
      <c r="LET6" s="684"/>
      <c r="LEU6" s="684"/>
      <c r="LEV6" s="684"/>
      <c r="LEW6" s="684"/>
      <c r="LEX6" s="684"/>
      <c r="LEY6" s="684"/>
      <c r="LEZ6" s="684"/>
      <c r="LFA6" s="684"/>
      <c r="LFB6" s="684"/>
      <c r="LFC6" s="684"/>
      <c r="LFD6" s="684"/>
      <c r="LFE6" s="684"/>
      <c r="LFF6" s="684"/>
      <c r="LFG6" s="684"/>
      <c r="LFH6" s="684"/>
      <c r="LFI6" s="684"/>
      <c r="LFJ6" s="684"/>
      <c r="LFK6" s="684"/>
      <c r="LFL6" s="684"/>
      <c r="LFM6" s="684"/>
      <c r="LFN6" s="684"/>
      <c r="LFO6" s="684"/>
      <c r="LFP6" s="684"/>
      <c r="LFQ6" s="684"/>
      <c r="LFR6" s="684"/>
      <c r="LFS6" s="684"/>
      <c r="LFT6" s="684"/>
      <c r="LFU6" s="684"/>
      <c r="LFV6" s="684"/>
      <c r="LFW6" s="684"/>
      <c r="LFX6" s="684"/>
      <c r="LFY6" s="684"/>
      <c r="LFZ6" s="684"/>
      <c r="LGA6" s="684"/>
      <c r="LGB6" s="684"/>
      <c r="LGC6" s="684"/>
      <c r="LGD6" s="684"/>
      <c r="LGE6" s="684"/>
      <c r="LGF6" s="684"/>
      <c r="LGG6" s="684"/>
      <c r="LGH6" s="684"/>
      <c r="LGI6" s="684"/>
      <c r="LGJ6" s="684"/>
      <c r="LGK6" s="684"/>
      <c r="LGL6" s="684"/>
      <c r="LGM6" s="684"/>
      <c r="LGN6" s="684"/>
      <c r="LGO6" s="684"/>
      <c r="LGP6" s="684"/>
      <c r="LGQ6" s="684"/>
      <c r="LGR6" s="684"/>
      <c r="LGS6" s="684"/>
      <c r="LGT6" s="684"/>
      <c r="LGU6" s="684"/>
      <c r="LGV6" s="684"/>
      <c r="LGW6" s="684"/>
      <c r="LGX6" s="684"/>
      <c r="LGY6" s="684"/>
      <c r="LGZ6" s="684"/>
      <c r="LHA6" s="684"/>
      <c r="LHB6" s="684"/>
      <c r="LHC6" s="684"/>
      <c r="LHD6" s="684"/>
      <c r="LHE6" s="684"/>
      <c r="LHF6" s="684"/>
      <c r="LHG6" s="684"/>
      <c r="LHH6" s="684"/>
      <c r="LHI6" s="684"/>
      <c r="LHJ6" s="684"/>
      <c r="LHK6" s="684"/>
      <c r="LHL6" s="684"/>
      <c r="LHM6" s="684"/>
      <c r="LHN6" s="684"/>
      <c r="LHO6" s="684"/>
      <c r="LHP6" s="684"/>
      <c r="LHQ6" s="684"/>
      <c r="LHR6" s="684"/>
      <c r="LHS6" s="684"/>
      <c r="LHT6" s="684"/>
      <c r="LHU6" s="684"/>
      <c r="LHV6" s="684"/>
      <c r="LHW6" s="684"/>
      <c r="LHX6" s="684"/>
      <c r="LHY6" s="684"/>
      <c r="LHZ6" s="684"/>
      <c r="LIA6" s="684"/>
      <c r="LIB6" s="684"/>
      <c r="LIC6" s="684"/>
      <c r="LID6" s="684"/>
      <c r="LIE6" s="684"/>
      <c r="LIF6" s="684"/>
      <c r="LIG6" s="684"/>
      <c r="LIH6" s="684"/>
      <c r="LII6" s="684"/>
      <c r="LIJ6" s="684"/>
      <c r="LIK6" s="684"/>
      <c r="LIL6" s="684"/>
      <c r="LIM6" s="684"/>
      <c r="LIN6" s="684"/>
      <c r="LIO6" s="684"/>
      <c r="LIP6" s="684"/>
      <c r="LIQ6" s="684"/>
      <c r="LIR6" s="684"/>
      <c r="LIS6" s="684"/>
      <c r="LIT6" s="684"/>
      <c r="LIU6" s="684"/>
      <c r="LIV6" s="684"/>
      <c r="LIW6" s="684"/>
      <c r="LIX6" s="684"/>
      <c r="LIY6" s="684"/>
      <c r="LIZ6" s="684"/>
      <c r="LJA6" s="684"/>
      <c r="LJB6" s="684"/>
      <c r="LJC6" s="684"/>
      <c r="LJD6" s="684"/>
      <c r="LJE6" s="684"/>
      <c r="LJF6" s="684"/>
      <c r="LJG6" s="684"/>
      <c r="LJH6" s="684"/>
      <c r="LJI6" s="684"/>
      <c r="LJJ6" s="684"/>
      <c r="LJK6" s="684"/>
      <c r="LJL6" s="684"/>
      <c r="LJM6" s="684"/>
      <c r="LJN6" s="684"/>
      <c r="LJO6" s="684"/>
      <c r="LJP6" s="684"/>
      <c r="LJQ6" s="684"/>
      <c r="LJR6" s="684"/>
      <c r="LJS6" s="684"/>
      <c r="LJT6" s="684"/>
      <c r="LJU6" s="684"/>
      <c r="LJV6" s="684"/>
      <c r="LJW6" s="684"/>
      <c r="LJX6" s="684"/>
      <c r="LJY6" s="684"/>
      <c r="LJZ6" s="684"/>
      <c r="LKA6" s="684"/>
      <c r="LKB6" s="684"/>
      <c r="LKC6" s="684"/>
      <c r="LKD6" s="684"/>
      <c r="LKE6" s="684"/>
      <c r="LKF6" s="684"/>
      <c r="LKG6" s="684"/>
      <c r="LKH6" s="684"/>
      <c r="LKI6" s="684"/>
      <c r="LKJ6" s="684"/>
      <c r="LKK6" s="684"/>
      <c r="LKL6" s="684"/>
      <c r="LKM6" s="684"/>
      <c r="LKN6" s="684"/>
      <c r="LKO6" s="684"/>
      <c r="LKP6" s="684"/>
      <c r="LKQ6" s="684"/>
      <c r="LKR6" s="684"/>
      <c r="LKS6" s="684"/>
      <c r="LKT6" s="684"/>
      <c r="LKU6" s="684"/>
      <c r="LKV6" s="684"/>
      <c r="LKW6" s="684"/>
      <c r="LKX6" s="684"/>
      <c r="LKY6" s="684"/>
      <c r="LKZ6" s="684"/>
      <c r="LLA6" s="684"/>
      <c r="LLB6" s="684"/>
      <c r="LLC6" s="684"/>
      <c r="LLD6" s="684"/>
      <c r="LLE6" s="684"/>
      <c r="LLF6" s="684"/>
      <c r="LLG6" s="684"/>
      <c r="LLH6" s="684"/>
      <c r="LLI6" s="684"/>
      <c r="LLJ6" s="684"/>
      <c r="LLK6" s="684"/>
      <c r="LLL6" s="684"/>
      <c r="LLM6" s="684"/>
      <c r="LLN6" s="684"/>
      <c r="LLO6" s="684"/>
      <c r="LLP6" s="684"/>
      <c r="LLQ6" s="684"/>
      <c r="LLR6" s="684"/>
      <c r="LLS6" s="684"/>
      <c r="LLT6" s="684"/>
      <c r="LLU6" s="684"/>
      <c r="LLV6" s="684"/>
      <c r="LLW6" s="684"/>
      <c r="LLX6" s="684"/>
      <c r="LLY6" s="684"/>
      <c r="LLZ6" s="684"/>
      <c r="LMA6" s="684"/>
      <c r="LMB6" s="684"/>
      <c r="LMC6" s="684"/>
      <c r="LMD6" s="684"/>
      <c r="LME6" s="684"/>
      <c r="LMF6" s="684"/>
      <c r="LMG6" s="684"/>
      <c r="LMH6" s="684"/>
      <c r="LMI6" s="684"/>
      <c r="LMJ6" s="684"/>
      <c r="LMK6" s="684"/>
      <c r="LML6" s="684"/>
      <c r="LMM6" s="684"/>
      <c r="LMN6" s="684"/>
      <c r="LMO6" s="684"/>
      <c r="LMP6" s="684"/>
      <c r="LMQ6" s="684"/>
      <c r="LMR6" s="684"/>
      <c r="LMS6" s="684"/>
      <c r="LMT6" s="684"/>
      <c r="LMU6" s="684"/>
      <c r="LMV6" s="684"/>
      <c r="LMW6" s="684"/>
      <c r="LMX6" s="684"/>
      <c r="LMY6" s="684"/>
      <c r="LMZ6" s="684"/>
      <c r="LNA6" s="684"/>
      <c r="LNB6" s="684"/>
      <c r="LNC6" s="684"/>
      <c r="LND6" s="684"/>
      <c r="LNE6" s="684"/>
      <c r="LNF6" s="684"/>
      <c r="LNG6" s="684"/>
      <c r="LNH6" s="684"/>
      <c r="LNI6" s="684"/>
      <c r="LNJ6" s="684"/>
      <c r="LNK6" s="684"/>
      <c r="LNL6" s="684"/>
      <c r="LNM6" s="684"/>
      <c r="LNN6" s="684"/>
      <c r="LNO6" s="684"/>
      <c r="LNP6" s="684"/>
      <c r="LNQ6" s="684"/>
      <c r="LNR6" s="684"/>
      <c r="LNS6" s="684"/>
      <c r="LNT6" s="684"/>
      <c r="LNU6" s="684"/>
      <c r="LNV6" s="684"/>
      <c r="LNW6" s="684"/>
      <c r="LNX6" s="684"/>
      <c r="LNY6" s="684"/>
      <c r="LNZ6" s="684"/>
      <c r="LOA6" s="684"/>
      <c r="LOB6" s="684"/>
      <c r="LOC6" s="684"/>
      <c r="LOD6" s="684"/>
      <c r="LOE6" s="684"/>
      <c r="LOF6" s="684"/>
      <c r="LOG6" s="684"/>
      <c r="LOH6" s="684"/>
      <c r="LOI6" s="684"/>
      <c r="LOJ6" s="684"/>
      <c r="LOK6" s="684"/>
      <c r="LOL6" s="684"/>
      <c r="LOM6" s="684"/>
      <c r="LON6" s="684"/>
      <c r="LOO6" s="684"/>
      <c r="LOP6" s="684"/>
      <c r="LOQ6" s="684"/>
      <c r="LOR6" s="684"/>
      <c r="LOS6" s="684"/>
      <c r="LOT6" s="684"/>
      <c r="LOU6" s="684"/>
      <c r="LOV6" s="684"/>
      <c r="LOW6" s="684"/>
      <c r="LOX6" s="684"/>
      <c r="LOY6" s="684"/>
      <c r="LOZ6" s="684"/>
      <c r="LPA6" s="684"/>
      <c r="LPB6" s="684"/>
      <c r="LPC6" s="684"/>
      <c r="LPD6" s="684"/>
      <c r="LPE6" s="684"/>
      <c r="LPF6" s="684"/>
      <c r="LPG6" s="684"/>
      <c r="LPH6" s="684"/>
      <c r="LPI6" s="684"/>
      <c r="LPJ6" s="684"/>
      <c r="LPK6" s="684"/>
      <c r="LPL6" s="684"/>
      <c r="LPM6" s="684"/>
      <c r="LPN6" s="684"/>
      <c r="LPO6" s="684"/>
      <c r="LPP6" s="684"/>
      <c r="LPQ6" s="684"/>
      <c r="LPR6" s="684"/>
      <c r="LPS6" s="684"/>
      <c r="LPT6" s="684"/>
      <c r="LPU6" s="684"/>
      <c r="LPV6" s="684"/>
      <c r="LPW6" s="684"/>
      <c r="LPX6" s="684"/>
      <c r="LPY6" s="684"/>
      <c r="LPZ6" s="684"/>
      <c r="LQA6" s="684"/>
      <c r="LQB6" s="684"/>
      <c r="LQC6" s="684"/>
      <c r="LQD6" s="684"/>
      <c r="LQE6" s="684"/>
      <c r="LQF6" s="684"/>
      <c r="LQG6" s="684"/>
      <c r="LQH6" s="684"/>
      <c r="LQI6" s="684"/>
      <c r="LQJ6" s="684"/>
      <c r="LQK6" s="684"/>
      <c r="LQL6" s="684"/>
      <c r="LQM6" s="684"/>
      <c r="LQN6" s="684"/>
      <c r="LQO6" s="684"/>
      <c r="LQP6" s="684"/>
      <c r="LQQ6" s="684"/>
      <c r="LQR6" s="684"/>
      <c r="LQS6" s="684"/>
      <c r="LQT6" s="684"/>
      <c r="LQU6" s="684"/>
      <c r="LQV6" s="684"/>
      <c r="LQW6" s="684"/>
      <c r="LQX6" s="684"/>
      <c r="LQY6" s="684"/>
      <c r="LQZ6" s="684"/>
      <c r="LRA6" s="684"/>
      <c r="LRB6" s="684"/>
      <c r="LRC6" s="684"/>
      <c r="LRD6" s="684"/>
      <c r="LRE6" s="684"/>
      <c r="LRF6" s="684"/>
      <c r="LRG6" s="684"/>
      <c r="LRH6" s="684"/>
      <c r="LRI6" s="684"/>
      <c r="LRJ6" s="684"/>
      <c r="LRK6" s="684"/>
      <c r="LRL6" s="684"/>
      <c r="LRM6" s="684"/>
      <c r="LRN6" s="684"/>
      <c r="LRO6" s="684"/>
      <c r="LRP6" s="684"/>
      <c r="LRQ6" s="684"/>
      <c r="LRR6" s="684"/>
      <c r="LRS6" s="684"/>
      <c r="LRT6" s="684"/>
      <c r="LRU6" s="684"/>
      <c r="LRV6" s="684"/>
      <c r="LRW6" s="684"/>
      <c r="LRX6" s="684"/>
      <c r="LRY6" s="684"/>
      <c r="LRZ6" s="684"/>
      <c r="LSA6" s="684"/>
      <c r="LSB6" s="684"/>
      <c r="LSC6" s="684"/>
      <c r="LSD6" s="684"/>
      <c r="LSE6" s="684"/>
      <c r="LSF6" s="684"/>
      <c r="LSG6" s="684"/>
      <c r="LSH6" s="684"/>
      <c r="LSI6" s="684"/>
      <c r="LSJ6" s="684"/>
      <c r="LSK6" s="684"/>
      <c r="LSL6" s="684"/>
      <c r="LSM6" s="684"/>
      <c r="LSN6" s="684"/>
      <c r="LSO6" s="684"/>
      <c r="LSP6" s="684"/>
      <c r="LSQ6" s="684"/>
      <c r="LSR6" s="684"/>
      <c r="LSS6" s="684"/>
      <c r="LST6" s="684"/>
      <c r="LSU6" s="684"/>
      <c r="LSV6" s="684"/>
      <c r="LSW6" s="684"/>
      <c r="LSX6" s="684"/>
      <c r="LSY6" s="684"/>
      <c r="LSZ6" s="684"/>
      <c r="LTA6" s="684"/>
      <c r="LTB6" s="684"/>
      <c r="LTC6" s="684"/>
      <c r="LTD6" s="684"/>
      <c r="LTE6" s="684"/>
      <c r="LTF6" s="684"/>
      <c r="LTG6" s="684"/>
      <c r="LTH6" s="684"/>
      <c r="LTI6" s="684"/>
      <c r="LTJ6" s="684"/>
      <c r="LTK6" s="684"/>
      <c r="LTL6" s="684"/>
      <c r="LTM6" s="684"/>
      <c r="LTN6" s="684"/>
      <c r="LTO6" s="684"/>
      <c r="LTP6" s="684"/>
      <c r="LTQ6" s="684"/>
      <c r="LTR6" s="684"/>
      <c r="LTS6" s="684"/>
      <c r="LTT6" s="684"/>
      <c r="LTU6" s="684"/>
      <c r="LTV6" s="684"/>
      <c r="LTW6" s="684"/>
      <c r="LTX6" s="684"/>
      <c r="LTY6" s="684"/>
      <c r="LTZ6" s="684"/>
      <c r="LUA6" s="684"/>
      <c r="LUB6" s="684"/>
      <c r="LUC6" s="684"/>
      <c r="LUD6" s="684"/>
      <c r="LUE6" s="684"/>
      <c r="LUF6" s="684"/>
      <c r="LUG6" s="684"/>
      <c r="LUH6" s="684"/>
      <c r="LUI6" s="684"/>
      <c r="LUJ6" s="684"/>
      <c r="LUK6" s="684"/>
      <c r="LUL6" s="684"/>
      <c r="LUM6" s="684"/>
      <c r="LUN6" s="684"/>
      <c r="LUO6" s="684"/>
      <c r="LUP6" s="684"/>
      <c r="LUQ6" s="684"/>
      <c r="LUR6" s="684"/>
      <c r="LUS6" s="684"/>
      <c r="LUT6" s="684"/>
      <c r="LUU6" s="684"/>
      <c r="LUV6" s="684"/>
      <c r="LUW6" s="684"/>
      <c r="LUX6" s="684"/>
      <c r="LUY6" s="684"/>
      <c r="LUZ6" s="684"/>
      <c r="LVA6" s="684"/>
      <c r="LVB6" s="684"/>
      <c r="LVC6" s="684"/>
      <c r="LVD6" s="684"/>
      <c r="LVE6" s="684"/>
      <c r="LVF6" s="684"/>
      <c r="LVG6" s="684"/>
      <c r="LVH6" s="684"/>
      <c r="LVI6" s="684"/>
      <c r="LVJ6" s="684"/>
      <c r="LVK6" s="684"/>
      <c r="LVL6" s="684"/>
      <c r="LVM6" s="684"/>
      <c r="LVN6" s="684"/>
      <c r="LVO6" s="684"/>
      <c r="LVP6" s="684"/>
      <c r="LVQ6" s="684"/>
      <c r="LVR6" s="684"/>
      <c r="LVS6" s="684"/>
      <c r="LVT6" s="684"/>
      <c r="LVU6" s="684"/>
      <c r="LVV6" s="684"/>
      <c r="LVW6" s="684"/>
      <c r="LVX6" s="684"/>
      <c r="LVY6" s="684"/>
      <c r="LVZ6" s="684"/>
      <c r="LWA6" s="684"/>
      <c r="LWB6" s="684"/>
      <c r="LWC6" s="684"/>
      <c r="LWD6" s="684"/>
      <c r="LWE6" s="684"/>
      <c r="LWF6" s="684"/>
      <c r="LWG6" s="684"/>
      <c r="LWH6" s="684"/>
      <c r="LWI6" s="684"/>
      <c r="LWJ6" s="684"/>
      <c r="LWK6" s="684"/>
      <c r="LWL6" s="684"/>
      <c r="LWM6" s="684"/>
      <c r="LWN6" s="684"/>
      <c r="LWO6" s="684"/>
      <c r="LWP6" s="684"/>
      <c r="LWQ6" s="684"/>
      <c r="LWR6" s="684"/>
      <c r="LWS6" s="684"/>
      <c r="LWT6" s="684"/>
      <c r="LWU6" s="684"/>
      <c r="LWV6" s="684"/>
      <c r="LWW6" s="684"/>
      <c r="LWX6" s="684"/>
      <c r="LWY6" s="684"/>
      <c r="LWZ6" s="684"/>
      <c r="LXA6" s="684"/>
      <c r="LXB6" s="684"/>
      <c r="LXC6" s="684"/>
      <c r="LXD6" s="684"/>
      <c r="LXE6" s="684"/>
      <c r="LXF6" s="684"/>
      <c r="LXG6" s="684"/>
      <c r="LXH6" s="684"/>
      <c r="LXI6" s="684"/>
      <c r="LXJ6" s="684"/>
      <c r="LXK6" s="684"/>
      <c r="LXL6" s="684"/>
      <c r="LXM6" s="684"/>
      <c r="LXN6" s="684"/>
      <c r="LXO6" s="684"/>
      <c r="LXP6" s="684"/>
      <c r="LXQ6" s="684"/>
      <c r="LXR6" s="684"/>
      <c r="LXS6" s="684"/>
      <c r="LXT6" s="684"/>
      <c r="LXU6" s="684"/>
      <c r="LXV6" s="684"/>
      <c r="LXW6" s="684"/>
      <c r="LXX6" s="684"/>
      <c r="LXY6" s="684"/>
      <c r="LXZ6" s="684"/>
      <c r="LYA6" s="684"/>
      <c r="LYB6" s="684"/>
      <c r="LYC6" s="684"/>
      <c r="LYD6" s="684"/>
      <c r="LYE6" s="684"/>
      <c r="LYF6" s="684"/>
      <c r="LYG6" s="684"/>
      <c r="LYH6" s="684"/>
      <c r="LYI6" s="684"/>
      <c r="LYJ6" s="684"/>
      <c r="LYK6" s="684"/>
      <c r="LYL6" s="684"/>
      <c r="LYM6" s="684"/>
      <c r="LYN6" s="684"/>
      <c r="LYO6" s="684"/>
      <c r="LYP6" s="684"/>
      <c r="LYQ6" s="684"/>
      <c r="LYR6" s="684"/>
      <c r="LYS6" s="684"/>
      <c r="LYT6" s="684"/>
      <c r="LYU6" s="684"/>
      <c r="LYV6" s="684"/>
      <c r="LYW6" s="684"/>
      <c r="LYX6" s="684"/>
      <c r="LYY6" s="684"/>
      <c r="LYZ6" s="684"/>
      <c r="LZA6" s="684"/>
      <c r="LZB6" s="684"/>
      <c r="LZC6" s="684"/>
      <c r="LZD6" s="684"/>
      <c r="LZE6" s="684"/>
      <c r="LZF6" s="684"/>
      <c r="LZG6" s="684"/>
      <c r="LZH6" s="684"/>
      <c r="LZI6" s="684"/>
      <c r="LZJ6" s="684"/>
      <c r="LZK6" s="684"/>
      <c r="LZL6" s="684"/>
      <c r="LZM6" s="684"/>
      <c r="LZN6" s="684"/>
      <c r="LZO6" s="684"/>
      <c r="LZP6" s="684"/>
      <c r="LZQ6" s="684"/>
      <c r="LZR6" s="684"/>
      <c r="LZS6" s="684"/>
      <c r="LZT6" s="684"/>
      <c r="LZU6" s="684"/>
      <c r="LZV6" s="684"/>
      <c r="LZW6" s="684"/>
      <c r="LZX6" s="684"/>
      <c r="LZY6" s="684"/>
      <c r="LZZ6" s="684"/>
      <c r="MAA6" s="684"/>
      <c r="MAB6" s="684"/>
      <c r="MAC6" s="684"/>
      <c r="MAD6" s="684"/>
      <c r="MAE6" s="684"/>
      <c r="MAF6" s="684"/>
      <c r="MAG6" s="684"/>
      <c r="MAH6" s="684"/>
      <c r="MAI6" s="684"/>
      <c r="MAJ6" s="684"/>
      <c r="MAK6" s="684"/>
      <c r="MAL6" s="684"/>
      <c r="MAM6" s="684"/>
      <c r="MAN6" s="684"/>
      <c r="MAO6" s="684"/>
      <c r="MAP6" s="684"/>
      <c r="MAQ6" s="684"/>
      <c r="MAR6" s="684"/>
      <c r="MAS6" s="684"/>
      <c r="MAT6" s="684"/>
      <c r="MAU6" s="684"/>
      <c r="MAV6" s="684"/>
      <c r="MAW6" s="684"/>
      <c r="MAX6" s="684"/>
      <c r="MAY6" s="684"/>
      <c r="MAZ6" s="684"/>
      <c r="MBA6" s="684"/>
      <c r="MBB6" s="684"/>
      <c r="MBC6" s="684"/>
      <c r="MBD6" s="684"/>
      <c r="MBE6" s="684"/>
      <c r="MBF6" s="684"/>
      <c r="MBG6" s="684"/>
      <c r="MBH6" s="684"/>
      <c r="MBI6" s="684"/>
      <c r="MBJ6" s="684"/>
      <c r="MBK6" s="684"/>
      <c r="MBL6" s="684"/>
      <c r="MBM6" s="684"/>
      <c r="MBN6" s="684"/>
      <c r="MBO6" s="684"/>
      <c r="MBP6" s="684"/>
      <c r="MBQ6" s="684"/>
      <c r="MBR6" s="684"/>
      <c r="MBS6" s="684"/>
      <c r="MBT6" s="684"/>
      <c r="MBU6" s="684"/>
      <c r="MBV6" s="684"/>
      <c r="MBW6" s="684"/>
      <c r="MBX6" s="684"/>
      <c r="MBY6" s="684"/>
      <c r="MBZ6" s="684"/>
      <c r="MCA6" s="684"/>
      <c r="MCB6" s="684"/>
      <c r="MCC6" s="684"/>
      <c r="MCD6" s="684"/>
      <c r="MCE6" s="684"/>
      <c r="MCF6" s="684"/>
      <c r="MCG6" s="684"/>
      <c r="MCH6" s="684"/>
      <c r="MCI6" s="684"/>
      <c r="MCJ6" s="684"/>
      <c r="MCK6" s="684"/>
      <c r="MCL6" s="684"/>
      <c r="MCM6" s="684"/>
      <c r="MCN6" s="684"/>
      <c r="MCO6" s="684"/>
      <c r="MCP6" s="684"/>
      <c r="MCQ6" s="684"/>
      <c r="MCR6" s="684"/>
      <c r="MCS6" s="684"/>
      <c r="MCT6" s="684"/>
      <c r="MCU6" s="684"/>
      <c r="MCV6" s="684"/>
      <c r="MCW6" s="684"/>
      <c r="MCX6" s="684"/>
      <c r="MCY6" s="684"/>
      <c r="MCZ6" s="684"/>
      <c r="MDA6" s="684"/>
      <c r="MDB6" s="684"/>
      <c r="MDC6" s="684"/>
      <c r="MDD6" s="684"/>
      <c r="MDE6" s="684"/>
      <c r="MDF6" s="684"/>
      <c r="MDG6" s="684"/>
      <c r="MDH6" s="684"/>
      <c r="MDI6" s="684"/>
      <c r="MDJ6" s="684"/>
      <c r="MDK6" s="684"/>
      <c r="MDL6" s="684"/>
      <c r="MDM6" s="684"/>
      <c r="MDN6" s="684"/>
      <c r="MDO6" s="684"/>
      <c r="MDP6" s="684"/>
      <c r="MDQ6" s="684"/>
      <c r="MDR6" s="684"/>
      <c r="MDS6" s="684"/>
      <c r="MDT6" s="684"/>
      <c r="MDU6" s="684"/>
      <c r="MDV6" s="684"/>
      <c r="MDW6" s="684"/>
      <c r="MDX6" s="684"/>
      <c r="MDY6" s="684"/>
      <c r="MDZ6" s="684"/>
      <c r="MEA6" s="684"/>
      <c r="MEB6" s="684"/>
      <c r="MEC6" s="684"/>
      <c r="MED6" s="684"/>
      <c r="MEE6" s="684"/>
      <c r="MEF6" s="684"/>
      <c r="MEG6" s="684"/>
      <c r="MEH6" s="684"/>
      <c r="MEI6" s="684"/>
      <c r="MEJ6" s="684"/>
      <c r="MEK6" s="684"/>
      <c r="MEL6" s="684"/>
      <c r="MEM6" s="684"/>
      <c r="MEN6" s="684"/>
      <c r="MEO6" s="684"/>
      <c r="MEP6" s="684"/>
      <c r="MEQ6" s="684"/>
      <c r="MER6" s="684"/>
      <c r="MES6" s="684"/>
      <c r="MET6" s="684"/>
      <c r="MEU6" s="684"/>
      <c r="MEV6" s="684"/>
      <c r="MEW6" s="684"/>
      <c r="MEX6" s="684"/>
      <c r="MEY6" s="684"/>
      <c r="MEZ6" s="684"/>
      <c r="MFA6" s="684"/>
      <c r="MFB6" s="684"/>
      <c r="MFC6" s="684"/>
      <c r="MFD6" s="684"/>
      <c r="MFE6" s="684"/>
      <c r="MFF6" s="684"/>
      <c r="MFG6" s="684"/>
      <c r="MFH6" s="684"/>
      <c r="MFI6" s="684"/>
      <c r="MFJ6" s="684"/>
      <c r="MFK6" s="684"/>
      <c r="MFL6" s="684"/>
      <c r="MFM6" s="684"/>
      <c r="MFN6" s="684"/>
      <c r="MFO6" s="684"/>
      <c r="MFP6" s="684"/>
      <c r="MFQ6" s="684"/>
      <c r="MFR6" s="684"/>
      <c r="MFS6" s="684"/>
      <c r="MFT6" s="684"/>
      <c r="MFU6" s="684"/>
      <c r="MFV6" s="684"/>
      <c r="MFW6" s="684"/>
      <c r="MFX6" s="684"/>
      <c r="MFY6" s="684"/>
      <c r="MFZ6" s="684"/>
      <c r="MGA6" s="684"/>
      <c r="MGB6" s="684"/>
      <c r="MGC6" s="684"/>
      <c r="MGD6" s="684"/>
      <c r="MGE6" s="684"/>
      <c r="MGF6" s="684"/>
      <c r="MGG6" s="684"/>
      <c r="MGH6" s="684"/>
      <c r="MGI6" s="684"/>
      <c r="MGJ6" s="684"/>
      <c r="MGK6" s="684"/>
      <c r="MGL6" s="684"/>
      <c r="MGM6" s="684"/>
      <c r="MGN6" s="684"/>
      <c r="MGO6" s="684"/>
      <c r="MGP6" s="684"/>
      <c r="MGQ6" s="684"/>
      <c r="MGR6" s="684"/>
      <c r="MGS6" s="684"/>
      <c r="MGT6" s="684"/>
      <c r="MGU6" s="684"/>
      <c r="MGV6" s="684"/>
      <c r="MGW6" s="684"/>
      <c r="MGX6" s="684"/>
      <c r="MGY6" s="684"/>
      <c r="MGZ6" s="684"/>
      <c r="MHA6" s="684"/>
      <c r="MHB6" s="684"/>
      <c r="MHC6" s="684"/>
      <c r="MHD6" s="684"/>
      <c r="MHE6" s="684"/>
      <c r="MHF6" s="684"/>
      <c r="MHG6" s="684"/>
      <c r="MHH6" s="684"/>
      <c r="MHI6" s="684"/>
      <c r="MHJ6" s="684"/>
      <c r="MHK6" s="684"/>
      <c r="MHL6" s="684"/>
      <c r="MHM6" s="684"/>
      <c r="MHN6" s="684"/>
      <c r="MHO6" s="684"/>
      <c r="MHP6" s="684"/>
      <c r="MHQ6" s="684"/>
      <c r="MHR6" s="684"/>
      <c r="MHS6" s="684"/>
      <c r="MHT6" s="684"/>
      <c r="MHU6" s="684"/>
      <c r="MHV6" s="684"/>
      <c r="MHW6" s="684"/>
      <c r="MHX6" s="684"/>
      <c r="MHY6" s="684"/>
      <c r="MHZ6" s="684"/>
      <c r="MIA6" s="684"/>
      <c r="MIB6" s="684"/>
      <c r="MIC6" s="684"/>
      <c r="MID6" s="684"/>
      <c r="MIE6" s="684"/>
      <c r="MIF6" s="684"/>
      <c r="MIG6" s="684"/>
      <c r="MIH6" s="684"/>
      <c r="MII6" s="684"/>
      <c r="MIJ6" s="684"/>
      <c r="MIK6" s="684"/>
      <c r="MIL6" s="684"/>
      <c r="MIM6" s="684"/>
      <c r="MIN6" s="684"/>
      <c r="MIO6" s="684"/>
      <c r="MIP6" s="684"/>
      <c r="MIQ6" s="684"/>
      <c r="MIR6" s="684"/>
      <c r="MIS6" s="684"/>
      <c r="MIT6" s="684"/>
      <c r="MIU6" s="684"/>
      <c r="MIV6" s="684"/>
      <c r="MIW6" s="684"/>
      <c r="MIX6" s="684"/>
      <c r="MIY6" s="684"/>
      <c r="MIZ6" s="684"/>
      <c r="MJA6" s="684"/>
      <c r="MJB6" s="684"/>
      <c r="MJC6" s="684"/>
      <c r="MJD6" s="684"/>
      <c r="MJE6" s="684"/>
      <c r="MJF6" s="684"/>
      <c r="MJG6" s="684"/>
      <c r="MJH6" s="684"/>
      <c r="MJI6" s="684"/>
      <c r="MJJ6" s="684"/>
      <c r="MJK6" s="684"/>
      <c r="MJL6" s="684"/>
      <c r="MJM6" s="684"/>
      <c r="MJN6" s="684"/>
      <c r="MJO6" s="684"/>
      <c r="MJP6" s="684"/>
      <c r="MJQ6" s="684"/>
      <c r="MJR6" s="684"/>
      <c r="MJS6" s="684"/>
      <c r="MJT6" s="684"/>
      <c r="MJU6" s="684"/>
      <c r="MJV6" s="684"/>
      <c r="MJW6" s="684"/>
      <c r="MJX6" s="684"/>
      <c r="MJY6" s="684"/>
      <c r="MJZ6" s="684"/>
      <c r="MKA6" s="684"/>
      <c r="MKB6" s="684"/>
      <c r="MKC6" s="684"/>
      <c r="MKD6" s="684"/>
      <c r="MKE6" s="684"/>
      <c r="MKF6" s="684"/>
      <c r="MKG6" s="684"/>
      <c r="MKH6" s="684"/>
      <c r="MKI6" s="684"/>
      <c r="MKJ6" s="684"/>
      <c r="MKK6" s="684"/>
      <c r="MKL6" s="684"/>
      <c r="MKM6" s="684"/>
      <c r="MKN6" s="684"/>
      <c r="MKO6" s="684"/>
      <c r="MKP6" s="684"/>
      <c r="MKQ6" s="684"/>
      <c r="MKR6" s="684"/>
      <c r="MKS6" s="684"/>
      <c r="MKT6" s="684"/>
      <c r="MKU6" s="684"/>
      <c r="MKV6" s="684"/>
      <c r="MKW6" s="684"/>
      <c r="MKX6" s="684"/>
      <c r="MKY6" s="684"/>
      <c r="MKZ6" s="684"/>
      <c r="MLA6" s="684"/>
      <c r="MLB6" s="684"/>
      <c r="MLC6" s="684"/>
      <c r="MLD6" s="684"/>
      <c r="MLE6" s="684"/>
      <c r="MLF6" s="684"/>
      <c r="MLG6" s="684"/>
      <c r="MLH6" s="684"/>
      <c r="MLI6" s="684"/>
      <c r="MLJ6" s="684"/>
      <c r="MLK6" s="684"/>
      <c r="MLL6" s="684"/>
      <c r="MLM6" s="684"/>
      <c r="MLN6" s="684"/>
      <c r="MLO6" s="684"/>
      <c r="MLP6" s="684"/>
      <c r="MLQ6" s="684"/>
      <c r="MLR6" s="684"/>
      <c r="MLS6" s="684"/>
      <c r="MLT6" s="684"/>
      <c r="MLU6" s="684"/>
      <c r="MLV6" s="684"/>
      <c r="MLW6" s="684"/>
      <c r="MLX6" s="684"/>
      <c r="MLY6" s="684"/>
      <c r="MLZ6" s="684"/>
      <c r="MMA6" s="684"/>
      <c r="MMB6" s="684"/>
      <c r="MMC6" s="684"/>
      <c r="MMD6" s="684"/>
      <c r="MME6" s="684"/>
      <c r="MMF6" s="684"/>
      <c r="MMG6" s="684"/>
      <c r="MMH6" s="684"/>
      <c r="MMI6" s="684"/>
      <c r="MMJ6" s="684"/>
      <c r="MMK6" s="684"/>
      <c r="MML6" s="684"/>
      <c r="MMM6" s="684"/>
      <c r="MMN6" s="684"/>
      <c r="MMO6" s="684"/>
      <c r="MMP6" s="684"/>
      <c r="MMQ6" s="684"/>
      <c r="MMR6" s="684"/>
      <c r="MMS6" s="684"/>
      <c r="MMT6" s="684"/>
      <c r="MMU6" s="684"/>
      <c r="MMV6" s="684"/>
      <c r="MMW6" s="684"/>
      <c r="MMX6" s="684"/>
      <c r="MMY6" s="684"/>
      <c r="MMZ6" s="684"/>
      <c r="MNA6" s="684"/>
      <c r="MNB6" s="684"/>
      <c r="MNC6" s="684"/>
      <c r="MND6" s="684"/>
      <c r="MNE6" s="684"/>
      <c r="MNF6" s="684"/>
      <c r="MNG6" s="684"/>
      <c r="MNH6" s="684"/>
      <c r="MNI6" s="684"/>
      <c r="MNJ6" s="684"/>
      <c r="MNK6" s="684"/>
      <c r="MNL6" s="684"/>
      <c r="MNM6" s="684"/>
      <c r="MNN6" s="684"/>
      <c r="MNO6" s="684"/>
      <c r="MNP6" s="684"/>
      <c r="MNQ6" s="684"/>
      <c r="MNR6" s="684"/>
      <c r="MNS6" s="684"/>
      <c r="MNT6" s="684"/>
      <c r="MNU6" s="684"/>
      <c r="MNV6" s="684"/>
      <c r="MNW6" s="684"/>
      <c r="MNX6" s="684"/>
      <c r="MNY6" s="684"/>
      <c r="MNZ6" s="684"/>
      <c r="MOA6" s="684"/>
      <c r="MOB6" s="684"/>
      <c r="MOC6" s="684"/>
      <c r="MOD6" s="684"/>
      <c r="MOE6" s="684"/>
      <c r="MOF6" s="684"/>
      <c r="MOG6" s="684"/>
      <c r="MOH6" s="684"/>
      <c r="MOI6" s="684"/>
      <c r="MOJ6" s="684"/>
      <c r="MOK6" s="684"/>
      <c r="MOL6" s="684"/>
      <c r="MOM6" s="684"/>
      <c r="MON6" s="684"/>
      <c r="MOO6" s="684"/>
      <c r="MOP6" s="684"/>
      <c r="MOQ6" s="684"/>
      <c r="MOR6" s="684"/>
      <c r="MOS6" s="684"/>
      <c r="MOT6" s="684"/>
      <c r="MOU6" s="684"/>
      <c r="MOV6" s="684"/>
      <c r="MOW6" s="684"/>
      <c r="MOX6" s="684"/>
      <c r="MOY6" s="684"/>
      <c r="MOZ6" s="684"/>
      <c r="MPA6" s="684"/>
      <c r="MPB6" s="684"/>
      <c r="MPC6" s="684"/>
      <c r="MPD6" s="684"/>
      <c r="MPE6" s="684"/>
      <c r="MPF6" s="684"/>
      <c r="MPG6" s="684"/>
      <c r="MPH6" s="684"/>
      <c r="MPI6" s="684"/>
      <c r="MPJ6" s="684"/>
      <c r="MPK6" s="684"/>
      <c r="MPL6" s="684"/>
      <c r="MPM6" s="684"/>
      <c r="MPN6" s="684"/>
      <c r="MPO6" s="684"/>
      <c r="MPP6" s="684"/>
      <c r="MPQ6" s="684"/>
      <c r="MPR6" s="684"/>
      <c r="MPS6" s="684"/>
      <c r="MPT6" s="684"/>
      <c r="MPU6" s="684"/>
      <c r="MPV6" s="684"/>
      <c r="MPW6" s="684"/>
      <c r="MPX6" s="684"/>
      <c r="MPY6" s="684"/>
      <c r="MPZ6" s="684"/>
      <c r="MQA6" s="684"/>
      <c r="MQB6" s="684"/>
      <c r="MQC6" s="684"/>
      <c r="MQD6" s="684"/>
      <c r="MQE6" s="684"/>
      <c r="MQF6" s="684"/>
      <c r="MQG6" s="684"/>
      <c r="MQH6" s="684"/>
      <c r="MQI6" s="684"/>
      <c r="MQJ6" s="684"/>
      <c r="MQK6" s="684"/>
      <c r="MQL6" s="684"/>
      <c r="MQM6" s="684"/>
      <c r="MQN6" s="684"/>
      <c r="MQO6" s="684"/>
      <c r="MQP6" s="684"/>
      <c r="MQQ6" s="684"/>
      <c r="MQR6" s="684"/>
      <c r="MQS6" s="684"/>
      <c r="MQT6" s="684"/>
      <c r="MQU6" s="684"/>
      <c r="MQV6" s="684"/>
      <c r="MQW6" s="684"/>
      <c r="MQX6" s="684"/>
      <c r="MQY6" s="684"/>
      <c r="MQZ6" s="684"/>
      <c r="MRA6" s="684"/>
      <c r="MRB6" s="684"/>
      <c r="MRC6" s="684"/>
      <c r="MRD6" s="684"/>
      <c r="MRE6" s="684"/>
      <c r="MRF6" s="684"/>
      <c r="MRG6" s="684"/>
      <c r="MRH6" s="684"/>
      <c r="MRI6" s="684"/>
      <c r="MRJ6" s="684"/>
      <c r="MRK6" s="684"/>
      <c r="MRL6" s="684"/>
      <c r="MRM6" s="684"/>
      <c r="MRN6" s="684"/>
      <c r="MRO6" s="684"/>
      <c r="MRP6" s="684"/>
      <c r="MRQ6" s="684"/>
      <c r="MRR6" s="684"/>
      <c r="MRS6" s="684"/>
      <c r="MRT6" s="684"/>
      <c r="MRU6" s="684"/>
      <c r="MRV6" s="684"/>
      <c r="MRW6" s="684"/>
      <c r="MRX6" s="684"/>
      <c r="MRY6" s="684"/>
      <c r="MRZ6" s="684"/>
      <c r="MSA6" s="684"/>
      <c r="MSB6" s="684"/>
      <c r="MSC6" s="684"/>
      <c r="MSD6" s="684"/>
      <c r="MSE6" s="684"/>
      <c r="MSF6" s="684"/>
      <c r="MSG6" s="684"/>
      <c r="MSH6" s="684"/>
      <c r="MSI6" s="684"/>
      <c r="MSJ6" s="684"/>
      <c r="MSK6" s="684"/>
      <c r="MSL6" s="684"/>
      <c r="MSM6" s="684"/>
      <c r="MSN6" s="684"/>
      <c r="MSO6" s="684"/>
      <c r="MSP6" s="684"/>
      <c r="MSQ6" s="684"/>
      <c r="MSR6" s="684"/>
      <c r="MSS6" s="684"/>
      <c r="MST6" s="684"/>
      <c r="MSU6" s="684"/>
      <c r="MSV6" s="684"/>
      <c r="MSW6" s="684"/>
      <c r="MSX6" s="684"/>
      <c r="MSY6" s="684"/>
      <c r="MSZ6" s="684"/>
      <c r="MTA6" s="684"/>
      <c r="MTB6" s="684"/>
      <c r="MTC6" s="684"/>
      <c r="MTD6" s="684"/>
      <c r="MTE6" s="684"/>
      <c r="MTF6" s="684"/>
      <c r="MTG6" s="684"/>
      <c r="MTH6" s="684"/>
      <c r="MTI6" s="684"/>
      <c r="MTJ6" s="684"/>
      <c r="MTK6" s="684"/>
      <c r="MTL6" s="684"/>
      <c r="MTM6" s="684"/>
      <c r="MTN6" s="684"/>
      <c r="MTO6" s="684"/>
      <c r="MTP6" s="684"/>
      <c r="MTQ6" s="684"/>
      <c r="MTR6" s="684"/>
      <c r="MTS6" s="684"/>
      <c r="MTT6" s="684"/>
      <c r="MTU6" s="684"/>
      <c r="MTV6" s="684"/>
      <c r="MTW6" s="684"/>
      <c r="MTX6" s="684"/>
      <c r="MTY6" s="684"/>
      <c r="MTZ6" s="684"/>
      <c r="MUA6" s="684"/>
      <c r="MUB6" s="684"/>
      <c r="MUC6" s="684"/>
      <c r="MUD6" s="684"/>
      <c r="MUE6" s="684"/>
      <c r="MUF6" s="684"/>
      <c r="MUG6" s="684"/>
      <c r="MUH6" s="684"/>
      <c r="MUI6" s="684"/>
      <c r="MUJ6" s="684"/>
      <c r="MUK6" s="684"/>
      <c r="MUL6" s="684"/>
      <c r="MUM6" s="684"/>
      <c r="MUN6" s="684"/>
      <c r="MUO6" s="684"/>
      <c r="MUP6" s="684"/>
      <c r="MUQ6" s="684"/>
      <c r="MUR6" s="684"/>
      <c r="MUS6" s="684"/>
      <c r="MUT6" s="684"/>
      <c r="MUU6" s="684"/>
      <c r="MUV6" s="684"/>
      <c r="MUW6" s="684"/>
      <c r="MUX6" s="684"/>
      <c r="MUY6" s="684"/>
      <c r="MUZ6" s="684"/>
      <c r="MVA6" s="684"/>
      <c r="MVB6" s="684"/>
      <c r="MVC6" s="684"/>
      <c r="MVD6" s="684"/>
      <c r="MVE6" s="684"/>
      <c r="MVF6" s="684"/>
      <c r="MVG6" s="684"/>
      <c r="MVH6" s="684"/>
      <c r="MVI6" s="684"/>
      <c r="MVJ6" s="684"/>
      <c r="MVK6" s="684"/>
      <c r="MVL6" s="684"/>
      <c r="MVM6" s="684"/>
      <c r="MVN6" s="684"/>
      <c r="MVO6" s="684"/>
      <c r="MVP6" s="684"/>
      <c r="MVQ6" s="684"/>
      <c r="MVR6" s="684"/>
      <c r="MVS6" s="684"/>
      <c r="MVT6" s="684"/>
      <c r="MVU6" s="684"/>
      <c r="MVV6" s="684"/>
      <c r="MVW6" s="684"/>
      <c r="MVX6" s="684"/>
      <c r="MVY6" s="684"/>
      <c r="MVZ6" s="684"/>
      <c r="MWA6" s="684"/>
      <c r="MWB6" s="684"/>
      <c r="MWC6" s="684"/>
      <c r="MWD6" s="684"/>
      <c r="MWE6" s="684"/>
      <c r="MWF6" s="684"/>
      <c r="MWG6" s="684"/>
      <c r="MWH6" s="684"/>
      <c r="MWI6" s="684"/>
      <c r="MWJ6" s="684"/>
      <c r="MWK6" s="684"/>
      <c r="MWL6" s="684"/>
      <c r="MWM6" s="684"/>
      <c r="MWN6" s="684"/>
      <c r="MWO6" s="684"/>
      <c r="MWP6" s="684"/>
      <c r="MWQ6" s="684"/>
      <c r="MWR6" s="684"/>
      <c r="MWS6" s="684"/>
      <c r="MWT6" s="684"/>
      <c r="MWU6" s="684"/>
      <c r="MWV6" s="684"/>
      <c r="MWW6" s="684"/>
      <c r="MWX6" s="684"/>
      <c r="MWY6" s="684"/>
      <c r="MWZ6" s="684"/>
      <c r="MXA6" s="684"/>
      <c r="MXB6" s="684"/>
      <c r="MXC6" s="684"/>
      <c r="MXD6" s="684"/>
      <c r="MXE6" s="684"/>
      <c r="MXF6" s="684"/>
      <c r="MXG6" s="684"/>
      <c r="MXH6" s="684"/>
      <c r="MXI6" s="684"/>
      <c r="MXJ6" s="684"/>
      <c r="MXK6" s="684"/>
      <c r="MXL6" s="684"/>
      <c r="MXM6" s="684"/>
      <c r="MXN6" s="684"/>
      <c r="MXO6" s="684"/>
      <c r="MXP6" s="684"/>
      <c r="MXQ6" s="684"/>
      <c r="MXR6" s="684"/>
      <c r="MXS6" s="684"/>
      <c r="MXT6" s="684"/>
      <c r="MXU6" s="684"/>
      <c r="MXV6" s="684"/>
      <c r="MXW6" s="684"/>
      <c r="MXX6" s="684"/>
      <c r="MXY6" s="684"/>
      <c r="MXZ6" s="684"/>
      <c r="MYA6" s="684"/>
      <c r="MYB6" s="684"/>
      <c r="MYC6" s="684"/>
      <c r="MYD6" s="684"/>
      <c r="MYE6" s="684"/>
      <c r="MYF6" s="684"/>
      <c r="MYG6" s="684"/>
      <c r="MYH6" s="684"/>
      <c r="MYI6" s="684"/>
      <c r="MYJ6" s="684"/>
      <c r="MYK6" s="684"/>
      <c r="MYL6" s="684"/>
      <c r="MYM6" s="684"/>
      <c r="MYN6" s="684"/>
      <c r="MYO6" s="684"/>
      <c r="MYP6" s="684"/>
      <c r="MYQ6" s="684"/>
      <c r="MYR6" s="684"/>
      <c r="MYS6" s="684"/>
      <c r="MYT6" s="684"/>
      <c r="MYU6" s="684"/>
      <c r="MYV6" s="684"/>
      <c r="MYW6" s="684"/>
      <c r="MYX6" s="684"/>
      <c r="MYY6" s="684"/>
      <c r="MYZ6" s="684"/>
      <c r="MZA6" s="684"/>
      <c r="MZB6" s="684"/>
      <c r="MZC6" s="684"/>
      <c r="MZD6" s="684"/>
      <c r="MZE6" s="684"/>
      <c r="MZF6" s="684"/>
      <c r="MZG6" s="684"/>
      <c r="MZH6" s="684"/>
      <c r="MZI6" s="684"/>
      <c r="MZJ6" s="684"/>
      <c r="MZK6" s="684"/>
      <c r="MZL6" s="684"/>
      <c r="MZM6" s="684"/>
      <c r="MZN6" s="684"/>
      <c r="MZO6" s="684"/>
      <c r="MZP6" s="684"/>
      <c r="MZQ6" s="684"/>
      <c r="MZR6" s="684"/>
      <c r="MZS6" s="684"/>
      <c r="MZT6" s="684"/>
      <c r="MZU6" s="684"/>
      <c r="MZV6" s="684"/>
      <c r="MZW6" s="684"/>
      <c r="MZX6" s="684"/>
      <c r="MZY6" s="684"/>
      <c r="MZZ6" s="684"/>
      <c r="NAA6" s="684"/>
      <c r="NAB6" s="684"/>
      <c r="NAC6" s="684"/>
      <c r="NAD6" s="684"/>
      <c r="NAE6" s="684"/>
      <c r="NAF6" s="684"/>
      <c r="NAG6" s="684"/>
      <c r="NAH6" s="684"/>
      <c r="NAI6" s="684"/>
      <c r="NAJ6" s="684"/>
      <c r="NAK6" s="684"/>
      <c r="NAL6" s="684"/>
      <c r="NAM6" s="684"/>
      <c r="NAN6" s="684"/>
      <c r="NAO6" s="684"/>
      <c r="NAP6" s="684"/>
      <c r="NAQ6" s="684"/>
      <c r="NAR6" s="684"/>
      <c r="NAS6" s="684"/>
      <c r="NAT6" s="684"/>
      <c r="NAU6" s="684"/>
      <c r="NAV6" s="684"/>
      <c r="NAW6" s="684"/>
      <c r="NAX6" s="684"/>
      <c r="NAY6" s="684"/>
      <c r="NAZ6" s="684"/>
      <c r="NBA6" s="684"/>
      <c r="NBB6" s="684"/>
      <c r="NBC6" s="684"/>
      <c r="NBD6" s="684"/>
      <c r="NBE6" s="684"/>
      <c r="NBF6" s="684"/>
      <c r="NBG6" s="684"/>
      <c r="NBH6" s="684"/>
      <c r="NBI6" s="684"/>
      <c r="NBJ6" s="684"/>
      <c r="NBK6" s="684"/>
      <c r="NBL6" s="684"/>
      <c r="NBM6" s="684"/>
      <c r="NBN6" s="684"/>
      <c r="NBO6" s="684"/>
      <c r="NBP6" s="684"/>
      <c r="NBQ6" s="684"/>
      <c r="NBR6" s="684"/>
      <c r="NBS6" s="684"/>
      <c r="NBT6" s="684"/>
      <c r="NBU6" s="684"/>
      <c r="NBV6" s="684"/>
      <c r="NBW6" s="684"/>
      <c r="NBX6" s="684"/>
      <c r="NBY6" s="684"/>
      <c r="NBZ6" s="684"/>
      <c r="NCA6" s="684"/>
      <c r="NCB6" s="684"/>
      <c r="NCC6" s="684"/>
      <c r="NCD6" s="684"/>
      <c r="NCE6" s="684"/>
      <c r="NCF6" s="684"/>
      <c r="NCG6" s="684"/>
      <c r="NCH6" s="684"/>
      <c r="NCI6" s="684"/>
      <c r="NCJ6" s="684"/>
      <c r="NCK6" s="684"/>
      <c r="NCL6" s="684"/>
      <c r="NCM6" s="684"/>
      <c r="NCN6" s="684"/>
      <c r="NCO6" s="684"/>
      <c r="NCP6" s="684"/>
      <c r="NCQ6" s="684"/>
      <c r="NCR6" s="684"/>
      <c r="NCS6" s="684"/>
      <c r="NCT6" s="684"/>
      <c r="NCU6" s="684"/>
      <c r="NCV6" s="684"/>
      <c r="NCW6" s="684"/>
      <c r="NCX6" s="684"/>
      <c r="NCY6" s="684"/>
      <c r="NCZ6" s="684"/>
      <c r="NDA6" s="684"/>
      <c r="NDB6" s="684"/>
      <c r="NDC6" s="684"/>
      <c r="NDD6" s="684"/>
      <c r="NDE6" s="684"/>
      <c r="NDF6" s="684"/>
      <c r="NDG6" s="684"/>
      <c r="NDH6" s="684"/>
      <c r="NDI6" s="684"/>
      <c r="NDJ6" s="684"/>
      <c r="NDK6" s="684"/>
      <c r="NDL6" s="684"/>
      <c r="NDM6" s="684"/>
      <c r="NDN6" s="684"/>
      <c r="NDO6" s="684"/>
      <c r="NDP6" s="684"/>
      <c r="NDQ6" s="684"/>
      <c r="NDR6" s="684"/>
      <c r="NDS6" s="684"/>
      <c r="NDT6" s="684"/>
      <c r="NDU6" s="684"/>
      <c r="NDV6" s="684"/>
      <c r="NDW6" s="684"/>
      <c r="NDX6" s="684"/>
      <c r="NDY6" s="684"/>
      <c r="NDZ6" s="684"/>
      <c r="NEA6" s="684"/>
      <c r="NEB6" s="684"/>
      <c r="NEC6" s="684"/>
      <c r="NED6" s="684"/>
      <c r="NEE6" s="684"/>
      <c r="NEF6" s="684"/>
      <c r="NEG6" s="684"/>
      <c r="NEH6" s="684"/>
      <c r="NEI6" s="684"/>
      <c r="NEJ6" s="684"/>
      <c r="NEK6" s="684"/>
      <c r="NEL6" s="684"/>
      <c r="NEM6" s="684"/>
      <c r="NEN6" s="684"/>
      <c r="NEO6" s="684"/>
      <c r="NEP6" s="684"/>
      <c r="NEQ6" s="684"/>
      <c r="NER6" s="684"/>
      <c r="NES6" s="684"/>
      <c r="NET6" s="684"/>
      <c r="NEU6" s="684"/>
      <c r="NEV6" s="684"/>
      <c r="NEW6" s="684"/>
      <c r="NEX6" s="684"/>
      <c r="NEY6" s="684"/>
      <c r="NEZ6" s="684"/>
      <c r="NFA6" s="684"/>
      <c r="NFB6" s="684"/>
      <c r="NFC6" s="684"/>
      <c r="NFD6" s="684"/>
      <c r="NFE6" s="684"/>
      <c r="NFF6" s="684"/>
      <c r="NFG6" s="684"/>
      <c r="NFH6" s="684"/>
      <c r="NFI6" s="684"/>
      <c r="NFJ6" s="684"/>
      <c r="NFK6" s="684"/>
      <c r="NFL6" s="684"/>
      <c r="NFM6" s="684"/>
      <c r="NFN6" s="684"/>
      <c r="NFO6" s="684"/>
      <c r="NFP6" s="684"/>
      <c r="NFQ6" s="684"/>
      <c r="NFR6" s="684"/>
      <c r="NFS6" s="684"/>
      <c r="NFT6" s="684"/>
      <c r="NFU6" s="684"/>
      <c r="NFV6" s="684"/>
      <c r="NFW6" s="684"/>
      <c r="NFX6" s="684"/>
      <c r="NFY6" s="684"/>
      <c r="NFZ6" s="684"/>
      <c r="NGA6" s="684"/>
      <c r="NGB6" s="684"/>
      <c r="NGC6" s="684"/>
      <c r="NGD6" s="684"/>
      <c r="NGE6" s="684"/>
      <c r="NGF6" s="684"/>
      <c r="NGG6" s="684"/>
      <c r="NGH6" s="684"/>
      <c r="NGI6" s="684"/>
      <c r="NGJ6" s="684"/>
      <c r="NGK6" s="684"/>
      <c r="NGL6" s="684"/>
      <c r="NGM6" s="684"/>
      <c r="NGN6" s="684"/>
      <c r="NGO6" s="684"/>
      <c r="NGP6" s="684"/>
      <c r="NGQ6" s="684"/>
      <c r="NGR6" s="684"/>
      <c r="NGS6" s="684"/>
      <c r="NGT6" s="684"/>
      <c r="NGU6" s="684"/>
      <c r="NGV6" s="684"/>
      <c r="NGW6" s="684"/>
      <c r="NGX6" s="684"/>
      <c r="NGY6" s="684"/>
      <c r="NGZ6" s="684"/>
      <c r="NHA6" s="684"/>
      <c r="NHB6" s="684"/>
      <c r="NHC6" s="684"/>
      <c r="NHD6" s="684"/>
      <c r="NHE6" s="684"/>
      <c r="NHF6" s="684"/>
      <c r="NHG6" s="684"/>
      <c r="NHH6" s="684"/>
      <c r="NHI6" s="684"/>
      <c r="NHJ6" s="684"/>
      <c r="NHK6" s="684"/>
      <c r="NHL6" s="684"/>
      <c r="NHM6" s="684"/>
      <c r="NHN6" s="684"/>
      <c r="NHO6" s="684"/>
      <c r="NHP6" s="684"/>
      <c r="NHQ6" s="684"/>
      <c r="NHR6" s="684"/>
      <c r="NHS6" s="684"/>
      <c r="NHT6" s="684"/>
      <c r="NHU6" s="684"/>
      <c r="NHV6" s="684"/>
      <c r="NHW6" s="684"/>
      <c r="NHX6" s="684"/>
      <c r="NHY6" s="684"/>
      <c r="NHZ6" s="684"/>
      <c r="NIA6" s="684"/>
      <c r="NIB6" s="684"/>
      <c r="NIC6" s="684"/>
      <c r="NID6" s="684"/>
      <c r="NIE6" s="684"/>
      <c r="NIF6" s="684"/>
      <c r="NIG6" s="684"/>
      <c r="NIH6" s="684"/>
      <c r="NII6" s="684"/>
      <c r="NIJ6" s="684"/>
      <c r="NIK6" s="684"/>
      <c r="NIL6" s="684"/>
      <c r="NIM6" s="684"/>
      <c r="NIN6" s="684"/>
      <c r="NIO6" s="684"/>
      <c r="NIP6" s="684"/>
      <c r="NIQ6" s="684"/>
      <c r="NIR6" s="684"/>
      <c r="NIS6" s="684"/>
      <c r="NIT6" s="684"/>
      <c r="NIU6" s="684"/>
      <c r="NIV6" s="684"/>
      <c r="NIW6" s="684"/>
      <c r="NIX6" s="684"/>
      <c r="NIY6" s="684"/>
      <c r="NIZ6" s="684"/>
      <c r="NJA6" s="684"/>
      <c r="NJB6" s="684"/>
      <c r="NJC6" s="684"/>
      <c r="NJD6" s="684"/>
      <c r="NJE6" s="684"/>
      <c r="NJF6" s="684"/>
      <c r="NJG6" s="684"/>
      <c r="NJH6" s="684"/>
      <c r="NJI6" s="684"/>
      <c r="NJJ6" s="684"/>
      <c r="NJK6" s="684"/>
      <c r="NJL6" s="684"/>
      <c r="NJM6" s="684"/>
      <c r="NJN6" s="684"/>
      <c r="NJO6" s="684"/>
      <c r="NJP6" s="684"/>
      <c r="NJQ6" s="684"/>
      <c r="NJR6" s="684"/>
      <c r="NJS6" s="684"/>
      <c r="NJT6" s="684"/>
      <c r="NJU6" s="684"/>
      <c r="NJV6" s="684"/>
      <c r="NJW6" s="684"/>
      <c r="NJX6" s="684"/>
      <c r="NJY6" s="684"/>
      <c r="NJZ6" s="684"/>
      <c r="NKA6" s="684"/>
      <c r="NKB6" s="684"/>
      <c r="NKC6" s="684"/>
      <c r="NKD6" s="684"/>
      <c r="NKE6" s="684"/>
      <c r="NKF6" s="684"/>
      <c r="NKG6" s="684"/>
      <c r="NKH6" s="684"/>
      <c r="NKI6" s="684"/>
      <c r="NKJ6" s="684"/>
      <c r="NKK6" s="684"/>
      <c r="NKL6" s="684"/>
      <c r="NKM6" s="684"/>
      <c r="NKN6" s="684"/>
      <c r="NKO6" s="684"/>
      <c r="NKP6" s="684"/>
      <c r="NKQ6" s="684"/>
      <c r="NKR6" s="684"/>
      <c r="NKS6" s="684"/>
      <c r="NKT6" s="684"/>
      <c r="NKU6" s="684"/>
      <c r="NKV6" s="684"/>
      <c r="NKW6" s="684"/>
      <c r="NKX6" s="684"/>
      <c r="NKY6" s="684"/>
      <c r="NKZ6" s="684"/>
      <c r="NLA6" s="684"/>
      <c r="NLB6" s="684"/>
      <c r="NLC6" s="684"/>
      <c r="NLD6" s="684"/>
      <c r="NLE6" s="684"/>
      <c r="NLF6" s="684"/>
      <c r="NLG6" s="684"/>
      <c r="NLH6" s="684"/>
      <c r="NLI6" s="684"/>
      <c r="NLJ6" s="684"/>
      <c r="NLK6" s="684"/>
      <c r="NLL6" s="684"/>
      <c r="NLM6" s="684"/>
      <c r="NLN6" s="684"/>
      <c r="NLO6" s="684"/>
      <c r="NLP6" s="684"/>
      <c r="NLQ6" s="684"/>
      <c r="NLR6" s="684"/>
      <c r="NLS6" s="684"/>
      <c r="NLT6" s="684"/>
      <c r="NLU6" s="684"/>
      <c r="NLV6" s="684"/>
      <c r="NLW6" s="684"/>
      <c r="NLX6" s="684"/>
      <c r="NLY6" s="684"/>
      <c r="NLZ6" s="684"/>
      <c r="NMA6" s="684"/>
      <c r="NMB6" s="684"/>
      <c r="NMC6" s="684"/>
      <c r="NMD6" s="684"/>
      <c r="NME6" s="684"/>
      <c r="NMF6" s="684"/>
      <c r="NMG6" s="684"/>
      <c r="NMH6" s="684"/>
      <c r="NMI6" s="684"/>
      <c r="NMJ6" s="684"/>
      <c r="NMK6" s="684"/>
      <c r="NML6" s="684"/>
      <c r="NMM6" s="684"/>
      <c r="NMN6" s="684"/>
      <c r="NMO6" s="684"/>
      <c r="NMP6" s="684"/>
      <c r="NMQ6" s="684"/>
      <c r="NMR6" s="684"/>
      <c r="NMS6" s="684"/>
      <c r="NMT6" s="684"/>
      <c r="NMU6" s="684"/>
      <c r="NMV6" s="684"/>
      <c r="NMW6" s="684"/>
      <c r="NMX6" s="684"/>
      <c r="NMY6" s="684"/>
      <c r="NMZ6" s="684"/>
      <c r="NNA6" s="684"/>
      <c r="NNB6" s="684"/>
      <c r="NNC6" s="684"/>
      <c r="NND6" s="684"/>
      <c r="NNE6" s="684"/>
      <c r="NNF6" s="684"/>
      <c r="NNG6" s="684"/>
      <c r="NNH6" s="684"/>
      <c r="NNI6" s="684"/>
      <c r="NNJ6" s="684"/>
      <c r="NNK6" s="684"/>
      <c r="NNL6" s="684"/>
      <c r="NNM6" s="684"/>
      <c r="NNN6" s="684"/>
      <c r="NNO6" s="684"/>
      <c r="NNP6" s="684"/>
      <c r="NNQ6" s="684"/>
      <c r="NNR6" s="684"/>
      <c r="NNS6" s="684"/>
      <c r="NNT6" s="684"/>
      <c r="NNU6" s="684"/>
      <c r="NNV6" s="684"/>
      <c r="NNW6" s="684"/>
      <c r="NNX6" s="684"/>
      <c r="NNY6" s="684"/>
      <c r="NNZ6" s="684"/>
      <c r="NOA6" s="684"/>
      <c r="NOB6" s="684"/>
      <c r="NOC6" s="684"/>
      <c r="NOD6" s="684"/>
      <c r="NOE6" s="684"/>
      <c r="NOF6" s="684"/>
      <c r="NOG6" s="684"/>
      <c r="NOH6" s="684"/>
      <c r="NOI6" s="684"/>
      <c r="NOJ6" s="684"/>
      <c r="NOK6" s="684"/>
      <c r="NOL6" s="684"/>
      <c r="NOM6" s="684"/>
      <c r="NON6" s="684"/>
      <c r="NOO6" s="684"/>
      <c r="NOP6" s="684"/>
      <c r="NOQ6" s="684"/>
      <c r="NOR6" s="684"/>
      <c r="NOS6" s="684"/>
      <c r="NOT6" s="684"/>
      <c r="NOU6" s="684"/>
      <c r="NOV6" s="684"/>
      <c r="NOW6" s="684"/>
      <c r="NOX6" s="684"/>
      <c r="NOY6" s="684"/>
      <c r="NOZ6" s="684"/>
      <c r="NPA6" s="684"/>
      <c r="NPB6" s="684"/>
      <c r="NPC6" s="684"/>
      <c r="NPD6" s="684"/>
      <c r="NPE6" s="684"/>
      <c r="NPF6" s="684"/>
      <c r="NPG6" s="684"/>
      <c r="NPH6" s="684"/>
      <c r="NPI6" s="684"/>
      <c r="NPJ6" s="684"/>
      <c r="NPK6" s="684"/>
      <c r="NPL6" s="684"/>
      <c r="NPM6" s="684"/>
      <c r="NPN6" s="684"/>
      <c r="NPO6" s="684"/>
      <c r="NPP6" s="684"/>
      <c r="NPQ6" s="684"/>
      <c r="NPR6" s="684"/>
      <c r="NPS6" s="684"/>
      <c r="NPT6" s="684"/>
      <c r="NPU6" s="684"/>
      <c r="NPV6" s="684"/>
      <c r="NPW6" s="684"/>
      <c r="NPX6" s="684"/>
      <c r="NPY6" s="684"/>
      <c r="NPZ6" s="684"/>
      <c r="NQA6" s="684"/>
      <c r="NQB6" s="684"/>
      <c r="NQC6" s="684"/>
      <c r="NQD6" s="684"/>
      <c r="NQE6" s="684"/>
      <c r="NQF6" s="684"/>
      <c r="NQG6" s="684"/>
      <c r="NQH6" s="684"/>
      <c r="NQI6" s="684"/>
      <c r="NQJ6" s="684"/>
      <c r="NQK6" s="684"/>
      <c r="NQL6" s="684"/>
      <c r="NQM6" s="684"/>
      <c r="NQN6" s="684"/>
      <c r="NQO6" s="684"/>
      <c r="NQP6" s="684"/>
      <c r="NQQ6" s="684"/>
      <c r="NQR6" s="684"/>
      <c r="NQS6" s="684"/>
      <c r="NQT6" s="684"/>
      <c r="NQU6" s="684"/>
      <c r="NQV6" s="684"/>
      <c r="NQW6" s="684"/>
      <c r="NQX6" s="684"/>
      <c r="NQY6" s="684"/>
      <c r="NQZ6" s="684"/>
      <c r="NRA6" s="684"/>
      <c r="NRB6" s="684"/>
      <c r="NRC6" s="684"/>
      <c r="NRD6" s="684"/>
      <c r="NRE6" s="684"/>
      <c r="NRF6" s="684"/>
      <c r="NRG6" s="684"/>
      <c r="NRH6" s="684"/>
      <c r="NRI6" s="684"/>
      <c r="NRJ6" s="684"/>
      <c r="NRK6" s="684"/>
      <c r="NRL6" s="684"/>
      <c r="NRM6" s="684"/>
      <c r="NRN6" s="684"/>
      <c r="NRO6" s="684"/>
      <c r="NRP6" s="684"/>
      <c r="NRQ6" s="684"/>
      <c r="NRR6" s="684"/>
      <c r="NRS6" s="684"/>
      <c r="NRT6" s="684"/>
      <c r="NRU6" s="684"/>
      <c r="NRV6" s="684"/>
      <c r="NRW6" s="684"/>
      <c r="NRX6" s="684"/>
      <c r="NRY6" s="684"/>
      <c r="NRZ6" s="684"/>
      <c r="NSA6" s="684"/>
      <c r="NSB6" s="684"/>
      <c r="NSC6" s="684"/>
      <c r="NSD6" s="684"/>
      <c r="NSE6" s="684"/>
      <c r="NSF6" s="684"/>
      <c r="NSG6" s="684"/>
      <c r="NSH6" s="684"/>
      <c r="NSI6" s="684"/>
      <c r="NSJ6" s="684"/>
      <c r="NSK6" s="684"/>
      <c r="NSL6" s="684"/>
      <c r="NSM6" s="684"/>
      <c r="NSN6" s="684"/>
      <c r="NSO6" s="684"/>
      <c r="NSP6" s="684"/>
      <c r="NSQ6" s="684"/>
      <c r="NSR6" s="684"/>
      <c r="NSS6" s="684"/>
      <c r="NST6" s="684"/>
      <c r="NSU6" s="684"/>
      <c r="NSV6" s="684"/>
      <c r="NSW6" s="684"/>
      <c r="NSX6" s="684"/>
      <c r="NSY6" s="684"/>
      <c r="NSZ6" s="684"/>
      <c r="NTA6" s="684"/>
      <c r="NTB6" s="684"/>
      <c r="NTC6" s="684"/>
      <c r="NTD6" s="684"/>
      <c r="NTE6" s="684"/>
      <c r="NTF6" s="684"/>
      <c r="NTG6" s="684"/>
      <c r="NTH6" s="684"/>
      <c r="NTI6" s="684"/>
      <c r="NTJ6" s="684"/>
      <c r="NTK6" s="684"/>
      <c r="NTL6" s="684"/>
      <c r="NTM6" s="684"/>
      <c r="NTN6" s="684"/>
      <c r="NTO6" s="684"/>
      <c r="NTP6" s="684"/>
      <c r="NTQ6" s="684"/>
      <c r="NTR6" s="684"/>
      <c r="NTS6" s="684"/>
      <c r="NTT6" s="684"/>
      <c r="NTU6" s="684"/>
      <c r="NTV6" s="684"/>
      <c r="NTW6" s="684"/>
      <c r="NTX6" s="684"/>
      <c r="NTY6" s="684"/>
      <c r="NTZ6" s="684"/>
      <c r="NUA6" s="684"/>
      <c r="NUB6" s="684"/>
      <c r="NUC6" s="684"/>
      <c r="NUD6" s="684"/>
      <c r="NUE6" s="684"/>
      <c r="NUF6" s="684"/>
      <c r="NUG6" s="684"/>
      <c r="NUH6" s="684"/>
      <c r="NUI6" s="684"/>
      <c r="NUJ6" s="684"/>
      <c r="NUK6" s="684"/>
      <c r="NUL6" s="684"/>
      <c r="NUM6" s="684"/>
      <c r="NUN6" s="684"/>
      <c r="NUO6" s="684"/>
      <c r="NUP6" s="684"/>
      <c r="NUQ6" s="684"/>
      <c r="NUR6" s="684"/>
      <c r="NUS6" s="684"/>
      <c r="NUT6" s="684"/>
      <c r="NUU6" s="684"/>
      <c r="NUV6" s="684"/>
      <c r="NUW6" s="684"/>
      <c r="NUX6" s="684"/>
      <c r="NUY6" s="684"/>
      <c r="NUZ6" s="684"/>
      <c r="NVA6" s="684"/>
      <c r="NVB6" s="684"/>
      <c r="NVC6" s="684"/>
      <c r="NVD6" s="684"/>
      <c r="NVE6" s="684"/>
      <c r="NVF6" s="684"/>
      <c r="NVG6" s="684"/>
      <c r="NVH6" s="684"/>
      <c r="NVI6" s="684"/>
      <c r="NVJ6" s="684"/>
      <c r="NVK6" s="684"/>
      <c r="NVL6" s="684"/>
      <c r="NVM6" s="684"/>
      <c r="NVN6" s="684"/>
      <c r="NVO6" s="684"/>
      <c r="NVP6" s="684"/>
      <c r="NVQ6" s="684"/>
      <c r="NVR6" s="684"/>
      <c r="NVS6" s="684"/>
      <c r="NVT6" s="684"/>
      <c r="NVU6" s="684"/>
      <c r="NVV6" s="684"/>
      <c r="NVW6" s="684"/>
      <c r="NVX6" s="684"/>
      <c r="NVY6" s="684"/>
      <c r="NVZ6" s="684"/>
      <c r="NWA6" s="684"/>
      <c r="NWB6" s="684"/>
      <c r="NWC6" s="684"/>
      <c r="NWD6" s="684"/>
      <c r="NWE6" s="684"/>
      <c r="NWF6" s="684"/>
      <c r="NWG6" s="684"/>
      <c r="NWH6" s="684"/>
      <c r="NWI6" s="684"/>
      <c r="NWJ6" s="684"/>
      <c r="NWK6" s="684"/>
      <c r="NWL6" s="684"/>
      <c r="NWM6" s="684"/>
      <c r="NWN6" s="684"/>
      <c r="NWO6" s="684"/>
      <c r="NWP6" s="684"/>
      <c r="NWQ6" s="684"/>
      <c r="NWR6" s="684"/>
      <c r="NWS6" s="684"/>
      <c r="NWT6" s="684"/>
      <c r="NWU6" s="684"/>
      <c r="NWV6" s="684"/>
      <c r="NWW6" s="684"/>
      <c r="NWX6" s="684"/>
      <c r="NWY6" s="684"/>
      <c r="NWZ6" s="684"/>
      <c r="NXA6" s="684"/>
      <c r="NXB6" s="684"/>
      <c r="NXC6" s="684"/>
      <c r="NXD6" s="684"/>
      <c r="NXE6" s="684"/>
      <c r="NXF6" s="684"/>
      <c r="NXG6" s="684"/>
      <c r="NXH6" s="684"/>
      <c r="NXI6" s="684"/>
      <c r="NXJ6" s="684"/>
      <c r="NXK6" s="684"/>
      <c r="NXL6" s="684"/>
      <c r="NXM6" s="684"/>
      <c r="NXN6" s="684"/>
      <c r="NXO6" s="684"/>
      <c r="NXP6" s="684"/>
      <c r="NXQ6" s="684"/>
      <c r="NXR6" s="684"/>
      <c r="NXS6" s="684"/>
      <c r="NXT6" s="684"/>
      <c r="NXU6" s="684"/>
      <c r="NXV6" s="684"/>
      <c r="NXW6" s="684"/>
      <c r="NXX6" s="684"/>
      <c r="NXY6" s="684"/>
      <c r="NXZ6" s="684"/>
      <c r="NYA6" s="684"/>
      <c r="NYB6" s="684"/>
      <c r="NYC6" s="684"/>
      <c r="NYD6" s="684"/>
      <c r="NYE6" s="684"/>
      <c r="NYF6" s="684"/>
      <c r="NYG6" s="684"/>
      <c r="NYH6" s="684"/>
      <c r="NYI6" s="684"/>
      <c r="NYJ6" s="684"/>
      <c r="NYK6" s="684"/>
      <c r="NYL6" s="684"/>
      <c r="NYM6" s="684"/>
      <c r="NYN6" s="684"/>
      <c r="NYO6" s="684"/>
      <c r="NYP6" s="684"/>
      <c r="NYQ6" s="684"/>
      <c r="NYR6" s="684"/>
      <c r="NYS6" s="684"/>
      <c r="NYT6" s="684"/>
      <c r="NYU6" s="684"/>
      <c r="NYV6" s="684"/>
      <c r="NYW6" s="684"/>
      <c r="NYX6" s="684"/>
      <c r="NYY6" s="684"/>
      <c r="NYZ6" s="684"/>
      <c r="NZA6" s="684"/>
      <c r="NZB6" s="684"/>
      <c r="NZC6" s="684"/>
      <c r="NZD6" s="684"/>
      <c r="NZE6" s="684"/>
      <c r="NZF6" s="684"/>
      <c r="NZG6" s="684"/>
      <c r="NZH6" s="684"/>
      <c r="NZI6" s="684"/>
      <c r="NZJ6" s="684"/>
      <c r="NZK6" s="684"/>
      <c r="NZL6" s="684"/>
      <c r="NZM6" s="684"/>
      <c r="NZN6" s="684"/>
      <c r="NZO6" s="684"/>
      <c r="NZP6" s="684"/>
      <c r="NZQ6" s="684"/>
      <c r="NZR6" s="684"/>
      <c r="NZS6" s="684"/>
      <c r="NZT6" s="684"/>
      <c r="NZU6" s="684"/>
      <c r="NZV6" s="684"/>
      <c r="NZW6" s="684"/>
      <c r="NZX6" s="684"/>
      <c r="NZY6" s="684"/>
      <c r="NZZ6" s="684"/>
      <c r="OAA6" s="684"/>
      <c r="OAB6" s="684"/>
      <c r="OAC6" s="684"/>
      <c r="OAD6" s="684"/>
      <c r="OAE6" s="684"/>
      <c r="OAF6" s="684"/>
      <c r="OAG6" s="684"/>
      <c r="OAH6" s="684"/>
      <c r="OAI6" s="684"/>
      <c r="OAJ6" s="684"/>
      <c r="OAK6" s="684"/>
      <c r="OAL6" s="684"/>
      <c r="OAM6" s="684"/>
      <c r="OAN6" s="684"/>
      <c r="OAO6" s="684"/>
      <c r="OAP6" s="684"/>
      <c r="OAQ6" s="684"/>
      <c r="OAR6" s="684"/>
      <c r="OAS6" s="684"/>
      <c r="OAT6" s="684"/>
      <c r="OAU6" s="684"/>
      <c r="OAV6" s="684"/>
      <c r="OAW6" s="684"/>
      <c r="OAX6" s="684"/>
      <c r="OAY6" s="684"/>
      <c r="OAZ6" s="684"/>
      <c r="OBA6" s="684"/>
      <c r="OBB6" s="684"/>
      <c r="OBC6" s="684"/>
      <c r="OBD6" s="684"/>
      <c r="OBE6" s="684"/>
      <c r="OBF6" s="684"/>
      <c r="OBG6" s="684"/>
      <c r="OBH6" s="684"/>
      <c r="OBI6" s="684"/>
      <c r="OBJ6" s="684"/>
      <c r="OBK6" s="684"/>
      <c r="OBL6" s="684"/>
      <c r="OBM6" s="684"/>
      <c r="OBN6" s="684"/>
      <c r="OBO6" s="684"/>
      <c r="OBP6" s="684"/>
      <c r="OBQ6" s="684"/>
      <c r="OBR6" s="684"/>
      <c r="OBS6" s="684"/>
      <c r="OBT6" s="684"/>
      <c r="OBU6" s="684"/>
      <c r="OBV6" s="684"/>
      <c r="OBW6" s="684"/>
      <c r="OBX6" s="684"/>
      <c r="OBY6" s="684"/>
      <c r="OBZ6" s="684"/>
      <c r="OCA6" s="684"/>
      <c r="OCB6" s="684"/>
      <c r="OCC6" s="684"/>
      <c r="OCD6" s="684"/>
      <c r="OCE6" s="684"/>
      <c r="OCF6" s="684"/>
      <c r="OCG6" s="684"/>
      <c r="OCH6" s="684"/>
      <c r="OCI6" s="684"/>
      <c r="OCJ6" s="684"/>
      <c r="OCK6" s="684"/>
      <c r="OCL6" s="684"/>
      <c r="OCM6" s="684"/>
      <c r="OCN6" s="684"/>
      <c r="OCO6" s="684"/>
      <c r="OCP6" s="684"/>
      <c r="OCQ6" s="684"/>
      <c r="OCR6" s="684"/>
      <c r="OCS6" s="684"/>
      <c r="OCT6" s="684"/>
      <c r="OCU6" s="684"/>
      <c r="OCV6" s="684"/>
      <c r="OCW6" s="684"/>
      <c r="OCX6" s="684"/>
      <c r="OCY6" s="684"/>
      <c r="OCZ6" s="684"/>
      <c r="ODA6" s="684"/>
      <c r="ODB6" s="684"/>
      <c r="ODC6" s="684"/>
      <c r="ODD6" s="684"/>
      <c r="ODE6" s="684"/>
      <c r="ODF6" s="684"/>
      <c r="ODG6" s="684"/>
      <c r="ODH6" s="684"/>
      <c r="ODI6" s="684"/>
      <c r="ODJ6" s="684"/>
      <c r="ODK6" s="684"/>
      <c r="ODL6" s="684"/>
      <c r="ODM6" s="684"/>
      <c r="ODN6" s="684"/>
      <c r="ODO6" s="684"/>
      <c r="ODP6" s="684"/>
      <c r="ODQ6" s="684"/>
      <c r="ODR6" s="684"/>
      <c r="ODS6" s="684"/>
      <c r="ODT6" s="684"/>
      <c r="ODU6" s="684"/>
      <c r="ODV6" s="684"/>
      <c r="ODW6" s="684"/>
      <c r="ODX6" s="684"/>
      <c r="ODY6" s="684"/>
      <c r="ODZ6" s="684"/>
      <c r="OEA6" s="684"/>
      <c r="OEB6" s="684"/>
      <c r="OEC6" s="684"/>
      <c r="OED6" s="684"/>
      <c r="OEE6" s="684"/>
      <c r="OEF6" s="684"/>
      <c r="OEG6" s="684"/>
      <c r="OEH6" s="684"/>
      <c r="OEI6" s="684"/>
      <c r="OEJ6" s="684"/>
      <c r="OEK6" s="684"/>
      <c r="OEL6" s="684"/>
      <c r="OEM6" s="684"/>
      <c r="OEN6" s="684"/>
      <c r="OEO6" s="684"/>
      <c r="OEP6" s="684"/>
      <c r="OEQ6" s="684"/>
      <c r="OER6" s="684"/>
      <c r="OES6" s="684"/>
      <c r="OET6" s="684"/>
      <c r="OEU6" s="684"/>
      <c r="OEV6" s="684"/>
      <c r="OEW6" s="684"/>
      <c r="OEX6" s="684"/>
      <c r="OEY6" s="684"/>
      <c r="OEZ6" s="684"/>
      <c r="OFA6" s="684"/>
      <c r="OFB6" s="684"/>
      <c r="OFC6" s="684"/>
      <c r="OFD6" s="684"/>
      <c r="OFE6" s="684"/>
      <c r="OFF6" s="684"/>
      <c r="OFG6" s="684"/>
      <c r="OFH6" s="684"/>
      <c r="OFI6" s="684"/>
      <c r="OFJ6" s="684"/>
      <c r="OFK6" s="684"/>
      <c r="OFL6" s="684"/>
      <c r="OFM6" s="684"/>
      <c r="OFN6" s="684"/>
      <c r="OFO6" s="684"/>
      <c r="OFP6" s="684"/>
      <c r="OFQ6" s="684"/>
      <c r="OFR6" s="684"/>
      <c r="OFS6" s="684"/>
      <c r="OFT6" s="684"/>
      <c r="OFU6" s="684"/>
      <c r="OFV6" s="684"/>
      <c r="OFW6" s="684"/>
      <c r="OFX6" s="684"/>
      <c r="OFY6" s="684"/>
      <c r="OFZ6" s="684"/>
      <c r="OGA6" s="684"/>
      <c r="OGB6" s="684"/>
      <c r="OGC6" s="684"/>
      <c r="OGD6" s="684"/>
      <c r="OGE6" s="684"/>
      <c r="OGF6" s="684"/>
      <c r="OGG6" s="684"/>
      <c r="OGH6" s="684"/>
      <c r="OGI6" s="684"/>
      <c r="OGJ6" s="684"/>
      <c r="OGK6" s="684"/>
      <c r="OGL6" s="684"/>
      <c r="OGM6" s="684"/>
      <c r="OGN6" s="684"/>
      <c r="OGO6" s="684"/>
      <c r="OGP6" s="684"/>
      <c r="OGQ6" s="684"/>
      <c r="OGR6" s="684"/>
      <c r="OGS6" s="684"/>
      <c r="OGT6" s="684"/>
      <c r="OGU6" s="684"/>
      <c r="OGV6" s="684"/>
      <c r="OGW6" s="684"/>
      <c r="OGX6" s="684"/>
      <c r="OGY6" s="684"/>
      <c r="OGZ6" s="684"/>
      <c r="OHA6" s="684"/>
      <c r="OHB6" s="684"/>
      <c r="OHC6" s="684"/>
      <c r="OHD6" s="684"/>
      <c r="OHE6" s="684"/>
      <c r="OHF6" s="684"/>
      <c r="OHG6" s="684"/>
      <c r="OHH6" s="684"/>
      <c r="OHI6" s="684"/>
      <c r="OHJ6" s="684"/>
      <c r="OHK6" s="684"/>
      <c r="OHL6" s="684"/>
      <c r="OHM6" s="684"/>
      <c r="OHN6" s="684"/>
      <c r="OHO6" s="684"/>
      <c r="OHP6" s="684"/>
      <c r="OHQ6" s="684"/>
      <c r="OHR6" s="684"/>
      <c r="OHS6" s="684"/>
      <c r="OHT6" s="684"/>
      <c r="OHU6" s="684"/>
      <c r="OHV6" s="684"/>
      <c r="OHW6" s="684"/>
      <c r="OHX6" s="684"/>
      <c r="OHY6" s="684"/>
      <c r="OHZ6" s="684"/>
      <c r="OIA6" s="684"/>
      <c r="OIB6" s="684"/>
      <c r="OIC6" s="684"/>
      <c r="OID6" s="684"/>
      <c r="OIE6" s="684"/>
      <c r="OIF6" s="684"/>
      <c r="OIG6" s="684"/>
      <c r="OIH6" s="684"/>
      <c r="OII6" s="684"/>
      <c r="OIJ6" s="684"/>
      <c r="OIK6" s="684"/>
      <c r="OIL6" s="684"/>
      <c r="OIM6" s="684"/>
      <c r="OIN6" s="684"/>
      <c r="OIO6" s="684"/>
      <c r="OIP6" s="684"/>
      <c r="OIQ6" s="684"/>
      <c r="OIR6" s="684"/>
      <c r="OIS6" s="684"/>
      <c r="OIT6" s="684"/>
      <c r="OIU6" s="684"/>
      <c r="OIV6" s="684"/>
      <c r="OIW6" s="684"/>
      <c r="OIX6" s="684"/>
      <c r="OIY6" s="684"/>
      <c r="OIZ6" s="684"/>
      <c r="OJA6" s="684"/>
      <c r="OJB6" s="684"/>
      <c r="OJC6" s="684"/>
      <c r="OJD6" s="684"/>
      <c r="OJE6" s="684"/>
      <c r="OJF6" s="684"/>
      <c r="OJG6" s="684"/>
      <c r="OJH6" s="684"/>
      <c r="OJI6" s="684"/>
      <c r="OJJ6" s="684"/>
      <c r="OJK6" s="684"/>
      <c r="OJL6" s="684"/>
      <c r="OJM6" s="684"/>
      <c r="OJN6" s="684"/>
      <c r="OJO6" s="684"/>
      <c r="OJP6" s="684"/>
      <c r="OJQ6" s="684"/>
      <c r="OJR6" s="684"/>
      <c r="OJS6" s="684"/>
      <c r="OJT6" s="684"/>
      <c r="OJU6" s="684"/>
      <c r="OJV6" s="684"/>
      <c r="OJW6" s="684"/>
      <c r="OJX6" s="684"/>
      <c r="OJY6" s="684"/>
      <c r="OJZ6" s="684"/>
      <c r="OKA6" s="684"/>
      <c r="OKB6" s="684"/>
      <c r="OKC6" s="684"/>
      <c r="OKD6" s="684"/>
      <c r="OKE6" s="684"/>
      <c r="OKF6" s="684"/>
      <c r="OKG6" s="684"/>
      <c r="OKH6" s="684"/>
      <c r="OKI6" s="684"/>
      <c r="OKJ6" s="684"/>
      <c r="OKK6" s="684"/>
      <c r="OKL6" s="684"/>
      <c r="OKM6" s="684"/>
      <c r="OKN6" s="684"/>
      <c r="OKO6" s="684"/>
      <c r="OKP6" s="684"/>
      <c r="OKQ6" s="684"/>
      <c r="OKR6" s="684"/>
      <c r="OKS6" s="684"/>
      <c r="OKT6" s="684"/>
      <c r="OKU6" s="684"/>
      <c r="OKV6" s="684"/>
      <c r="OKW6" s="684"/>
      <c r="OKX6" s="684"/>
      <c r="OKY6" s="684"/>
      <c r="OKZ6" s="684"/>
      <c r="OLA6" s="684"/>
      <c r="OLB6" s="684"/>
      <c r="OLC6" s="684"/>
      <c r="OLD6" s="684"/>
      <c r="OLE6" s="684"/>
      <c r="OLF6" s="684"/>
      <c r="OLG6" s="684"/>
      <c r="OLH6" s="684"/>
      <c r="OLI6" s="684"/>
      <c r="OLJ6" s="684"/>
      <c r="OLK6" s="684"/>
      <c r="OLL6" s="684"/>
      <c r="OLM6" s="684"/>
      <c r="OLN6" s="684"/>
      <c r="OLO6" s="684"/>
      <c r="OLP6" s="684"/>
      <c r="OLQ6" s="684"/>
      <c r="OLR6" s="684"/>
      <c r="OLS6" s="684"/>
      <c r="OLT6" s="684"/>
      <c r="OLU6" s="684"/>
      <c r="OLV6" s="684"/>
      <c r="OLW6" s="684"/>
      <c r="OLX6" s="684"/>
      <c r="OLY6" s="684"/>
      <c r="OLZ6" s="684"/>
      <c r="OMA6" s="684"/>
      <c r="OMB6" s="684"/>
      <c r="OMC6" s="684"/>
      <c r="OMD6" s="684"/>
      <c r="OME6" s="684"/>
      <c r="OMF6" s="684"/>
      <c r="OMG6" s="684"/>
      <c r="OMH6" s="684"/>
      <c r="OMI6" s="684"/>
      <c r="OMJ6" s="684"/>
      <c r="OMK6" s="684"/>
      <c r="OML6" s="684"/>
      <c r="OMM6" s="684"/>
      <c r="OMN6" s="684"/>
      <c r="OMO6" s="684"/>
      <c r="OMP6" s="684"/>
      <c r="OMQ6" s="684"/>
      <c r="OMR6" s="684"/>
      <c r="OMS6" s="684"/>
      <c r="OMT6" s="684"/>
      <c r="OMU6" s="684"/>
      <c r="OMV6" s="684"/>
      <c r="OMW6" s="684"/>
      <c r="OMX6" s="684"/>
      <c r="OMY6" s="684"/>
      <c r="OMZ6" s="684"/>
      <c r="ONA6" s="684"/>
      <c r="ONB6" s="684"/>
      <c r="ONC6" s="684"/>
      <c r="OND6" s="684"/>
      <c r="ONE6" s="684"/>
      <c r="ONF6" s="684"/>
      <c r="ONG6" s="684"/>
      <c r="ONH6" s="684"/>
      <c r="ONI6" s="684"/>
      <c r="ONJ6" s="684"/>
      <c r="ONK6" s="684"/>
      <c r="ONL6" s="684"/>
      <c r="ONM6" s="684"/>
      <c r="ONN6" s="684"/>
      <c r="ONO6" s="684"/>
      <c r="ONP6" s="684"/>
      <c r="ONQ6" s="684"/>
      <c r="ONR6" s="684"/>
      <c r="ONS6" s="684"/>
      <c r="ONT6" s="684"/>
      <c r="ONU6" s="684"/>
      <c r="ONV6" s="684"/>
      <c r="ONW6" s="684"/>
      <c r="ONX6" s="684"/>
      <c r="ONY6" s="684"/>
      <c r="ONZ6" s="684"/>
      <c r="OOA6" s="684"/>
      <c r="OOB6" s="684"/>
      <c r="OOC6" s="684"/>
      <c r="OOD6" s="684"/>
      <c r="OOE6" s="684"/>
      <c r="OOF6" s="684"/>
      <c r="OOG6" s="684"/>
      <c r="OOH6" s="684"/>
      <c r="OOI6" s="684"/>
      <c r="OOJ6" s="684"/>
      <c r="OOK6" s="684"/>
      <c r="OOL6" s="684"/>
      <c r="OOM6" s="684"/>
      <c r="OON6" s="684"/>
      <c r="OOO6" s="684"/>
      <c r="OOP6" s="684"/>
      <c r="OOQ6" s="684"/>
      <c r="OOR6" s="684"/>
      <c r="OOS6" s="684"/>
      <c r="OOT6" s="684"/>
      <c r="OOU6" s="684"/>
      <c r="OOV6" s="684"/>
      <c r="OOW6" s="684"/>
      <c r="OOX6" s="684"/>
      <c r="OOY6" s="684"/>
      <c r="OOZ6" s="684"/>
      <c r="OPA6" s="684"/>
      <c r="OPB6" s="684"/>
      <c r="OPC6" s="684"/>
      <c r="OPD6" s="684"/>
      <c r="OPE6" s="684"/>
      <c r="OPF6" s="684"/>
      <c r="OPG6" s="684"/>
      <c r="OPH6" s="684"/>
      <c r="OPI6" s="684"/>
      <c r="OPJ6" s="684"/>
      <c r="OPK6" s="684"/>
      <c r="OPL6" s="684"/>
      <c r="OPM6" s="684"/>
      <c r="OPN6" s="684"/>
      <c r="OPO6" s="684"/>
      <c r="OPP6" s="684"/>
      <c r="OPQ6" s="684"/>
      <c r="OPR6" s="684"/>
      <c r="OPS6" s="684"/>
      <c r="OPT6" s="684"/>
      <c r="OPU6" s="684"/>
      <c r="OPV6" s="684"/>
      <c r="OPW6" s="684"/>
      <c r="OPX6" s="684"/>
      <c r="OPY6" s="684"/>
      <c r="OPZ6" s="684"/>
      <c r="OQA6" s="684"/>
      <c r="OQB6" s="684"/>
      <c r="OQC6" s="684"/>
      <c r="OQD6" s="684"/>
      <c r="OQE6" s="684"/>
      <c r="OQF6" s="684"/>
      <c r="OQG6" s="684"/>
      <c r="OQH6" s="684"/>
      <c r="OQI6" s="684"/>
      <c r="OQJ6" s="684"/>
      <c r="OQK6" s="684"/>
      <c r="OQL6" s="684"/>
      <c r="OQM6" s="684"/>
      <c r="OQN6" s="684"/>
      <c r="OQO6" s="684"/>
      <c r="OQP6" s="684"/>
      <c r="OQQ6" s="684"/>
      <c r="OQR6" s="684"/>
      <c r="OQS6" s="684"/>
      <c r="OQT6" s="684"/>
      <c r="OQU6" s="684"/>
      <c r="OQV6" s="684"/>
      <c r="OQW6" s="684"/>
      <c r="OQX6" s="684"/>
      <c r="OQY6" s="684"/>
      <c r="OQZ6" s="684"/>
      <c r="ORA6" s="684"/>
      <c r="ORB6" s="684"/>
      <c r="ORC6" s="684"/>
      <c r="ORD6" s="684"/>
      <c r="ORE6" s="684"/>
      <c r="ORF6" s="684"/>
      <c r="ORG6" s="684"/>
      <c r="ORH6" s="684"/>
      <c r="ORI6" s="684"/>
      <c r="ORJ6" s="684"/>
      <c r="ORK6" s="684"/>
      <c r="ORL6" s="684"/>
      <c r="ORM6" s="684"/>
      <c r="ORN6" s="684"/>
      <c r="ORO6" s="684"/>
      <c r="ORP6" s="684"/>
      <c r="ORQ6" s="684"/>
      <c r="ORR6" s="684"/>
      <c r="ORS6" s="684"/>
      <c r="ORT6" s="684"/>
      <c r="ORU6" s="684"/>
      <c r="ORV6" s="684"/>
      <c r="ORW6" s="684"/>
      <c r="ORX6" s="684"/>
      <c r="ORY6" s="684"/>
      <c r="ORZ6" s="684"/>
      <c r="OSA6" s="684"/>
      <c r="OSB6" s="684"/>
      <c r="OSC6" s="684"/>
      <c r="OSD6" s="684"/>
      <c r="OSE6" s="684"/>
      <c r="OSF6" s="684"/>
      <c r="OSG6" s="684"/>
      <c r="OSH6" s="684"/>
      <c r="OSI6" s="684"/>
      <c r="OSJ6" s="684"/>
      <c r="OSK6" s="684"/>
      <c r="OSL6" s="684"/>
      <c r="OSM6" s="684"/>
      <c r="OSN6" s="684"/>
      <c r="OSO6" s="684"/>
      <c r="OSP6" s="684"/>
      <c r="OSQ6" s="684"/>
      <c r="OSR6" s="684"/>
      <c r="OSS6" s="684"/>
      <c r="OST6" s="684"/>
      <c r="OSU6" s="684"/>
      <c r="OSV6" s="684"/>
      <c r="OSW6" s="684"/>
      <c r="OSX6" s="684"/>
      <c r="OSY6" s="684"/>
      <c r="OSZ6" s="684"/>
      <c r="OTA6" s="684"/>
      <c r="OTB6" s="684"/>
      <c r="OTC6" s="684"/>
      <c r="OTD6" s="684"/>
      <c r="OTE6" s="684"/>
      <c r="OTF6" s="684"/>
      <c r="OTG6" s="684"/>
      <c r="OTH6" s="684"/>
      <c r="OTI6" s="684"/>
      <c r="OTJ6" s="684"/>
      <c r="OTK6" s="684"/>
      <c r="OTL6" s="684"/>
      <c r="OTM6" s="684"/>
      <c r="OTN6" s="684"/>
      <c r="OTO6" s="684"/>
      <c r="OTP6" s="684"/>
      <c r="OTQ6" s="684"/>
      <c r="OTR6" s="684"/>
      <c r="OTS6" s="684"/>
      <c r="OTT6" s="684"/>
      <c r="OTU6" s="684"/>
      <c r="OTV6" s="684"/>
      <c r="OTW6" s="684"/>
      <c r="OTX6" s="684"/>
      <c r="OTY6" s="684"/>
      <c r="OTZ6" s="684"/>
      <c r="OUA6" s="684"/>
      <c r="OUB6" s="684"/>
      <c r="OUC6" s="684"/>
      <c r="OUD6" s="684"/>
      <c r="OUE6" s="684"/>
      <c r="OUF6" s="684"/>
      <c r="OUG6" s="684"/>
      <c r="OUH6" s="684"/>
      <c r="OUI6" s="684"/>
      <c r="OUJ6" s="684"/>
      <c r="OUK6" s="684"/>
      <c r="OUL6" s="684"/>
      <c r="OUM6" s="684"/>
      <c r="OUN6" s="684"/>
      <c r="OUO6" s="684"/>
      <c r="OUP6" s="684"/>
      <c r="OUQ6" s="684"/>
      <c r="OUR6" s="684"/>
      <c r="OUS6" s="684"/>
      <c r="OUT6" s="684"/>
      <c r="OUU6" s="684"/>
      <c r="OUV6" s="684"/>
      <c r="OUW6" s="684"/>
      <c r="OUX6" s="684"/>
      <c r="OUY6" s="684"/>
      <c r="OUZ6" s="684"/>
      <c r="OVA6" s="684"/>
      <c r="OVB6" s="684"/>
      <c r="OVC6" s="684"/>
      <c r="OVD6" s="684"/>
      <c r="OVE6" s="684"/>
      <c r="OVF6" s="684"/>
      <c r="OVG6" s="684"/>
      <c r="OVH6" s="684"/>
      <c r="OVI6" s="684"/>
      <c r="OVJ6" s="684"/>
      <c r="OVK6" s="684"/>
      <c r="OVL6" s="684"/>
      <c r="OVM6" s="684"/>
      <c r="OVN6" s="684"/>
      <c r="OVO6" s="684"/>
      <c r="OVP6" s="684"/>
      <c r="OVQ6" s="684"/>
      <c r="OVR6" s="684"/>
      <c r="OVS6" s="684"/>
      <c r="OVT6" s="684"/>
      <c r="OVU6" s="684"/>
      <c r="OVV6" s="684"/>
      <c r="OVW6" s="684"/>
      <c r="OVX6" s="684"/>
      <c r="OVY6" s="684"/>
      <c r="OVZ6" s="684"/>
      <c r="OWA6" s="684"/>
      <c r="OWB6" s="684"/>
      <c r="OWC6" s="684"/>
      <c r="OWD6" s="684"/>
      <c r="OWE6" s="684"/>
      <c r="OWF6" s="684"/>
      <c r="OWG6" s="684"/>
      <c r="OWH6" s="684"/>
      <c r="OWI6" s="684"/>
      <c r="OWJ6" s="684"/>
      <c r="OWK6" s="684"/>
      <c r="OWL6" s="684"/>
      <c r="OWM6" s="684"/>
      <c r="OWN6" s="684"/>
      <c r="OWO6" s="684"/>
      <c r="OWP6" s="684"/>
      <c r="OWQ6" s="684"/>
      <c r="OWR6" s="684"/>
      <c r="OWS6" s="684"/>
      <c r="OWT6" s="684"/>
      <c r="OWU6" s="684"/>
      <c r="OWV6" s="684"/>
      <c r="OWW6" s="684"/>
      <c r="OWX6" s="684"/>
      <c r="OWY6" s="684"/>
      <c r="OWZ6" s="684"/>
      <c r="OXA6" s="684"/>
      <c r="OXB6" s="684"/>
      <c r="OXC6" s="684"/>
      <c r="OXD6" s="684"/>
      <c r="OXE6" s="684"/>
      <c r="OXF6" s="684"/>
      <c r="OXG6" s="684"/>
      <c r="OXH6" s="684"/>
      <c r="OXI6" s="684"/>
      <c r="OXJ6" s="684"/>
      <c r="OXK6" s="684"/>
      <c r="OXL6" s="684"/>
      <c r="OXM6" s="684"/>
      <c r="OXN6" s="684"/>
      <c r="OXO6" s="684"/>
      <c r="OXP6" s="684"/>
      <c r="OXQ6" s="684"/>
      <c r="OXR6" s="684"/>
      <c r="OXS6" s="684"/>
      <c r="OXT6" s="684"/>
      <c r="OXU6" s="684"/>
      <c r="OXV6" s="684"/>
      <c r="OXW6" s="684"/>
      <c r="OXX6" s="684"/>
      <c r="OXY6" s="684"/>
      <c r="OXZ6" s="684"/>
      <c r="OYA6" s="684"/>
      <c r="OYB6" s="684"/>
      <c r="OYC6" s="684"/>
      <c r="OYD6" s="684"/>
      <c r="OYE6" s="684"/>
      <c r="OYF6" s="684"/>
      <c r="OYG6" s="684"/>
      <c r="OYH6" s="684"/>
      <c r="OYI6" s="684"/>
      <c r="OYJ6" s="684"/>
      <c r="OYK6" s="684"/>
      <c r="OYL6" s="684"/>
      <c r="OYM6" s="684"/>
      <c r="OYN6" s="684"/>
      <c r="OYO6" s="684"/>
      <c r="OYP6" s="684"/>
      <c r="OYQ6" s="684"/>
      <c r="OYR6" s="684"/>
      <c r="OYS6" s="684"/>
      <c r="OYT6" s="684"/>
      <c r="OYU6" s="684"/>
      <c r="OYV6" s="684"/>
      <c r="OYW6" s="684"/>
      <c r="OYX6" s="684"/>
      <c r="OYY6" s="684"/>
      <c r="OYZ6" s="684"/>
      <c r="OZA6" s="684"/>
      <c r="OZB6" s="684"/>
      <c r="OZC6" s="684"/>
      <c r="OZD6" s="684"/>
      <c r="OZE6" s="684"/>
      <c r="OZF6" s="684"/>
      <c r="OZG6" s="684"/>
      <c r="OZH6" s="684"/>
      <c r="OZI6" s="684"/>
      <c r="OZJ6" s="684"/>
      <c r="OZK6" s="684"/>
      <c r="OZL6" s="684"/>
      <c r="OZM6" s="684"/>
      <c r="OZN6" s="684"/>
      <c r="OZO6" s="684"/>
      <c r="OZP6" s="684"/>
      <c r="OZQ6" s="684"/>
      <c r="OZR6" s="684"/>
      <c r="OZS6" s="684"/>
      <c r="OZT6" s="684"/>
      <c r="OZU6" s="684"/>
      <c r="OZV6" s="684"/>
      <c r="OZW6" s="684"/>
      <c r="OZX6" s="684"/>
      <c r="OZY6" s="684"/>
      <c r="OZZ6" s="684"/>
      <c r="PAA6" s="684"/>
      <c r="PAB6" s="684"/>
      <c r="PAC6" s="684"/>
      <c r="PAD6" s="684"/>
      <c r="PAE6" s="684"/>
      <c r="PAF6" s="684"/>
      <c r="PAG6" s="684"/>
      <c r="PAH6" s="684"/>
      <c r="PAI6" s="684"/>
      <c r="PAJ6" s="684"/>
      <c r="PAK6" s="684"/>
      <c r="PAL6" s="684"/>
      <c r="PAM6" s="684"/>
      <c r="PAN6" s="684"/>
      <c r="PAO6" s="684"/>
      <c r="PAP6" s="684"/>
      <c r="PAQ6" s="684"/>
      <c r="PAR6" s="684"/>
      <c r="PAS6" s="684"/>
      <c r="PAT6" s="684"/>
      <c r="PAU6" s="684"/>
      <c r="PAV6" s="684"/>
      <c r="PAW6" s="684"/>
      <c r="PAX6" s="684"/>
      <c r="PAY6" s="684"/>
      <c r="PAZ6" s="684"/>
      <c r="PBA6" s="684"/>
      <c r="PBB6" s="684"/>
      <c r="PBC6" s="684"/>
      <c r="PBD6" s="684"/>
      <c r="PBE6" s="684"/>
      <c r="PBF6" s="684"/>
      <c r="PBG6" s="684"/>
      <c r="PBH6" s="684"/>
      <c r="PBI6" s="684"/>
      <c r="PBJ6" s="684"/>
      <c r="PBK6" s="684"/>
      <c r="PBL6" s="684"/>
      <c r="PBM6" s="684"/>
      <c r="PBN6" s="684"/>
      <c r="PBO6" s="684"/>
      <c r="PBP6" s="684"/>
      <c r="PBQ6" s="684"/>
      <c r="PBR6" s="684"/>
      <c r="PBS6" s="684"/>
      <c r="PBT6" s="684"/>
      <c r="PBU6" s="684"/>
      <c r="PBV6" s="684"/>
      <c r="PBW6" s="684"/>
      <c r="PBX6" s="684"/>
      <c r="PBY6" s="684"/>
      <c r="PBZ6" s="684"/>
      <c r="PCA6" s="684"/>
      <c r="PCB6" s="684"/>
      <c r="PCC6" s="684"/>
      <c r="PCD6" s="684"/>
      <c r="PCE6" s="684"/>
      <c r="PCF6" s="684"/>
      <c r="PCG6" s="684"/>
      <c r="PCH6" s="684"/>
      <c r="PCI6" s="684"/>
      <c r="PCJ6" s="684"/>
      <c r="PCK6" s="684"/>
      <c r="PCL6" s="684"/>
      <c r="PCM6" s="684"/>
      <c r="PCN6" s="684"/>
      <c r="PCO6" s="684"/>
      <c r="PCP6" s="684"/>
      <c r="PCQ6" s="684"/>
      <c r="PCR6" s="684"/>
      <c r="PCS6" s="684"/>
      <c r="PCT6" s="684"/>
      <c r="PCU6" s="684"/>
      <c r="PCV6" s="684"/>
      <c r="PCW6" s="684"/>
      <c r="PCX6" s="684"/>
      <c r="PCY6" s="684"/>
      <c r="PCZ6" s="684"/>
      <c r="PDA6" s="684"/>
      <c r="PDB6" s="684"/>
      <c r="PDC6" s="684"/>
      <c r="PDD6" s="684"/>
      <c r="PDE6" s="684"/>
      <c r="PDF6" s="684"/>
      <c r="PDG6" s="684"/>
      <c r="PDH6" s="684"/>
      <c r="PDI6" s="684"/>
      <c r="PDJ6" s="684"/>
      <c r="PDK6" s="684"/>
      <c r="PDL6" s="684"/>
      <c r="PDM6" s="684"/>
      <c r="PDN6" s="684"/>
      <c r="PDO6" s="684"/>
      <c r="PDP6" s="684"/>
      <c r="PDQ6" s="684"/>
      <c r="PDR6" s="684"/>
      <c r="PDS6" s="684"/>
      <c r="PDT6" s="684"/>
      <c r="PDU6" s="684"/>
      <c r="PDV6" s="684"/>
      <c r="PDW6" s="684"/>
      <c r="PDX6" s="684"/>
      <c r="PDY6" s="684"/>
      <c r="PDZ6" s="684"/>
      <c r="PEA6" s="684"/>
      <c r="PEB6" s="684"/>
      <c r="PEC6" s="684"/>
      <c r="PED6" s="684"/>
      <c r="PEE6" s="684"/>
      <c r="PEF6" s="684"/>
      <c r="PEG6" s="684"/>
      <c r="PEH6" s="684"/>
      <c r="PEI6" s="684"/>
      <c r="PEJ6" s="684"/>
      <c r="PEK6" s="684"/>
      <c r="PEL6" s="684"/>
      <c r="PEM6" s="684"/>
      <c r="PEN6" s="684"/>
      <c r="PEO6" s="684"/>
      <c r="PEP6" s="684"/>
      <c r="PEQ6" s="684"/>
      <c r="PER6" s="684"/>
      <c r="PES6" s="684"/>
      <c r="PET6" s="684"/>
      <c r="PEU6" s="684"/>
      <c r="PEV6" s="684"/>
      <c r="PEW6" s="684"/>
      <c r="PEX6" s="684"/>
      <c r="PEY6" s="684"/>
      <c r="PEZ6" s="684"/>
      <c r="PFA6" s="684"/>
      <c r="PFB6" s="684"/>
      <c r="PFC6" s="684"/>
      <c r="PFD6" s="684"/>
      <c r="PFE6" s="684"/>
      <c r="PFF6" s="684"/>
      <c r="PFG6" s="684"/>
      <c r="PFH6" s="684"/>
      <c r="PFI6" s="684"/>
      <c r="PFJ6" s="684"/>
      <c r="PFK6" s="684"/>
      <c r="PFL6" s="684"/>
      <c r="PFM6" s="684"/>
      <c r="PFN6" s="684"/>
      <c r="PFO6" s="684"/>
      <c r="PFP6" s="684"/>
      <c r="PFQ6" s="684"/>
      <c r="PFR6" s="684"/>
      <c r="PFS6" s="684"/>
      <c r="PFT6" s="684"/>
      <c r="PFU6" s="684"/>
      <c r="PFV6" s="684"/>
      <c r="PFW6" s="684"/>
      <c r="PFX6" s="684"/>
      <c r="PFY6" s="684"/>
      <c r="PFZ6" s="684"/>
      <c r="PGA6" s="684"/>
      <c r="PGB6" s="684"/>
      <c r="PGC6" s="684"/>
      <c r="PGD6" s="684"/>
      <c r="PGE6" s="684"/>
      <c r="PGF6" s="684"/>
      <c r="PGG6" s="684"/>
      <c r="PGH6" s="684"/>
      <c r="PGI6" s="684"/>
      <c r="PGJ6" s="684"/>
      <c r="PGK6" s="684"/>
      <c r="PGL6" s="684"/>
      <c r="PGM6" s="684"/>
      <c r="PGN6" s="684"/>
      <c r="PGO6" s="684"/>
      <c r="PGP6" s="684"/>
      <c r="PGQ6" s="684"/>
      <c r="PGR6" s="684"/>
      <c r="PGS6" s="684"/>
      <c r="PGT6" s="684"/>
      <c r="PGU6" s="684"/>
      <c r="PGV6" s="684"/>
      <c r="PGW6" s="684"/>
      <c r="PGX6" s="684"/>
      <c r="PGY6" s="684"/>
      <c r="PGZ6" s="684"/>
      <c r="PHA6" s="684"/>
      <c r="PHB6" s="684"/>
      <c r="PHC6" s="684"/>
      <c r="PHD6" s="684"/>
      <c r="PHE6" s="684"/>
      <c r="PHF6" s="684"/>
      <c r="PHG6" s="684"/>
      <c r="PHH6" s="684"/>
      <c r="PHI6" s="684"/>
      <c r="PHJ6" s="684"/>
      <c r="PHK6" s="684"/>
      <c r="PHL6" s="684"/>
      <c r="PHM6" s="684"/>
      <c r="PHN6" s="684"/>
      <c r="PHO6" s="684"/>
      <c r="PHP6" s="684"/>
      <c r="PHQ6" s="684"/>
      <c r="PHR6" s="684"/>
      <c r="PHS6" s="684"/>
      <c r="PHT6" s="684"/>
      <c r="PHU6" s="684"/>
      <c r="PHV6" s="684"/>
      <c r="PHW6" s="684"/>
      <c r="PHX6" s="684"/>
      <c r="PHY6" s="684"/>
      <c r="PHZ6" s="684"/>
      <c r="PIA6" s="684"/>
      <c r="PIB6" s="684"/>
      <c r="PIC6" s="684"/>
      <c r="PID6" s="684"/>
      <c r="PIE6" s="684"/>
      <c r="PIF6" s="684"/>
      <c r="PIG6" s="684"/>
      <c r="PIH6" s="684"/>
      <c r="PII6" s="684"/>
      <c r="PIJ6" s="684"/>
      <c r="PIK6" s="684"/>
      <c r="PIL6" s="684"/>
      <c r="PIM6" s="684"/>
      <c r="PIN6" s="684"/>
      <c r="PIO6" s="684"/>
      <c r="PIP6" s="684"/>
      <c r="PIQ6" s="684"/>
      <c r="PIR6" s="684"/>
      <c r="PIS6" s="684"/>
      <c r="PIT6" s="684"/>
      <c r="PIU6" s="684"/>
      <c r="PIV6" s="684"/>
      <c r="PIW6" s="684"/>
      <c r="PIX6" s="684"/>
      <c r="PIY6" s="684"/>
      <c r="PIZ6" s="684"/>
      <c r="PJA6" s="684"/>
      <c r="PJB6" s="684"/>
      <c r="PJC6" s="684"/>
      <c r="PJD6" s="684"/>
      <c r="PJE6" s="684"/>
      <c r="PJF6" s="684"/>
      <c r="PJG6" s="684"/>
      <c r="PJH6" s="684"/>
      <c r="PJI6" s="684"/>
      <c r="PJJ6" s="684"/>
      <c r="PJK6" s="684"/>
      <c r="PJL6" s="684"/>
      <c r="PJM6" s="684"/>
      <c r="PJN6" s="684"/>
      <c r="PJO6" s="684"/>
      <c r="PJP6" s="684"/>
      <c r="PJQ6" s="684"/>
      <c r="PJR6" s="684"/>
      <c r="PJS6" s="684"/>
      <c r="PJT6" s="684"/>
      <c r="PJU6" s="684"/>
      <c r="PJV6" s="684"/>
      <c r="PJW6" s="684"/>
      <c r="PJX6" s="684"/>
      <c r="PJY6" s="684"/>
      <c r="PJZ6" s="684"/>
      <c r="PKA6" s="684"/>
      <c r="PKB6" s="684"/>
      <c r="PKC6" s="684"/>
      <c r="PKD6" s="684"/>
      <c r="PKE6" s="684"/>
      <c r="PKF6" s="684"/>
      <c r="PKG6" s="684"/>
      <c r="PKH6" s="684"/>
      <c r="PKI6" s="684"/>
      <c r="PKJ6" s="684"/>
      <c r="PKK6" s="684"/>
      <c r="PKL6" s="684"/>
      <c r="PKM6" s="684"/>
      <c r="PKN6" s="684"/>
      <c r="PKO6" s="684"/>
      <c r="PKP6" s="684"/>
      <c r="PKQ6" s="684"/>
      <c r="PKR6" s="684"/>
      <c r="PKS6" s="684"/>
      <c r="PKT6" s="684"/>
      <c r="PKU6" s="684"/>
      <c r="PKV6" s="684"/>
      <c r="PKW6" s="684"/>
      <c r="PKX6" s="684"/>
      <c r="PKY6" s="684"/>
      <c r="PKZ6" s="684"/>
      <c r="PLA6" s="684"/>
      <c r="PLB6" s="684"/>
      <c r="PLC6" s="684"/>
      <c r="PLD6" s="684"/>
      <c r="PLE6" s="684"/>
      <c r="PLF6" s="684"/>
      <c r="PLG6" s="684"/>
      <c r="PLH6" s="684"/>
      <c r="PLI6" s="684"/>
      <c r="PLJ6" s="684"/>
      <c r="PLK6" s="684"/>
      <c r="PLL6" s="684"/>
      <c r="PLM6" s="684"/>
      <c r="PLN6" s="684"/>
      <c r="PLO6" s="684"/>
      <c r="PLP6" s="684"/>
      <c r="PLQ6" s="684"/>
      <c r="PLR6" s="684"/>
      <c r="PLS6" s="684"/>
      <c r="PLT6" s="684"/>
      <c r="PLU6" s="684"/>
      <c r="PLV6" s="684"/>
      <c r="PLW6" s="684"/>
      <c r="PLX6" s="684"/>
      <c r="PLY6" s="684"/>
      <c r="PLZ6" s="684"/>
      <c r="PMA6" s="684"/>
      <c r="PMB6" s="684"/>
      <c r="PMC6" s="684"/>
      <c r="PMD6" s="684"/>
      <c r="PME6" s="684"/>
      <c r="PMF6" s="684"/>
      <c r="PMG6" s="684"/>
      <c r="PMH6" s="684"/>
      <c r="PMI6" s="684"/>
      <c r="PMJ6" s="684"/>
      <c r="PMK6" s="684"/>
      <c r="PML6" s="684"/>
      <c r="PMM6" s="684"/>
      <c r="PMN6" s="684"/>
      <c r="PMO6" s="684"/>
      <c r="PMP6" s="684"/>
      <c r="PMQ6" s="684"/>
      <c r="PMR6" s="684"/>
      <c r="PMS6" s="684"/>
      <c r="PMT6" s="684"/>
      <c r="PMU6" s="684"/>
      <c r="PMV6" s="684"/>
      <c r="PMW6" s="684"/>
      <c r="PMX6" s="684"/>
      <c r="PMY6" s="684"/>
      <c r="PMZ6" s="684"/>
      <c r="PNA6" s="684"/>
      <c r="PNB6" s="684"/>
      <c r="PNC6" s="684"/>
      <c r="PND6" s="684"/>
      <c r="PNE6" s="684"/>
      <c r="PNF6" s="684"/>
      <c r="PNG6" s="684"/>
      <c r="PNH6" s="684"/>
      <c r="PNI6" s="684"/>
      <c r="PNJ6" s="684"/>
      <c r="PNK6" s="684"/>
      <c r="PNL6" s="684"/>
      <c r="PNM6" s="684"/>
      <c r="PNN6" s="684"/>
      <c r="PNO6" s="684"/>
      <c r="PNP6" s="684"/>
      <c r="PNQ6" s="684"/>
      <c r="PNR6" s="684"/>
      <c r="PNS6" s="684"/>
      <c r="PNT6" s="684"/>
      <c r="PNU6" s="684"/>
      <c r="PNV6" s="684"/>
      <c r="PNW6" s="684"/>
      <c r="PNX6" s="684"/>
      <c r="PNY6" s="684"/>
      <c r="PNZ6" s="684"/>
      <c r="POA6" s="684"/>
      <c r="POB6" s="684"/>
      <c r="POC6" s="684"/>
      <c r="POD6" s="684"/>
      <c r="POE6" s="684"/>
      <c r="POF6" s="684"/>
      <c r="POG6" s="684"/>
      <c r="POH6" s="684"/>
      <c r="POI6" s="684"/>
      <c r="POJ6" s="684"/>
      <c r="POK6" s="684"/>
      <c r="POL6" s="684"/>
      <c r="POM6" s="684"/>
      <c r="PON6" s="684"/>
      <c r="POO6" s="684"/>
      <c r="POP6" s="684"/>
      <c r="POQ6" s="684"/>
      <c r="POR6" s="684"/>
      <c r="POS6" s="684"/>
      <c r="POT6" s="684"/>
      <c r="POU6" s="684"/>
      <c r="POV6" s="684"/>
      <c r="POW6" s="684"/>
      <c r="POX6" s="684"/>
      <c r="POY6" s="684"/>
      <c r="POZ6" s="684"/>
      <c r="PPA6" s="684"/>
      <c r="PPB6" s="684"/>
      <c r="PPC6" s="684"/>
      <c r="PPD6" s="684"/>
      <c r="PPE6" s="684"/>
      <c r="PPF6" s="684"/>
      <c r="PPG6" s="684"/>
      <c r="PPH6" s="684"/>
      <c r="PPI6" s="684"/>
      <c r="PPJ6" s="684"/>
      <c r="PPK6" s="684"/>
      <c r="PPL6" s="684"/>
      <c r="PPM6" s="684"/>
      <c r="PPN6" s="684"/>
      <c r="PPO6" s="684"/>
      <c r="PPP6" s="684"/>
      <c r="PPQ6" s="684"/>
      <c r="PPR6" s="684"/>
      <c r="PPS6" s="684"/>
      <c r="PPT6" s="684"/>
      <c r="PPU6" s="684"/>
      <c r="PPV6" s="684"/>
      <c r="PPW6" s="684"/>
      <c r="PPX6" s="684"/>
      <c r="PPY6" s="684"/>
      <c r="PPZ6" s="684"/>
      <c r="PQA6" s="684"/>
      <c r="PQB6" s="684"/>
      <c r="PQC6" s="684"/>
      <c r="PQD6" s="684"/>
      <c r="PQE6" s="684"/>
      <c r="PQF6" s="684"/>
      <c r="PQG6" s="684"/>
      <c r="PQH6" s="684"/>
      <c r="PQI6" s="684"/>
      <c r="PQJ6" s="684"/>
      <c r="PQK6" s="684"/>
      <c r="PQL6" s="684"/>
      <c r="PQM6" s="684"/>
      <c r="PQN6" s="684"/>
      <c r="PQO6" s="684"/>
      <c r="PQP6" s="684"/>
      <c r="PQQ6" s="684"/>
      <c r="PQR6" s="684"/>
      <c r="PQS6" s="684"/>
      <c r="PQT6" s="684"/>
      <c r="PQU6" s="684"/>
      <c r="PQV6" s="684"/>
      <c r="PQW6" s="684"/>
      <c r="PQX6" s="684"/>
      <c r="PQY6" s="684"/>
      <c r="PQZ6" s="684"/>
      <c r="PRA6" s="684"/>
      <c r="PRB6" s="684"/>
      <c r="PRC6" s="684"/>
      <c r="PRD6" s="684"/>
      <c r="PRE6" s="684"/>
      <c r="PRF6" s="684"/>
      <c r="PRG6" s="684"/>
      <c r="PRH6" s="684"/>
      <c r="PRI6" s="684"/>
      <c r="PRJ6" s="684"/>
      <c r="PRK6" s="684"/>
      <c r="PRL6" s="684"/>
      <c r="PRM6" s="684"/>
      <c r="PRN6" s="684"/>
      <c r="PRO6" s="684"/>
      <c r="PRP6" s="684"/>
      <c r="PRQ6" s="684"/>
      <c r="PRR6" s="684"/>
      <c r="PRS6" s="684"/>
      <c r="PRT6" s="684"/>
      <c r="PRU6" s="684"/>
      <c r="PRV6" s="684"/>
      <c r="PRW6" s="684"/>
      <c r="PRX6" s="684"/>
      <c r="PRY6" s="684"/>
      <c r="PRZ6" s="684"/>
      <c r="PSA6" s="684"/>
      <c r="PSB6" s="684"/>
      <c r="PSC6" s="684"/>
      <c r="PSD6" s="684"/>
      <c r="PSE6" s="684"/>
      <c r="PSF6" s="684"/>
      <c r="PSG6" s="684"/>
      <c r="PSH6" s="684"/>
      <c r="PSI6" s="684"/>
      <c r="PSJ6" s="684"/>
      <c r="PSK6" s="684"/>
      <c r="PSL6" s="684"/>
      <c r="PSM6" s="684"/>
      <c r="PSN6" s="684"/>
      <c r="PSO6" s="684"/>
      <c r="PSP6" s="684"/>
      <c r="PSQ6" s="684"/>
      <c r="PSR6" s="684"/>
      <c r="PSS6" s="684"/>
      <c r="PST6" s="684"/>
      <c r="PSU6" s="684"/>
      <c r="PSV6" s="684"/>
      <c r="PSW6" s="684"/>
      <c r="PSX6" s="684"/>
      <c r="PSY6" s="684"/>
      <c r="PSZ6" s="684"/>
      <c r="PTA6" s="684"/>
      <c r="PTB6" s="684"/>
      <c r="PTC6" s="684"/>
      <c r="PTD6" s="684"/>
      <c r="PTE6" s="684"/>
      <c r="PTF6" s="684"/>
      <c r="PTG6" s="684"/>
      <c r="PTH6" s="684"/>
      <c r="PTI6" s="684"/>
      <c r="PTJ6" s="684"/>
      <c r="PTK6" s="684"/>
      <c r="PTL6" s="684"/>
      <c r="PTM6" s="684"/>
      <c r="PTN6" s="684"/>
      <c r="PTO6" s="684"/>
      <c r="PTP6" s="684"/>
      <c r="PTQ6" s="684"/>
      <c r="PTR6" s="684"/>
      <c r="PTS6" s="684"/>
      <c r="PTT6" s="684"/>
      <c r="PTU6" s="684"/>
      <c r="PTV6" s="684"/>
      <c r="PTW6" s="684"/>
      <c r="PTX6" s="684"/>
      <c r="PTY6" s="684"/>
      <c r="PTZ6" s="684"/>
      <c r="PUA6" s="684"/>
      <c r="PUB6" s="684"/>
      <c r="PUC6" s="684"/>
      <c r="PUD6" s="684"/>
      <c r="PUE6" s="684"/>
      <c r="PUF6" s="684"/>
      <c r="PUG6" s="684"/>
      <c r="PUH6" s="684"/>
      <c r="PUI6" s="684"/>
      <c r="PUJ6" s="684"/>
      <c r="PUK6" s="684"/>
      <c r="PUL6" s="684"/>
      <c r="PUM6" s="684"/>
      <c r="PUN6" s="684"/>
      <c r="PUO6" s="684"/>
      <c r="PUP6" s="684"/>
      <c r="PUQ6" s="684"/>
      <c r="PUR6" s="684"/>
      <c r="PUS6" s="684"/>
      <c r="PUT6" s="684"/>
      <c r="PUU6" s="684"/>
      <c r="PUV6" s="684"/>
      <c r="PUW6" s="684"/>
      <c r="PUX6" s="684"/>
      <c r="PUY6" s="684"/>
      <c r="PUZ6" s="684"/>
      <c r="PVA6" s="684"/>
      <c r="PVB6" s="684"/>
      <c r="PVC6" s="684"/>
      <c r="PVD6" s="684"/>
      <c r="PVE6" s="684"/>
      <c r="PVF6" s="684"/>
      <c r="PVG6" s="684"/>
      <c r="PVH6" s="684"/>
      <c r="PVI6" s="684"/>
      <c r="PVJ6" s="684"/>
      <c r="PVK6" s="684"/>
      <c r="PVL6" s="684"/>
      <c r="PVM6" s="684"/>
      <c r="PVN6" s="684"/>
      <c r="PVO6" s="684"/>
      <c r="PVP6" s="684"/>
      <c r="PVQ6" s="684"/>
      <c r="PVR6" s="684"/>
      <c r="PVS6" s="684"/>
      <c r="PVT6" s="684"/>
      <c r="PVU6" s="684"/>
      <c r="PVV6" s="684"/>
      <c r="PVW6" s="684"/>
      <c r="PVX6" s="684"/>
      <c r="PVY6" s="684"/>
      <c r="PVZ6" s="684"/>
      <c r="PWA6" s="684"/>
      <c r="PWB6" s="684"/>
      <c r="PWC6" s="684"/>
      <c r="PWD6" s="684"/>
      <c r="PWE6" s="684"/>
      <c r="PWF6" s="684"/>
      <c r="PWG6" s="684"/>
      <c r="PWH6" s="684"/>
      <c r="PWI6" s="684"/>
      <c r="PWJ6" s="684"/>
      <c r="PWK6" s="684"/>
      <c r="PWL6" s="684"/>
      <c r="PWM6" s="684"/>
      <c r="PWN6" s="684"/>
      <c r="PWO6" s="684"/>
      <c r="PWP6" s="684"/>
      <c r="PWQ6" s="684"/>
      <c r="PWR6" s="684"/>
      <c r="PWS6" s="684"/>
      <c r="PWT6" s="684"/>
      <c r="PWU6" s="684"/>
      <c r="PWV6" s="684"/>
      <c r="PWW6" s="684"/>
      <c r="PWX6" s="684"/>
      <c r="PWY6" s="684"/>
      <c r="PWZ6" s="684"/>
      <c r="PXA6" s="684"/>
      <c r="PXB6" s="684"/>
      <c r="PXC6" s="684"/>
      <c r="PXD6" s="684"/>
      <c r="PXE6" s="684"/>
      <c r="PXF6" s="684"/>
      <c r="PXG6" s="684"/>
      <c r="PXH6" s="684"/>
      <c r="PXI6" s="684"/>
      <c r="PXJ6" s="684"/>
      <c r="PXK6" s="684"/>
      <c r="PXL6" s="684"/>
      <c r="PXM6" s="684"/>
      <c r="PXN6" s="684"/>
      <c r="PXO6" s="684"/>
      <c r="PXP6" s="684"/>
      <c r="PXQ6" s="684"/>
      <c r="PXR6" s="684"/>
      <c r="PXS6" s="684"/>
      <c r="PXT6" s="684"/>
      <c r="PXU6" s="684"/>
      <c r="PXV6" s="684"/>
      <c r="PXW6" s="684"/>
      <c r="PXX6" s="684"/>
      <c r="PXY6" s="684"/>
      <c r="PXZ6" s="684"/>
      <c r="PYA6" s="684"/>
      <c r="PYB6" s="684"/>
      <c r="PYC6" s="684"/>
      <c r="PYD6" s="684"/>
      <c r="PYE6" s="684"/>
      <c r="PYF6" s="684"/>
      <c r="PYG6" s="684"/>
      <c r="PYH6" s="684"/>
      <c r="PYI6" s="684"/>
      <c r="PYJ6" s="684"/>
      <c r="PYK6" s="684"/>
      <c r="PYL6" s="684"/>
      <c r="PYM6" s="684"/>
      <c r="PYN6" s="684"/>
      <c r="PYO6" s="684"/>
      <c r="PYP6" s="684"/>
      <c r="PYQ6" s="684"/>
      <c r="PYR6" s="684"/>
      <c r="PYS6" s="684"/>
      <c r="PYT6" s="684"/>
      <c r="PYU6" s="684"/>
      <c r="PYV6" s="684"/>
      <c r="PYW6" s="684"/>
      <c r="PYX6" s="684"/>
      <c r="PYY6" s="684"/>
      <c r="PYZ6" s="684"/>
      <c r="PZA6" s="684"/>
      <c r="PZB6" s="684"/>
      <c r="PZC6" s="684"/>
      <c r="PZD6" s="684"/>
      <c r="PZE6" s="684"/>
      <c r="PZF6" s="684"/>
      <c r="PZG6" s="684"/>
      <c r="PZH6" s="684"/>
      <c r="PZI6" s="684"/>
      <c r="PZJ6" s="684"/>
      <c r="PZK6" s="684"/>
      <c r="PZL6" s="684"/>
      <c r="PZM6" s="684"/>
      <c r="PZN6" s="684"/>
      <c r="PZO6" s="684"/>
      <c r="PZP6" s="684"/>
      <c r="PZQ6" s="684"/>
      <c r="PZR6" s="684"/>
      <c r="PZS6" s="684"/>
      <c r="PZT6" s="684"/>
      <c r="PZU6" s="684"/>
      <c r="PZV6" s="684"/>
      <c r="PZW6" s="684"/>
      <c r="PZX6" s="684"/>
      <c r="PZY6" s="684"/>
      <c r="PZZ6" s="684"/>
      <c r="QAA6" s="684"/>
      <c r="QAB6" s="684"/>
      <c r="QAC6" s="684"/>
      <c r="QAD6" s="684"/>
      <c r="QAE6" s="684"/>
      <c r="QAF6" s="684"/>
      <c r="QAG6" s="684"/>
      <c r="QAH6" s="684"/>
      <c r="QAI6" s="684"/>
      <c r="QAJ6" s="684"/>
      <c r="QAK6" s="684"/>
      <c r="QAL6" s="684"/>
      <c r="QAM6" s="684"/>
      <c r="QAN6" s="684"/>
      <c r="QAO6" s="684"/>
      <c r="QAP6" s="684"/>
      <c r="QAQ6" s="684"/>
      <c r="QAR6" s="684"/>
      <c r="QAS6" s="684"/>
      <c r="QAT6" s="684"/>
      <c r="QAU6" s="684"/>
      <c r="QAV6" s="684"/>
      <c r="QAW6" s="684"/>
      <c r="QAX6" s="684"/>
      <c r="QAY6" s="684"/>
      <c r="QAZ6" s="684"/>
      <c r="QBA6" s="684"/>
      <c r="QBB6" s="684"/>
      <c r="QBC6" s="684"/>
      <c r="QBD6" s="684"/>
      <c r="QBE6" s="684"/>
      <c r="QBF6" s="684"/>
      <c r="QBG6" s="684"/>
      <c r="QBH6" s="684"/>
      <c r="QBI6" s="684"/>
      <c r="QBJ6" s="684"/>
      <c r="QBK6" s="684"/>
      <c r="QBL6" s="684"/>
      <c r="QBM6" s="684"/>
      <c r="QBN6" s="684"/>
      <c r="QBO6" s="684"/>
      <c r="QBP6" s="684"/>
      <c r="QBQ6" s="684"/>
      <c r="QBR6" s="684"/>
      <c r="QBS6" s="684"/>
      <c r="QBT6" s="684"/>
      <c r="QBU6" s="684"/>
      <c r="QBV6" s="684"/>
      <c r="QBW6" s="684"/>
      <c r="QBX6" s="684"/>
      <c r="QBY6" s="684"/>
      <c r="QBZ6" s="684"/>
      <c r="QCA6" s="684"/>
      <c r="QCB6" s="684"/>
      <c r="QCC6" s="684"/>
      <c r="QCD6" s="684"/>
      <c r="QCE6" s="684"/>
      <c r="QCF6" s="684"/>
      <c r="QCG6" s="684"/>
      <c r="QCH6" s="684"/>
      <c r="QCI6" s="684"/>
      <c r="QCJ6" s="684"/>
      <c r="QCK6" s="684"/>
      <c r="QCL6" s="684"/>
      <c r="QCM6" s="684"/>
      <c r="QCN6" s="684"/>
      <c r="QCO6" s="684"/>
      <c r="QCP6" s="684"/>
      <c r="QCQ6" s="684"/>
      <c r="QCR6" s="684"/>
      <c r="QCS6" s="684"/>
      <c r="QCT6" s="684"/>
      <c r="QCU6" s="684"/>
      <c r="QCV6" s="684"/>
      <c r="QCW6" s="684"/>
      <c r="QCX6" s="684"/>
      <c r="QCY6" s="684"/>
      <c r="QCZ6" s="684"/>
      <c r="QDA6" s="684"/>
      <c r="QDB6" s="684"/>
      <c r="QDC6" s="684"/>
      <c r="QDD6" s="684"/>
      <c r="QDE6" s="684"/>
      <c r="QDF6" s="684"/>
      <c r="QDG6" s="684"/>
      <c r="QDH6" s="684"/>
      <c r="QDI6" s="684"/>
      <c r="QDJ6" s="684"/>
      <c r="QDK6" s="684"/>
      <c r="QDL6" s="684"/>
      <c r="QDM6" s="684"/>
      <c r="QDN6" s="684"/>
      <c r="QDO6" s="684"/>
      <c r="QDP6" s="684"/>
      <c r="QDQ6" s="684"/>
      <c r="QDR6" s="684"/>
      <c r="QDS6" s="684"/>
      <c r="QDT6" s="684"/>
      <c r="QDU6" s="684"/>
      <c r="QDV6" s="684"/>
      <c r="QDW6" s="684"/>
      <c r="QDX6" s="684"/>
      <c r="QDY6" s="684"/>
      <c r="QDZ6" s="684"/>
      <c r="QEA6" s="684"/>
      <c r="QEB6" s="684"/>
      <c r="QEC6" s="684"/>
      <c r="QED6" s="684"/>
      <c r="QEE6" s="684"/>
      <c r="QEF6" s="684"/>
      <c r="QEG6" s="684"/>
      <c r="QEH6" s="684"/>
      <c r="QEI6" s="684"/>
      <c r="QEJ6" s="684"/>
      <c r="QEK6" s="684"/>
      <c r="QEL6" s="684"/>
      <c r="QEM6" s="684"/>
      <c r="QEN6" s="684"/>
      <c r="QEO6" s="684"/>
      <c r="QEP6" s="684"/>
      <c r="QEQ6" s="684"/>
      <c r="QER6" s="684"/>
      <c r="QES6" s="684"/>
      <c r="QET6" s="684"/>
      <c r="QEU6" s="684"/>
      <c r="QEV6" s="684"/>
      <c r="QEW6" s="684"/>
      <c r="QEX6" s="684"/>
      <c r="QEY6" s="684"/>
      <c r="QEZ6" s="684"/>
      <c r="QFA6" s="684"/>
      <c r="QFB6" s="684"/>
      <c r="QFC6" s="684"/>
      <c r="QFD6" s="684"/>
      <c r="QFE6" s="684"/>
      <c r="QFF6" s="684"/>
      <c r="QFG6" s="684"/>
      <c r="QFH6" s="684"/>
      <c r="QFI6" s="684"/>
      <c r="QFJ6" s="684"/>
      <c r="QFK6" s="684"/>
      <c r="QFL6" s="684"/>
      <c r="QFM6" s="684"/>
      <c r="QFN6" s="684"/>
      <c r="QFO6" s="684"/>
      <c r="QFP6" s="684"/>
      <c r="QFQ6" s="684"/>
      <c r="QFR6" s="684"/>
      <c r="QFS6" s="684"/>
      <c r="QFT6" s="684"/>
      <c r="QFU6" s="684"/>
      <c r="QFV6" s="684"/>
      <c r="QFW6" s="684"/>
      <c r="QFX6" s="684"/>
      <c r="QFY6" s="684"/>
      <c r="QFZ6" s="684"/>
      <c r="QGA6" s="684"/>
      <c r="QGB6" s="684"/>
      <c r="QGC6" s="684"/>
      <c r="QGD6" s="684"/>
      <c r="QGE6" s="684"/>
      <c r="QGF6" s="684"/>
      <c r="QGG6" s="684"/>
      <c r="QGH6" s="684"/>
      <c r="QGI6" s="684"/>
      <c r="QGJ6" s="684"/>
      <c r="QGK6" s="684"/>
      <c r="QGL6" s="684"/>
      <c r="QGM6" s="684"/>
      <c r="QGN6" s="684"/>
      <c r="QGO6" s="684"/>
      <c r="QGP6" s="684"/>
      <c r="QGQ6" s="684"/>
      <c r="QGR6" s="684"/>
      <c r="QGS6" s="684"/>
      <c r="QGT6" s="684"/>
      <c r="QGU6" s="684"/>
      <c r="QGV6" s="684"/>
      <c r="QGW6" s="684"/>
      <c r="QGX6" s="684"/>
      <c r="QGY6" s="684"/>
      <c r="QGZ6" s="684"/>
      <c r="QHA6" s="684"/>
      <c r="QHB6" s="684"/>
      <c r="QHC6" s="684"/>
      <c r="QHD6" s="684"/>
      <c r="QHE6" s="684"/>
      <c r="QHF6" s="684"/>
      <c r="QHG6" s="684"/>
      <c r="QHH6" s="684"/>
      <c r="QHI6" s="684"/>
      <c r="QHJ6" s="684"/>
      <c r="QHK6" s="684"/>
      <c r="QHL6" s="684"/>
      <c r="QHM6" s="684"/>
      <c r="QHN6" s="684"/>
      <c r="QHO6" s="684"/>
      <c r="QHP6" s="684"/>
      <c r="QHQ6" s="684"/>
      <c r="QHR6" s="684"/>
      <c r="QHS6" s="684"/>
      <c r="QHT6" s="684"/>
      <c r="QHU6" s="684"/>
      <c r="QHV6" s="684"/>
      <c r="QHW6" s="684"/>
      <c r="QHX6" s="684"/>
      <c r="QHY6" s="684"/>
      <c r="QHZ6" s="684"/>
      <c r="QIA6" s="684"/>
      <c r="QIB6" s="684"/>
      <c r="QIC6" s="684"/>
      <c r="QID6" s="684"/>
      <c r="QIE6" s="684"/>
      <c r="QIF6" s="684"/>
      <c r="QIG6" s="684"/>
      <c r="QIH6" s="684"/>
      <c r="QII6" s="684"/>
      <c r="QIJ6" s="684"/>
      <c r="QIK6" s="684"/>
      <c r="QIL6" s="684"/>
      <c r="QIM6" s="684"/>
      <c r="QIN6" s="684"/>
      <c r="QIO6" s="684"/>
      <c r="QIP6" s="684"/>
      <c r="QIQ6" s="684"/>
      <c r="QIR6" s="684"/>
      <c r="QIS6" s="684"/>
      <c r="QIT6" s="684"/>
      <c r="QIU6" s="684"/>
      <c r="QIV6" s="684"/>
      <c r="QIW6" s="684"/>
      <c r="QIX6" s="684"/>
      <c r="QIY6" s="684"/>
      <c r="QIZ6" s="684"/>
      <c r="QJA6" s="684"/>
      <c r="QJB6" s="684"/>
      <c r="QJC6" s="684"/>
      <c r="QJD6" s="684"/>
      <c r="QJE6" s="684"/>
      <c r="QJF6" s="684"/>
      <c r="QJG6" s="684"/>
      <c r="QJH6" s="684"/>
      <c r="QJI6" s="684"/>
      <c r="QJJ6" s="684"/>
      <c r="QJK6" s="684"/>
      <c r="QJL6" s="684"/>
      <c r="QJM6" s="684"/>
      <c r="QJN6" s="684"/>
      <c r="QJO6" s="684"/>
      <c r="QJP6" s="684"/>
      <c r="QJQ6" s="684"/>
      <c r="QJR6" s="684"/>
      <c r="QJS6" s="684"/>
      <c r="QJT6" s="684"/>
      <c r="QJU6" s="684"/>
      <c r="QJV6" s="684"/>
      <c r="QJW6" s="684"/>
      <c r="QJX6" s="684"/>
      <c r="QJY6" s="684"/>
      <c r="QJZ6" s="684"/>
      <c r="QKA6" s="684"/>
      <c r="QKB6" s="684"/>
      <c r="QKC6" s="684"/>
      <c r="QKD6" s="684"/>
      <c r="QKE6" s="684"/>
      <c r="QKF6" s="684"/>
      <c r="QKG6" s="684"/>
      <c r="QKH6" s="684"/>
      <c r="QKI6" s="684"/>
      <c r="QKJ6" s="684"/>
      <c r="QKK6" s="684"/>
      <c r="QKL6" s="684"/>
      <c r="QKM6" s="684"/>
      <c r="QKN6" s="684"/>
      <c r="QKO6" s="684"/>
      <c r="QKP6" s="684"/>
      <c r="QKQ6" s="684"/>
      <c r="QKR6" s="684"/>
      <c r="QKS6" s="684"/>
      <c r="QKT6" s="684"/>
      <c r="QKU6" s="684"/>
      <c r="QKV6" s="684"/>
      <c r="QKW6" s="684"/>
      <c r="QKX6" s="684"/>
      <c r="QKY6" s="684"/>
      <c r="QKZ6" s="684"/>
      <c r="QLA6" s="684"/>
      <c r="QLB6" s="684"/>
      <c r="QLC6" s="684"/>
      <c r="QLD6" s="684"/>
      <c r="QLE6" s="684"/>
      <c r="QLF6" s="684"/>
      <c r="QLG6" s="684"/>
      <c r="QLH6" s="684"/>
      <c r="QLI6" s="684"/>
      <c r="QLJ6" s="684"/>
      <c r="QLK6" s="684"/>
      <c r="QLL6" s="684"/>
      <c r="QLM6" s="684"/>
      <c r="QLN6" s="684"/>
      <c r="QLO6" s="684"/>
      <c r="QLP6" s="684"/>
      <c r="QLQ6" s="684"/>
      <c r="QLR6" s="684"/>
      <c r="QLS6" s="684"/>
      <c r="QLT6" s="684"/>
      <c r="QLU6" s="684"/>
      <c r="QLV6" s="684"/>
      <c r="QLW6" s="684"/>
      <c r="QLX6" s="684"/>
      <c r="QLY6" s="684"/>
      <c r="QLZ6" s="684"/>
      <c r="QMA6" s="684"/>
      <c r="QMB6" s="684"/>
      <c r="QMC6" s="684"/>
      <c r="QMD6" s="684"/>
      <c r="QME6" s="684"/>
      <c r="QMF6" s="684"/>
      <c r="QMG6" s="684"/>
      <c r="QMH6" s="684"/>
      <c r="QMI6" s="684"/>
      <c r="QMJ6" s="684"/>
      <c r="QMK6" s="684"/>
      <c r="QML6" s="684"/>
      <c r="QMM6" s="684"/>
      <c r="QMN6" s="684"/>
      <c r="QMO6" s="684"/>
      <c r="QMP6" s="684"/>
      <c r="QMQ6" s="684"/>
      <c r="QMR6" s="684"/>
      <c r="QMS6" s="684"/>
      <c r="QMT6" s="684"/>
      <c r="QMU6" s="684"/>
      <c r="QMV6" s="684"/>
      <c r="QMW6" s="684"/>
      <c r="QMX6" s="684"/>
      <c r="QMY6" s="684"/>
      <c r="QMZ6" s="684"/>
      <c r="QNA6" s="684"/>
      <c r="QNB6" s="684"/>
      <c r="QNC6" s="684"/>
      <c r="QND6" s="684"/>
      <c r="QNE6" s="684"/>
      <c r="QNF6" s="684"/>
      <c r="QNG6" s="684"/>
      <c r="QNH6" s="684"/>
      <c r="QNI6" s="684"/>
      <c r="QNJ6" s="684"/>
      <c r="QNK6" s="684"/>
      <c r="QNL6" s="684"/>
      <c r="QNM6" s="684"/>
      <c r="QNN6" s="684"/>
      <c r="QNO6" s="684"/>
      <c r="QNP6" s="684"/>
      <c r="QNQ6" s="684"/>
      <c r="QNR6" s="684"/>
      <c r="QNS6" s="684"/>
      <c r="QNT6" s="684"/>
      <c r="QNU6" s="684"/>
      <c r="QNV6" s="684"/>
      <c r="QNW6" s="684"/>
      <c r="QNX6" s="684"/>
      <c r="QNY6" s="684"/>
      <c r="QNZ6" s="684"/>
      <c r="QOA6" s="684"/>
      <c r="QOB6" s="684"/>
      <c r="QOC6" s="684"/>
      <c r="QOD6" s="684"/>
      <c r="QOE6" s="684"/>
      <c r="QOF6" s="684"/>
      <c r="QOG6" s="684"/>
      <c r="QOH6" s="684"/>
      <c r="QOI6" s="684"/>
      <c r="QOJ6" s="684"/>
      <c r="QOK6" s="684"/>
      <c r="QOL6" s="684"/>
      <c r="QOM6" s="684"/>
      <c r="QON6" s="684"/>
      <c r="QOO6" s="684"/>
      <c r="QOP6" s="684"/>
      <c r="QOQ6" s="684"/>
      <c r="QOR6" s="684"/>
      <c r="QOS6" s="684"/>
      <c r="QOT6" s="684"/>
      <c r="QOU6" s="684"/>
      <c r="QOV6" s="684"/>
      <c r="QOW6" s="684"/>
      <c r="QOX6" s="684"/>
      <c r="QOY6" s="684"/>
      <c r="QOZ6" s="684"/>
      <c r="QPA6" s="684"/>
      <c r="QPB6" s="684"/>
      <c r="QPC6" s="684"/>
      <c r="QPD6" s="684"/>
      <c r="QPE6" s="684"/>
      <c r="QPF6" s="684"/>
      <c r="QPG6" s="684"/>
      <c r="QPH6" s="684"/>
      <c r="QPI6" s="684"/>
      <c r="QPJ6" s="684"/>
      <c r="QPK6" s="684"/>
      <c r="QPL6" s="684"/>
      <c r="QPM6" s="684"/>
      <c r="QPN6" s="684"/>
      <c r="QPO6" s="684"/>
      <c r="QPP6" s="684"/>
      <c r="QPQ6" s="684"/>
      <c r="QPR6" s="684"/>
      <c r="QPS6" s="684"/>
      <c r="QPT6" s="684"/>
      <c r="QPU6" s="684"/>
      <c r="QPV6" s="684"/>
      <c r="QPW6" s="684"/>
      <c r="QPX6" s="684"/>
      <c r="QPY6" s="684"/>
      <c r="QPZ6" s="684"/>
      <c r="QQA6" s="684"/>
      <c r="QQB6" s="684"/>
      <c r="QQC6" s="684"/>
      <c r="QQD6" s="684"/>
      <c r="QQE6" s="684"/>
      <c r="QQF6" s="684"/>
      <c r="QQG6" s="684"/>
      <c r="QQH6" s="684"/>
      <c r="QQI6" s="684"/>
      <c r="QQJ6" s="684"/>
      <c r="QQK6" s="684"/>
      <c r="QQL6" s="684"/>
      <c r="QQM6" s="684"/>
      <c r="QQN6" s="684"/>
      <c r="QQO6" s="684"/>
      <c r="QQP6" s="684"/>
      <c r="QQQ6" s="684"/>
      <c r="QQR6" s="684"/>
      <c r="QQS6" s="684"/>
      <c r="QQT6" s="684"/>
      <c r="QQU6" s="684"/>
      <c r="QQV6" s="684"/>
      <c r="QQW6" s="684"/>
      <c r="QQX6" s="684"/>
      <c r="QQY6" s="684"/>
      <c r="QQZ6" s="684"/>
      <c r="QRA6" s="684"/>
      <c r="QRB6" s="684"/>
      <c r="QRC6" s="684"/>
      <c r="QRD6" s="684"/>
      <c r="QRE6" s="684"/>
      <c r="QRF6" s="684"/>
      <c r="QRG6" s="684"/>
      <c r="QRH6" s="684"/>
      <c r="QRI6" s="684"/>
      <c r="QRJ6" s="684"/>
      <c r="QRK6" s="684"/>
      <c r="QRL6" s="684"/>
      <c r="QRM6" s="684"/>
      <c r="QRN6" s="684"/>
      <c r="QRO6" s="684"/>
      <c r="QRP6" s="684"/>
      <c r="QRQ6" s="684"/>
      <c r="QRR6" s="684"/>
      <c r="QRS6" s="684"/>
      <c r="QRT6" s="684"/>
      <c r="QRU6" s="684"/>
      <c r="QRV6" s="684"/>
      <c r="QRW6" s="684"/>
      <c r="QRX6" s="684"/>
      <c r="QRY6" s="684"/>
      <c r="QRZ6" s="684"/>
      <c r="QSA6" s="684"/>
      <c r="QSB6" s="684"/>
      <c r="QSC6" s="684"/>
      <c r="QSD6" s="684"/>
      <c r="QSE6" s="684"/>
      <c r="QSF6" s="684"/>
      <c r="QSG6" s="684"/>
      <c r="QSH6" s="684"/>
      <c r="QSI6" s="684"/>
      <c r="QSJ6" s="684"/>
      <c r="QSK6" s="684"/>
      <c r="QSL6" s="684"/>
      <c r="QSM6" s="684"/>
      <c r="QSN6" s="684"/>
      <c r="QSO6" s="684"/>
      <c r="QSP6" s="684"/>
      <c r="QSQ6" s="684"/>
      <c r="QSR6" s="684"/>
      <c r="QSS6" s="684"/>
      <c r="QST6" s="684"/>
      <c r="QSU6" s="684"/>
      <c r="QSV6" s="684"/>
      <c r="QSW6" s="684"/>
      <c r="QSX6" s="684"/>
      <c r="QSY6" s="684"/>
      <c r="QSZ6" s="684"/>
      <c r="QTA6" s="684"/>
      <c r="QTB6" s="684"/>
      <c r="QTC6" s="684"/>
      <c r="QTD6" s="684"/>
      <c r="QTE6" s="684"/>
      <c r="QTF6" s="684"/>
      <c r="QTG6" s="684"/>
      <c r="QTH6" s="684"/>
      <c r="QTI6" s="684"/>
      <c r="QTJ6" s="684"/>
      <c r="QTK6" s="684"/>
      <c r="QTL6" s="684"/>
      <c r="QTM6" s="684"/>
      <c r="QTN6" s="684"/>
      <c r="QTO6" s="684"/>
      <c r="QTP6" s="684"/>
      <c r="QTQ6" s="684"/>
      <c r="QTR6" s="684"/>
      <c r="QTS6" s="684"/>
      <c r="QTT6" s="684"/>
      <c r="QTU6" s="684"/>
      <c r="QTV6" s="684"/>
      <c r="QTW6" s="684"/>
      <c r="QTX6" s="684"/>
      <c r="QTY6" s="684"/>
      <c r="QTZ6" s="684"/>
      <c r="QUA6" s="684"/>
      <c r="QUB6" s="684"/>
      <c r="QUC6" s="684"/>
      <c r="QUD6" s="684"/>
      <c r="QUE6" s="684"/>
      <c r="QUF6" s="684"/>
      <c r="QUG6" s="684"/>
      <c r="QUH6" s="684"/>
      <c r="QUI6" s="684"/>
      <c r="QUJ6" s="684"/>
      <c r="QUK6" s="684"/>
      <c r="QUL6" s="684"/>
      <c r="QUM6" s="684"/>
      <c r="QUN6" s="684"/>
      <c r="QUO6" s="684"/>
      <c r="QUP6" s="684"/>
      <c r="QUQ6" s="684"/>
      <c r="QUR6" s="684"/>
      <c r="QUS6" s="684"/>
      <c r="QUT6" s="684"/>
      <c r="QUU6" s="684"/>
      <c r="QUV6" s="684"/>
      <c r="QUW6" s="684"/>
      <c r="QUX6" s="684"/>
      <c r="QUY6" s="684"/>
      <c r="QUZ6" s="684"/>
      <c r="QVA6" s="684"/>
      <c r="QVB6" s="684"/>
      <c r="QVC6" s="684"/>
      <c r="QVD6" s="684"/>
      <c r="QVE6" s="684"/>
      <c r="QVF6" s="684"/>
      <c r="QVG6" s="684"/>
      <c r="QVH6" s="684"/>
      <c r="QVI6" s="684"/>
      <c r="QVJ6" s="684"/>
      <c r="QVK6" s="684"/>
      <c r="QVL6" s="684"/>
      <c r="QVM6" s="684"/>
      <c r="QVN6" s="684"/>
      <c r="QVO6" s="684"/>
      <c r="QVP6" s="684"/>
      <c r="QVQ6" s="684"/>
      <c r="QVR6" s="684"/>
      <c r="QVS6" s="684"/>
      <c r="QVT6" s="684"/>
      <c r="QVU6" s="684"/>
      <c r="QVV6" s="684"/>
      <c r="QVW6" s="684"/>
      <c r="QVX6" s="684"/>
      <c r="QVY6" s="684"/>
      <c r="QVZ6" s="684"/>
      <c r="QWA6" s="684"/>
      <c r="QWB6" s="684"/>
      <c r="QWC6" s="684"/>
      <c r="QWD6" s="684"/>
      <c r="QWE6" s="684"/>
      <c r="QWF6" s="684"/>
      <c r="QWG6" s="684"/>
      <c r="QWH6" s="684"/>
      <c r="QWI6" s="684"/>
      <c r="QWJ6" s="684"/>
      <c r="QWK6" s="684"/>
      <c r="QWL6" s="684"/>
      <c r="QWM6" s="684"/>
      <c r="QWN6" s="684"/>
      <c r="QWO6" s="684"/>
      <c r="QWP6" s="684"/>
      <c r="QWQ6" s="684"/>
      <c r="QWR6" s="684"/>
      <c r="QWS6" s="684"/>
      <c r="QWT6" s="684"/>
      <c r="QWU6" s="684"/>
      <c r="QWV6" s="684"/>
      <c r="QWW6" s="684"/>
      <c r="QWX6" s="684"/>
      <c r="QWY6" s="684"/>
      <c r="QWZ6" s="684"/>
      <c r="QXA6" s="684"/>
      <c r="QXB6" s="684"/>
      <c r="QXC6" s="684"/>
      <c r="QXD6" s="684"/>
      <c r="QXE6" s="684"/>
      <c r="QXF6" s="684"/>
      <c r="QXG6" s="684"/>
      <c r="QXH6" s="684"/>
      <c r="QXI6" s="684"/>
      <c r="QXJ6" s="684"/>
      <c r="QXK6" s="684"/>
      <c r="QXL6" s="684"/>
      <c r="QXM6" s="684"/>
      <c r="QXN6" s="684"/>
      <c r="QXO6" s="684"/>
      <c r="QXP6" s="684"/>
      <c r="QXQ6" s="684"/>
      <c r="QXR6" s="684"/>
      <c r="QXS6" s="684"/>
      <c r="QXT6" s="684"/>
      <c r="QXU6" s="684"/>
      <c r="QXV6" s="684"/>
      <c r="QXW6" s="684"/>
      <c r="QXX6" s="684"/>
      <c r="QXY6" s="684"/>
      <c r="QXZ6" s="684"/>
      <c r="QYA6" s="684"/>
      <c r="QYB6" s="684"/>
      <c r="QYC6" s="684"/>
      <c r="QYD6" s="684"/>
      <c r="QYE6" s="684"/>
      <c r="QYF6" s="684"/>
      <c r="QYG6" s="684"/>
      <c r="QYH6" s="684"/>
      <c r="QYI6" s="684"/>
      <c r="QYJ6" s="684"/>
      <c r="QYK6" s="684"/>
      <c r="QYL6" s="684"/>
      <c r="QYM6" s="684"/>
      <c r="QYN6" s="684"/>
      <c r="QYO6" s="684"/>
      <c r="QYP6" s="684"/>
      <c r="QYQ6" s="684"/>
      <c r="QYR6" s="684"/>
      <c r="QYS6" s="684"/>
      <c r="QYT6" s="684"/>
      <c r="QYU6" s="684"/>
      <c r="QYV6" s="684"/>
      <c r="QYW6" s="684"/>
      <c r="QYX6" s="684"/>
      <c r="QYY6" s="684"/>
      <c r="QYZ6" s="684"/>
      <c r="QZA6" s="684"/>
      <c r="QZB6" s="684"/>
      <c r="QZC6" s="684"/>
      <c r="QZD6" s="684"/>
      <c r="QZE6" s="684"/>
      <c r="QZF6" s="684"/>
      <c r="QZG6" s="684"/>
      <c r="QZH6" s="684"/>
      <c r="QZI6" s="684"/>
      <c r="QZJ6" s="684"/>
      <c r="QZK6" s="684"/>
      <c r="QZL6" s="684"/>
      <c r="QZM6" s="684"/>
      <c r="QZN6" s="684"/>
      <c r="QZO6" s="684"/>
      <c r="QZP6" s="684"/>
      <c r="QZQ6" s="684"/>
      <c r="QZR6" s="684"/>
      <c r="QZS6" s="684"/>
      <c r="QZT6" s="684"/>
      <c r="QZU6" s="684"/>
      <c r="QZV6" s="684"/>
      <c r="QZW6" s="684"/>
      <c r="QZX6" s="684"/>
      <c r="QZY6" s="684"/>
      <c r="QZZ6" s="684"/>
      <c r="RAA6" s="684"/>
      <c r="RAB6" s="684"/>
      <c r="RAC6" s="684"/>
      <c r="RAD6" s="684"/>
      <c r="RAE6" s="684"/>
      <c r="RAF6" s="684"/>
      <c r="RAG6" s="684"/>
      <c r="RAH6" s="684"/>
      <c r="RAI6" s="684"/>
      <c r="RAJ6" s="684"/>
      <c r="RAK6" s="684"/>
      <c r="RAL6" s="684"/>
      <c r="RAM6" s="684"/>
      <c r="RAN6" s="684"/>
      <c r="RAO6" s="684"/>
      <c r="RAP6" s="684"/>
      <c r="RAQ6" s="684"/>
      <c r="RAR6" s="684"/>
      <c r="RAS6" s="684"/>
      <c r="RAT6" s="684"/>
      <c r="RAU6" s="684"/>
      <c r="RAV6" s="684"/>
      <c r="RAW6" s="684"/>
      <c r="RAX6" s="684"/>
      <c r="RAY6" s="684"/>
      <c r="RAZ6" s="684"/>
      <c r="RBA6" s="684"/>
      <c r="RBB6" s="684"/>
      <c r="RBC6" s="684"/>
      <c r="RBD6" s="684"/>
      <c r="RBE6" s="684"/>
      <c r="RBF6" s="684"/>
      <c r="RBG6" s="684"/>
      <c r="RBH6" s="684"/>
      <c r="RBI6" s="684"/>
      <c r="RBJ6" s="684"/>
      <c r="RBK6" s="684"/>
      <c r="RBL6" s="684"/>
      <c r="RBM6" s="684"/>
      <c r="RBN6" s="684"/>
      <c r="RBO6" s="684"/>
      <c r="RBP6" s="684"/>
      <c r="RBQ6" s="684"/>
      <c r="RBR6" s="684"/>
      <c r="RBS6" s="684"/>
      <c r="RBT6" s="684"/>
      <c r="RBU6" s="684"/>
      <c r="RBV6" s="684"/>
      <c r="RBW6" s="684"/>
      <c r="RBX6" s="684"/>
      <c r="RBY6" s="684"/>
      <c r="RBZ6" s="684"/>
      <c r="RCA6" s="684"/>
      <c r="RCB6" s="684"/>
      <c r="RCC6" s="684"/>
      <c r="RCD6" s="684"/>
      <c r="RCE6" s="684"/>
      <c r="RCF6" s="684"/>
      <c r="RCG6" s="684"/>
      <c r="RCH6" s="684"/>
      <c r="RCI6" s="684"/>
      <c r="RCJ6" s="684"/>
      <c r="RCK6" s="684"/>
      <c r="RCL6" s="684"/>
      <c r="RCM6" s="684"/>
      <c r="RCN6" s="684"/>
      <c r="RCO6" s="684"/>
      <c r="RCP6" s="684"/>
      <c r="RCQ6" s="684"/>
      <c r="RCR6" s="684"/>
      <c r="RCS6" s="684"/>
      <c r="RCT6" s="684"/>
      <c r="RCU6" s="684"/>
      <c r="RCV6" s="684"/>
      <c r="RCW6" s="684"/>
      <c r="RCX6" s="684"/>
      <c r="RCY6" s="684"/>
      <c r="RCZ6" s="684"/>
      <c r="RDA6" s="684"/>
      <c r="RDB6" s="684"/>
      <c r="RDC6" s="684"/>
      <c r="RDD6" s="684"/>
      <c r="RDE6" s="684"/>
      <c r="RDF6" s="684"/>
      <c r="RDG6" s="684"/>
      <c r="RDH6" s="684"/>
      <c r="RDI6" s="684"/>
      <c r="RDJ6" s="684"/>
      <c r="RDK6" s="684"/>
      <c r="RDL6" s="684"/>
      <c r="RDM6" s="684"/>
      <c r="RDN6" s="684"/>
      <c r="RDO6" s="684"/>
      <c r="RDP6" s="684"/>
      <c r="RDQ6" s="684"/>
      <c r="RDR6" s="684"/>
      <c r="RDS6" s="684"/>
      <c r="RDT6" s="684"/>
      <c r="RDU6" s="684"/>
      <c r="RDV6" s="684"/>
      <c r="RDW6" s="684"/>
      <c r="RDX6" s="684"/>
      <c r="RDY6" s="684"/>
      <c r="RDZ6" s="684"/>
      <c r="REA6" s="684"/>
      <c r="REB6" s="684"/>
      <c r="REC6" s="684"/>
      <c r="RED6" s="684"/>
      <c r="REE6" s="684"/>
      <c r="REF6" s="684"/>
      <c r="REG6" s="684"/>
      <c r="REH6" s="684"/>
      <c r="REI6" s="684"/>
      <c r="REJ6" s="684"/>
      <c r="REK6" s="684"/>
      <c r="REL6" s="684"/>
      <c r="REM6" s="684"/>
      <c r="REN6" s="684"/>
      <c r="REO6" s="684"/>
      <c r="REP6" s="684"/>
      <c r="REQ6" s="684"/>
      <c r="RER6" s="684"/>
      <c r="RES6" s="684"/>
      <c r="RET6" s="684"/>
      <c r="REU6" s="684"/>
      <c r="REV6" s="684"/>
      <c r="REW6" s="684"/>
      <c r="REX6" s="684"/>
      <c r="REY6" s="684"/>
      <c r="REZ6" s="684"/>
      <c r="RFA6" s="684"/>
      <c r="RFB6" s="684"/>
      <c r="RFC6" s="684"/>
      <c r="RFD6" s="684"/>
      <c r="RFE6" s="684"/>
      <c r="RFF6" s="684"/>
      <c r="RFG6" s="684"/>
      <c r="RFH6" s="684"/>
      <c r="RFI6" s="684"/>
      <c r="RFJ6" s="684"/>
      <c r="RFK6" s="684"/>
      <c r="RFL6" s="684"/>
      <c r="RFM6" s="684"/>
      <c r="RFN6" s="684"/>
      <c r="RFO6" s="684"/>
      <c r="RFP6" s="684"/>
      <c r="RFQ6" s="684"/>
      <c r="RFR6" s="684"/>
      <c r="RFS6" s="684"/>
      <c r="RFT6" s="684"/>
      <c r="RFU6" s="684"/>
      <c r="RFV6" s="684"/>
      <c r="RFW6" s="684"/>
      <c r="RFX6" s="684"/>
      <c r="RFY6" s="684"/>
      <c r="RFZ6" s="684"/>
      <c r="RGA6" s="684"/>
      <c r="RGB6" s="684"/>
      <c r="RGC6" s="684"/>
      <c r="RGD6" s="684"/>
      <c r="RGE6" s="684"/>
      <c r="RGF6" s="684"/>
      <c r="RGG6" s="684"/>
      <c r="RGH6" s="684"/>
      <c r="RGI6" s="684"/>
      <c r="RGJ6" s="684"/>
      <c r="RGK6" s="684"/>
      <c r="RGL6" s="684"/>
      <c r="RGM6" s="684"/>
      <c r="RGN6" s="684"/>
      <c r="RGO6" s="684"/>
      <c r="RGP6" s="684"/>
      <c r="RGQ6" s="684"/>
      <c r="RGR6" s="684"/>
      <c r="RGS6" s="684"/>
      <c r="RGT6" s="684"/>
      <c r="RGU6" s="684"/>
      <c r="RGV6" s="684"/>
      <c r="RGW6" s="684"/>
      <c r="RGX6" s="684"/>
      <c r="RGY6" s="684"/>
      <c r="RGZ6" s="684"/>
      <c r="RHA6" s="684"/>
      <c r="RHB6" s="684"/>
      <c r="RHC6" s="684"/>
      <c r="RHD6" s="684"/>
      <c r="RHE6" s="684"/>
      <c r="RHF6" s="684"/>
      <c r="RHG6" s="684"/>
      <c r="RHH6" s="684"/>
      <c r="RHI6" s="684"/>
      <c r="RHJ6" s="684"/>
      <c r="RHK6" s="684"/>
      <c r="RHL6" s="684"/>
      <c r="RHM6" s="684"/>
      <c r="RHN6" s="684"/>
      <c r="RHO6" s="684"/>
      <c r="RHP6" s="684"/>
      <c r="RHQ6" s="684"/>
      <c r="RHR6" s="684"/>
      <c r="RHS6" s="684"/>
      <c r="RHT6" s="684"/>
      <c r="RHU6" s="684"/>
      <c r="RHV6" s="684"/>
      <c r="RHW6" s="684"/>
      <c r="RHX6" s="684"/>
      <c r="RHY6" s="684"/>
      <c r="RHZ6" s="684"/>
      <c r="RIA6" s="684"/>
      <c r="RIB6" s="684"/>
      <c r="RIC6" s="684"/>
      <c r="RID6" s="684"/>
      <c r="RIE6" s="684"/>
      <c r="RIF6" s="684"/>
      <c r="RIG6" s="684"/>
      <c r="RIH6" s="684"/>
      <c r="RII6" s="684"/>
      <c r="RIJ6" s="684"/>
      <c r="RIK6" s="684"/>
      <c r="RIL6" s="684"/>
      <c r="RIM6" s="684"/>
      <c r="RIN6" s="684"/>
      <c r="RIO6" s="684"/>
      <c r="RIP6" s="684"/>
      <c r="RIQ6" s="684"/>
      <c r="RIR6" s="684"/>
      <c r="RIS6" s="684"/>
      <c r="RIT6" s="684"/>
      <c r="RIU6" s="684"/>
      <c r="RIV6" s="684"/>
      <c r="RIW6" s="684"/>
      <c r="RIX6" s="684"/>
      <c r="RIY6" s="684"/>
      <c r="RIZ6" s="684"/>
      <c r="RJA6" s="684"/>
      <c r="RJB6" s="684"/>
      <c r="RJC6" s="684"/>
      <c r="RJD6" s="684"/>
      <c r="RJE6" s="684"/>
      <c r="RJF6" s="684"/>
      <c r="RJG6" s="684"/>
      <c r="RJH6" s="684"/>
      <c r="RJI6" s="684"/>
      <c r="RJJ6" s="684"/>
      <c r="RJK6" s="684"/>
      <c r="RJL6" s="684"/>
      <c r="RJM6" s="684"/>
      <c r="RJN6" s="684"/>
      <c r="RJO6" s="684"/>
      <c r="RJP6" s="684"/>
      <c r="RJQ6" s="684"/>
      <c r="RJR6" s="684"/>
      <c r="RJS6" s="684"/>
      <c r="RJT6" s="684"/>
      <c r="RJU6" s="684"/>
      <c r="RJV6" s="684"/>
      <c r="RJW6" s="684"/>
      <c r="RJX6" s="684"/>
      <c r="RJY6" s="684"/>
      <c r="RJZ6" s="684"/>
      <c r="RKA6" s="684"/>
      <c r="RKB6" s="684"/>
      <c r="RKC6" s="684"/>
      <c r="RKD6" s="684"/>
      <c r="RKE6" s="684"/>
      <c r="RKF6" s="684"/>
      <c r="RKG6" s="684"/>
      <c r="RKH6" s="684"/>
      <c r="RKI6" s="684"/>
      <c r="RKJ6" s="684"/>
      <c r="RKK6" s="684"/>
      <c r="RKL6" s="684"/>
      <c r="RKM6" s="684"/>
      <c r="RKN6" s="684"/>
      <c r="RKO6" s="684"/>
      <c r="RKP6" s="684"/>
      <c r="RKQ6" s="684"/>
      <c r="RKR6" s="684"/>
      <c r="RKS6" s="684"/>
      <c r="RKT6" s="684"/>
      <c r="RKU6" s="684"/>
      <c r="RKV6" s="684"/>
      <c r="RKW6" s="684"/>
      <c r="RKX6" s="684"/>
      <c r="RKY6" s="684"/>
      <c r="RKZ6" s="684"/>
      <c r="RLA6" s="684"/>
      <c r="RLB6" s="684"/>
      <c r="RLC6" s="684"/>
      <c r="RLD6" s="684"/>
      <c r="RLE6" s="684"/>
      <c r="RLF6" s="684"/>
      <c r="RLG6" s="684"/>
      <c r="RLH6" s="684"/>
      <c r="RLI6" s="684"/>
      <c r="RLJ6" s="684"/>
      <c r="RLK6" s="684"/>
      <c r="RLL6" s="684"/>
      <c r="RLM6" s="684"/>
      <c r="RLN6" s="684"/>
      <c r="RLO6" s="684"/>
      <c r="RLP6" s="684"/>
      <c r="RLQ6" s="684"/>
      <c r="RLR6" s="684"/>
      <c r="RLS6" s="684"/>
      <c r="RLT6" s="684"/>
      <c r="RLU6" s="684"/>
      <c r="RLV6" s="684"/>
      <c r="RLW6" s="684"/>
      <c r="RLX6" s="684"/>
      <c r="RLY6" s="684"/>
      <c r="RLZ6" s="684"/>
      <c r="RMA6" s="684"/>
      <c r="RMB6" s="684"/>
      <c r="RMC6" s="684"/>
      <c r="RMD6" s="684"/>
      <c r="RME6" s="684"/>
      <c r="RMF6" s="684"/>
      <c r="RMG6" s="684"/>
      <c r="RMH6" s="684"/>
      <c r="RMI6" s="684"/>
      <c r="RMJ6" s="684"/>
      <c r="RMK6" s="684"/>
      <c r="RML6" s="684"/>
      <c r="RMM6" s="684"/>
      <c r="RMN6" s="684"/>
      <c r="RMO6" s="684"/>
      <c r="RMP6" s="684"/>
      <c r="RMQ6" s="684"/>
      <c r="RMR6" s="684"/>
      <c r="RMS6" s="684"/>
      <c r="RMT6" s="684"/>
      <c r="RMU6" s="684"/>
      <c r="RMV6" s="684"/>
      <c r="RMW6" s="684"/>
      <c r="RMX6" s="684"/>
      <c r="RMY6" s="684"/>
      <c r="RMZ6" s="684"/>
      <c r="RNA6" s="684"/>
      <c r="RNB6" s="684"/>
      <c r="RNC6" s="684"/>
      <c r="RND6" s="684"/>
      <c r="RNE6" s="684"/>
      <c r="RNF6" s="684"/>
      <c r="RNG6" s="684"/>
      <c r="RNH6" s="684"/>
      <c r="RNI6" s="684"/>
      <c r="RNJ6" s="684"/>
      <c r="RNK6" s="684"/>
      <c r="RNL6" s="684"/>
      <c r="RNM6" s="684"/>
      <c r="RNN6" s="684"/>
      <c r="RNO6" s="684"/>
      <c r="RNP6" s="684"/>
      <c r="RNQ6" s="684"/>
      <c r="RNR6" s="684"/>
      <c r="RNS6" s="684"/>
      <c r="RNT6" s="684"/>
      <c r="RNU6" s="684"/>
      <c r="RNV6" s="684"/>
      <c r="RNW6" s="684"/>
      <c r="RNX6" s="684"/>
      <c r="RNY6" s="684"/>
      <c r="RNZ6" s="684"/>
      <c r="ROA6" s="684"/>
      <c r="ROB6" s="684"/>
      <c r="ROC6" s="684"/>
      <c r="ROD6" s="684"/>
      <c r="ROE6" s="684"/>
      <c r="ROF6" s="684"/>
      <c r="ROG6" s="684"/>
      <c r="ROH6" s="684"/>
      <c r="ROI6" s="684"/>
      <c r="ROJ6" s="684"/>
      <c r="ROK6" s="684"/>
      <c r="ROL6" s="684"/>
      <c r="ROM6" s="684"/>
      <c r="RON6" s="684"/>
      <c r="ROO6" s="684"/>
      <c r="ROP6" s="684"/>
      <c r="ROQ6" s="684"/>
      <c r="ROR6" s="684"/>
      <c r="ROS6" s="684"/>
      <c r="ROT6" s="684"/>
      <c r="ROU6" s="684"/>
      <c r="ROV6" s="684"/>
      <c r="ROW6" s="684"/>
      <c r="ROX6" s="684"/>
      <c r="ROY6" s="684"/>
      <c r="ROZ6" s="684"/>
      <c r="RPA6" s="684"/>
      <c r="RPB6" s="684"/>
      <c r="RPC6" s="684"/>
      <c r="RPD6" s="684"/>
      <c r="RPE6" s="684"/>
      <c r="RPF6" s="684"/>
      <c r="RPG6" s="684"/>
      <c r="RPH6" s="684"/>
      <c r="RPI6" s="684"/>
      <c r="RPJ6" s="684"/>
      <c r="RPK6" s="684"/>
      <c r="RPL6" s="684"/>
      <c r="RPM6" s="684"/>
      <c r="RPN6" s="684"/>
      <c r="RPO6" s="684"/>
      <c r="RPP6" s="684"/>
      <c r="RPQ6" s="684"/>
      <c r="RPR6" s="684"/>
      <c r="RPS6" s="684"/>
      <c r="RPT6" s="684"/>
      <c r="RPU6" s="684"/>
      <c r="RPV6" s="684"/>
      <c r="RPW6" s="684"/>
      <c r="RPX6" s="684"/>
      <c r="RPY6" s="684"/>
      <c r="RPZ6" s="684"/>
      <c r="RQA6" s="684"/>
      <c r="RQB6" s="684"/>
      <c r="RQC6" s="684"/>
      <c r="RQD6" s="684"/>
      <c r="RQE6" s="684"/>
      <c r="RQF6" s="684"/>
      <c r="RQG6" s="684"/>
      <c r="RQH6" s="684"/>
      <c r="RQI6" s="684"/>
      <c r="RQJ6" s="684"/>
      <c r="RQK6" s="684"/>
      <c r="RQL6" s="684"/>
      <c r="RQM6" s="684"/>
      <c r="RQN6" s="684"/>
      <c r="RQO6" s="684"/>
      <c r="RQP6" s="684"/>
      <c r="RQQ6" s="684"/>
      <c r="RQR6" s="684"/>
      <c r="RQS6" s="684"/>
      <c r="RQT6" s="684"/>
      <c r="RQU6" s="684"/>
      <c r="RQV6" s="684"/>
      <c r="RQW6" s="684"/>
      <c r="RQX6" s="684"/>
      <c r="RQY6" s="684"/>
      <c r="RQZ6" s="684"/>
      <c r="RRA6" s="684"/>
      <c r="RRB6" s="684"/>
      <c r="RRC6" s="684"/>
      <c r="RRD6" s="684"/>
      <c r="RRE6" s="684"/>
      <c r="RRF6" s="684"/>
      <c r="RRG6" s="684"/>
      <c r="RRH6" s="684"/>
      <c r="RRI6" s="684"/>
      <c r="RRJ6" s="684"/>
      <c r="RRK6" s="684"/>
      <c r="RRL6" s="684"/>
      <c r="RRM6" s="684"/>
      <c r="RRN6" s="684"/>
      <c r="RRO6" s="684"/>
      <c r="RRP6" s="684"/>
      <c r="RRQ6" s="684"/>
      <c r="RRR6" s="684"/>
      <c r="RRS6" s="684"/>
      <c r="RRT6" s="684"/>
      <c r="RRU6" s="684"/>
      <c r="RRV6" s="684"/>
      <c r="RRW6" s="684"/>
      <c r="RRX6" s="684"/>
      <c r="RRY6" s="684"/>
      <c r="RRZ6" s="684"/>
      <c r="RSA6" s="684"/>
      <c r="RSB6" s="684"/>
      <c r="RSC6" s="684"/>
      <c r="RSD6" s="684"/>
      <c r="RSE6" s="684"/>
      <c r="RSF6" s="684"/>
      <c r="RSG6" s="684"/>
      <c r="RSH6" s="684"/>
      <c r="RSI6" s="684"/>
      <c r="RSJ6" s="684"/>
      <c r="RSK6" s="684"/>
      <c r="RSL6" s="684"/>
      <c r="RSM6" s="684"/>
      <c r="RSN6" s="684"/>
      <c r="RSO6" s="684"/>
      <c r="RSP6" s="684"/>
      <c r="RSQ6" s="684"/>
      <c r="RSR6" s="684"/>
      <c r="RSS6" s="684"/>
      <c r="RST6" s="684"/>
      <c r="RSU6" s="684"/>
      <c r="RSV6" s="684"/>
      <c r="RSW6" s="684"/>
      <c r="RSX6" s="684"/>
      <c r="RSY6" s="684"/>
      <c r="RSZ6" s="684"/>
      <c r="RTA6" s="684"/>
      <c r="RTB6" s="684"/>
      <c r="RTC6" s="684"/>
      <c r="RTD6" s="684"/>
      <c r="RTE6" s="684"/>
      <c r="RTF6" s="684"/>
      <c r="RTG6" s="684"/>
      <c r="RTH6" s="684"/>
      <c r="RTI6" s="684"/>
      <c r="RTJ6" s="684"/>
      <c r="RTK6" s="684"/>
      <c r="RTL6" s="684"/>
      <c r="RTM6" s="684"/>
      <c r="RTN6" s="684"/>
      <c r="RTO6" s="684"/>
      <c r="RTP6" s="684"/>
      <c r="RTQ6" s="684"/>
      <c r="RTR6" s="684"/>
      <c r="RTS6" s="684"/>
      <c r="RTT6" s="684"/>
      <c r="RTU6" s="684"/>
      <c r="RTV6" s="684"/>
      <c r="RTW6" s="684"/>
      <c r="RTX6" s="684"/>
      <c r="RTY6" s="684"/>
      <c r="RTZ6" s="684"/>
      <c r="RUA6" s="684"/>
      <c r="RUB6" s="684"/>
      <c r="RUC6" s="684"/>
      <c r="RUD6" s="684"/>
      <c r="RUE6" s="684"/>
      <c r="RUF6" s="684"/>
      <c r="RUG6" s="684"/>
      <c r="RUH6" s="684"/>
      <c r="RUI6" s="684"/>
      <c r="RUJ6" s="684"/>
      <c r="RUK6" s="684"/>
      <c r="RUL6" s="684"/>
      <c r="RUM6" s="684"/>
      <c r="RUN6" s="684"/>
      <c r="RUO6" s="684"/>
      <c r="RUP6" s="684"/>
      <c r="RUQ6" s="684"/>
      <c r="RUR6" s="684"/>
      <c r="RUS6" s="684"/>
      <c r="RUT6" s="684"/>
      <c r="RUU6" s="684"/>
      <c r="RUV6" s="684"/>
      <c r="RUW6" s="684"/>
      <c r="RUX6" s="684"/>
      <c r="RUY6" s="684"/>
      <c r="RUZ6" s="684"/>
      <c r="RVA6" s="684"/>
      <c r="RVB6" s="684"/>
      <c r="RVC6" s="684"/>
      <c r="RVD6" s="684"/>
      <c r="RVE6" s="684"/>
      <c r="RVF6" s="684"/>
      <c r="RVG6" s="684"/>
      <c r="RVH6" s="684"/>
      <c r="RVI6" s="684"/>
      <c r="RVJ6" s="684"/>
      <c r="RVK6" s="684"/>
      <c r="RVL6" s="684"/>
      <c r="RVM6" s="684"/>
      <c r="RVN6" s="684"/>
      <c r="RVO6" s="684"/>
      <c r="RVP6" s="684"/>
      <c r="RVQ6" s="684"/>
      <c r="RVR6" s="684"/>
      <c r="RVS6" s="684"/>
      <c r="RVT6" s="684"/>
      <c r="RVU6" s="684"/>
      <c r="RVV6" s="684"/>
      <c r="RVW6" s="684"/>
      <c r="RVX6" s="684"/>
      <c r="RVY6" s="684"/>
      <c r="RVZ6" s="684"/>
      <c r="RWA6" s="684"/>
      <c r="RWB6" s="684"/>
      <c r="RWC6" s="684"/>
      <c r="RWD6" s="684"/>
      <c r="RWE6" s="684"/>
      <c r="RWF6" s="684"/>
      <c r="RWG6" s="684"/>
      <c r="RWH6" s="684"/>
      <c r="RWI6" s="684"/>
      <c r="RWJ6" s="684"/>
      <c r="RWK6" s="684"/>
      <c r="RWL6" s="684"/>
      <c r="RWM6" s="684"/>
      <c r="RWN6" s="684"/>
      <c r="RWO6" s="684"/>
      <c r="RWP6" s="684"/>
      <c r="RWQ6" s="684"/>
      <c r="RWR6" s="684"/>
      <c r="RWS6" s="684"/>
      <c r="RWT6" s="684"/>
      <c r="RWU6" s="684"/>
      <c r="RWV6" s="684"/>
      <c r="RWW6" s="684"/>
      <c r="RWX6" s="684"/>
      <c r="RWY6" s="684"/>
      <c r="RWZ6" s="684"/>
      <c r="RXA6" s="684"/>
      <c r="RXB6" s="684"/>
      <c r="RXC6" s="684"/>
      <c r="RXD6" s="684"/>
      <c r="RXE6" s="684"/>
      <c r="RXF6" s="684"/>
      <c r="RXG6" s="684"/>
      <c r="RXH6" s="684"/>
      <c r="RXI6" s="684"/>
      <c r="RXJ6" s="684"/>
      <c r="RXK6" s="684"/>
      <c r="RXL6" s="684"/>
      <c r="RXM6" s="684"/>
      <c r="RXN6" s="684"/>
      <c r="RXO6" s="684"/>
      <c r="RXP6" s="684"/>
      <c r="RXQ6" s="684"/>
      <c r="RXR6" s="684"/>
      <c r="RXS6" s="684"/>
      <c r="RXT6" s="684"/>
      <c r="RXU6" s="684"/>
      <c r="RXV6" s="684"/>
      <c r="RXW6" s="684"/>
      <c r="RXX6" s="684"/>
      <c r="RXY6" s="684"/>
      <c r="RXZ6" s="684"/>
      <c r="RYA6" s="684"/>
      <c r="RYB6" s="684"/>
      <c r="RYC6" s="684"/>
      <c r="RYD6" s="684"/>
      <c r="RYE6" s="684"/>
      <c r="RYF6" s="684"/>
      <c r="RYG6" s="684"/>
      <c r="RYH6" s="684"/>
      <c r="RYI6" s="684"/>
      <c r="RYJ6" s="684"/>
      <c r="RYK6" s="684"/>
      <c r="RYL6" s="684"/>
      <c r="RYM6" s="684"/>
      <c r="RYN6" s="684"/>
      <c r="RYO6" s="684"/>
      <c r="RYP6" s="684"/>
      <c r="RYQ6" s="684"/>
      <c r="RYR6" s="684"/>
      <c r="RYS6" s="684"/>
      <c r="RYT6" s="684"/>
      <c r="RYU6" s="684"/>
      <c r="RYV6" s="684"/>
      <c r="RYW6" s="684"/>
      <c r="RYX6" s="684"/>
      <c r="RYY6" s="684"/>
      <c r="RYZ6" s="684"/>
      <c r="RZA6" s="684"/>
      <c r="RZB6" s="684"/>
      <c r="RZC6" s="684"/>
      <c r="RZD6" s="684"/>
      <c r="RZE6" s="684"/>
      <c r="RZF6" s="684"/>
      <c r="RZG6" s="684"/>
      <c r="RZH6" s="684"/>
      <c r="RZI6" s="684"/>
      <c r="RZJ6" s="684"/>
      <c r="RZK6" s="684"/>
      <c r="RZL6" s="684"/>
      <c r="RZM6" s="684"/>
      <c r="RZN6" s="684"/>
      <c r="RZO6" s="684"/>
      <c r="RZP6" s="684"/>
      <c r="RZQ6" s="684"/>
      <c r="RZR6" s="684"/>
      <c r="RZS6" s="684"/>
      <c r="RZT6" s="684"/>
      <c r="RZU6" s="684"/>
      <c r="RZV6" s="684"/>
      <c r="RZW6" s="684"/>
      <c r="RZX6" s="684"/>
      <c r="RZY6" s="684"/>
      <c r="RZZ6" s="684"/>
      <c r="SAA6" s="684"/>
      <c r="SAB6" s="684"/>
      <c r="SAC6" s="684"/>
      <c r="SAD6" s="684"/>
      <c r="SAE6" s="684"/>
      <c r="SAF6" s="684"/>
      <c r="SAG6" s="684"/>
      <c r="SAH6" s="684"/>
      <c r="SAI6" s="684"/>
      <c r="SAJ6" s="684"/>
      <c r="SAK6" s="684"/>
      <c r="SAL6" s="684"/>
      <c r="SAM6" s="684"/>
      <c r="SAN6" s="684"/>
      <c r="SAO6" s="684"/>
      <c r="SAP6" s="684"/>
      <c r="SAQ6" s="684"/>
      <c r="SAR6" s="684"/>
      <c r="SAS6" s="684"/>
      <c r="SAT6" s="684"/>
      <c r="SAU6" s="684"/>
      <c r="SAV6" s="684"/>
      <c r="SAW6" s="684"/>
      <c r="SAX6" s="684"/>
      <c r="SAY6" s="684"/>
      <c r="SAZ6" s="684"/>
      <c r="SBA6" s="684"/>
      <c r="SBB6" s="684"/>
      <c r="SBC6" s="684"/>
      <c r="SBD6" s="684"/>
      <c r="SBE6" s="684"/>
      <c r="SBF6" s="684"/>
      <c r="SBG6" s="684"/>
      <c r="SBH6" s="684"/>
      <c r="SBI6" s="684"/>
      <c r="SBJ6" s="684"/>
      <c r="SBK6" s="684"/>
      <c r="SBL6" s="684"/>
      <c r="SBM6" s="684"/>
      <c r="SBN6" s="684"/>
      <c r="SBO6" s="684"/>
      <c r="SBP6" s="684"/>
      <c r="SBQ6" s="684"/>
      <c r="SBR6" s="684"/>
      <c r="SBS6" s="684"/>
      <c r="SBT6" s="684"/>
      <c r="SBU6" s="684"/>
      <c r="SBV6" s="684"/>
      <c r="SBW6" s="684"/>
      <c r="SBX6" s="684"/>
      <c r="SBY6" s="684"/>
      <c r="SBZ6" s="684"/>
      <c r="SCA6" s="684"/>
      <c r="SCB6" s="684"/>
      <c r="SCC6" s="684"/>
      <c r="SCD6" s="684"/>
      <c r="SCE6" s="684"/>
      <c r="SCF6" s="684"/>
      <c r="SCG6" s="684"/>
      <c r="SCH6" s="684"/>
      <c r="SCI6" s="684"/>
      <c r="SCJ6" s="684"/>
      <c r="SCK6" s="684"/>
      <c r="SCL6" s="684"/>
      <c r="SCM6" s="684"/>
      <c r="SCN6" s="684"/>
      <c r="SCO6" s="684"/>
      <c r="SCP6" s="684"/>
      <c r="SCQ6" s="684"/>
      <c r="SCR6" s="684"/>
      <c r="SCS6" s="684"/>
      <c r="SCT6" s="684"/>
      <c r="SCU6" s="684"/>
      <c r="SCV6" s="684"/>
      <c r="SCW6" s="684"/>
      <c r="SCX6" s="684"/>
      <c r="SCY6" s="684"/>
      <c r="SCZ6" s="684"/>
      <c r="SDA6" s="684"/>
      <c r="SDB6" s="684"/>
      <c r="SDC6" s="684"/>
      <c r="SDD6" s="684"/>
      <c r="SDE6" s="684"/>
      <c r="SDF6" s="684"/>
      <c r="SDG6" s="684"/>
      <c r="SDH6" s="684"/>
      <c r="SDI6" s="684"/>
      <c r="SDJ6" s="684"/>
      <c r="SDK6" s="684"/>
      <c r="SDL6" s="684"/>
      <c r="SDM6" s="684"/>
      <c r="SDN6" s="684"/>
      <c r="SDO6" s="684"/>
      <c r="SDP6" s="684"/>
      <c r="SDQ6" s="684"/>
      <c r="SDR6" s="684"/>
      <c r="SDS6" s="684"/>
      <c r="SDT6" s="684"/>
      <c r="SDU6" s="684"/>
      <c r="SDV6" s="684"/>
      <c r="SDW6" s="684"/>
      <c r="SDX6" s="684"/>
      <c r="SDY6" s="684"/>
      <c r="SDZ6" s="684"/>
      <c r="SEA6" s="684"/>
      <c r="SEB6" s="684"/>
      <c r="SEC6" s="684"/>
      <c r="SED6" s="684"/>
      <c r="SEE6" s="684"/>
      <c r="SEF6" s="684"/>
      <c r="SEG6" s="684"/>
      <c r="SEH6" s="684"/>
      <c r="SEI6" s="684"/>
      <c r="SEJ6" s="684"/>
      <c r="SEK6" s="684"/>
      <c r="SEL6" s="684"/>
      <c r="SEM6" s="684"/>
      <c r="SEN6" s="684"/>
      <c r="SEO6" s="684"/>
      <c r="SEP6" s="684"/>
      <c r="SEQ6" s="684"/>
      <c r="SER6" s="684"/>
      <c r="SES6" s="684"/>
      <c r="SET6" s="684"/>
      <c r="SEU6" s="684"/>
      <c r="SEV6" s="684"/>
      <c r="SEW6" s="684"/>
      <c r="SEX6" s="684"/>
      <c r="SEY6" s="684"/>
      <c r="SEZ6" s="684"/>
      <c r="SFA6" s="684"/>
      <c r="SFB6" s="684"/>
      <c r="SFC6" s="684"/>
      <c r="SFD6" s="684"/>
      <c r="SFE6" s="684"/>
      <c r="SFF6" s="684"/>
      <c r="SFG6" s="684"/>
      <c r="SFH6" s="684"/>
      <c r="SFI6" s="684"/>
      <c r="SFJ6" s="684"/>
      <c r="SFK6" s="684"/>
      <c r="SFL6" s="684"/>
      <c r="SFM6" s="684"/>
      <c r="SFN6" s="684"/>
      <c r="SFO6" s="684"/>
      <c r="SFP6" s="684"/>
      <c r="SFQ6" s="684"/>
      <c r="SFR6" s="684"/>
      <c r="SFS6" s="684"/>
      <c r="SFT6" s="684"/>
      <c r="SFU6" s="684"/>
      <c r="SFV6" s="684"/>
      <c r="SFW6" s="684"/>
      <c r="SFX6" s="684"/>
      <c r="SFY6" s="684"/>
      <c r="SFZ6" s="684"/>
      <c r="SGA6" s="684"/>
      <c r="SGB6" s="684"/>
      <c r="SGC6" s="684"/>
      <c r="SGD6" s="684"/>
      <c r="SGE6" s="684"/>
      <c r="SGF6" s="684"/>
      <c r="SGG6" s="684"/>
      <c r="SGH6" s="684"/>
      <c r="SGI6" s="684"/>
      <c r="SGJ6" s="684"/>
      <c r="SGK6" s="684"/>
      <c r="SGL6" s="684"/>
      <c r="SGM6" s="684"/>
      <c r="SGN6" s="684"/>
      <c r="SGO6" s="684"/>
      <c r="SGP6" s="684"/>
      <c r="SGQ6" s="684"/>
      <c r="SGR6" s="684"/>
      <c r="SGS6" s="684"/>
      <c r="SGT6" s="684"/>
      <c r="SGU6" s="684"/>
      <c r="SGV6" s="684"/>
      <c r="SGW6" s="684"/>
      <c r="SGX6" s="684"/>
      <c r="SGY6" s="684"/>
      <c r="SGZ6" s="684"/>
      <c r="SHA6" s="684"/>
      <c r="SHB6" s="684"/>
      <c r="SHC6" s="684"/>
      <c r="SHD6" s="684"/>
      <c r="SHE6" s="684"/>
      <c r="SHF6" s="684"/>
      <c r="SHG6" s="684"/>
      <c r="SHH6" s="684"/>
      <c r="SHI6" s="684"/>
      <c r="SHJ6" s="684"/>
      <c r="SHK6" s="684"/>
      <c r="SHL6" s="684"/>
      <c r="SHM6" s="684"/>
      <c r="SHN6" s="684"/>
      <c r="SHO6" s="684"/>
      <c r="SHP6" s="684"/>
      <c r="SHQ6" s="684"/>
      <c r="SHR6" s="684"/>
      <c r="SHS6" s="684"/>
      <c r="SHT6" s="684"/>
      <c r="SHU6" s="684"/>
      <c r="SHV6" s="684"/>
      <c r="SHW6" s="684"/>
      <c r="SHX6" s="684"/>
      <c r="SHY6" s="684"/>
      <c r="SHZ6" s="684"/>
      <c r="SIA6" s="684"/>
      <c r="SIB6" s="684"/>
      <c r="SIC6" s="684"/>
      <c r="SID6" s="684"/>
      <c r="SIE6" s="684"/>
      <c r="SIF6" s="684"/>
      <c r="SIG6" s="684"/>
      <c r="SIH6" s="684"/>
      <c r="SII6" s="684"/>
      <c r="SIJ6" s="684"/>
      <c r="SIK6" s="684"/>
      <c r="SIL6" s="684"/>
      <c r="SIM6" s="684"/>
      <c r="SIN6" s="684"/>
      <c r="SIO6" s="684"/>
      <c r="SIP6" s="684"/>
      <c r="SIQ6" s="684"/>
      <c r="SIR6" s="684"/>
      <c r="SIS6" s="684"/>
      <c r="SIT6" s="684"/>
      <c r="SIU6" s="684"/>
      <c r="SIV6" s="684"/>
      <c r="SIW6" s="684"/>
      <c r="SIX6" s="684"/>
      <c r="SIY6" s="684"/>
      <c r="SIZ6" s="684"/>
      <c r="SJA6" s="684"/>
      <c r="SJB6" s="684"/>
      <c r="SJC6" s="684"/>
      <c r="SJD6" s="684"/>
      <c r="SJE6" s="684"/>
      <c r="SJF6" s="684"/>
      <c r="SJG6" s="684"/>
      <c r="SJH6" s="684"/>
      <c r="SJI6" s="684"/>
      <c r="SJJ6" s="684"/>
      <c r="SJK6" s="684"/>
      <c r="SJL6" s="684"/>
      <c r="SJM6" s="684"/>
      <c r="SJN6" s="684"/>
      <c r="SJO6" s="684"/>
      <c r="SJP6" s="684"/>
      <c r="SJQ6" s="684"/>
      <c r="SJR6" s="684"/>
      <c r="SJS6" s="684"/>
      <c r="SJT6" s="684"/>
      <c r="SJU6" s="684"/>
      <c r="SJV6" s="684"/>
      <c r="SJW6" s="684"/>
      <c r="SJX6" s="684"/>
      <c r="SJY6" s="684"/>
      <c r="SJZ6" s="684"/>
      <c r="SKA6" s="684"/>
      <c r="SKB6" s="684"/>
      <c r="SKC6" s="684"/>
      <c r="SKD6" s="684"/>
      <c r="SKE6" s="684"/>
      <c r="SKF6" s="684"/>
      <c r="SKG6" s="684"/>
      <c r="SKH6" s="684"/>
      <c r="SKI6" s="684"/>
      <c r="SKJ6" s="684"/>
      <c r="SKK6" s="684"/>
      <c r="SKL6" s="684"/>
      <c r="SKM6" s="684"/>
      <c r="SKN6" s="684"/>
      <c r="SKO6" s="684"/>
      <c r="SKP6" s="684"/>
      <c r="SKQ6" s="684"/>
      <c r="SKR6" s="684"/>
      <c r="SKS6" s="684"/>
      <c r="SKT6" s="684"/>
      <c r="SKU6" s="684"/>
      <c r="SKV6" s="684"/>
      <c r="SKW6" s="684"/>
      <c r="SKX6" s="684"/>
      <c r="SKY6" s="684"/>
      <c r="SKZ6" s="684"/>
      <c r="SLA6" s="684"/>
      <c r="SLB6" s="684"/>
      <c r="SLC6" s="684"/>
      <c r="SLD6" s="684"/>
      <c r="SLE6" s="684"/>
      <c r="SLF6" s="684"/>
      <c r="SLG6" s="684"/>
      <c r="SLH6" s="684"/>
      <c r="SLI6" s="684"/>
      <c r="SLJ6" s="684"/>
      <c r="SLK6" s="684"/>
      <c r="SLL6" s="684"/>
      <c r="SLM6" s="684"/>
      <c r="SLN6" s="684"/>
      <c r="SLO6" s="684"/>
      <c r="SLP6" s="684"/>
      <c r="SLQ6" s="684"/>
      <c r="SLR6" s="684"/>
      <c r="SLS6" s="684"/>
      <c r="SLT6" s="684"/>
      <c r="SLU6" s="684"/>
      <c r="SLV6" s="684"/>
      <c r="SLW6" s="684"/>
      <c r="SLX6" s="684"/>
      <c r="SLY6" s="684"/>
      <c r="SLZ6" s="684"/>
      <c r="SMA6" s="684"/>
      <c r="SMB6" s="684"/>
      <c r="SMC6" s="684"/>
      <c r="SMD6" s="684"/>
      <c r="SME6" s="684"/>
      <c r="SMF6" s="684"/>
      <c r="SMG6" s="684"/>
      <c r="SMH6" s="684"/>
      <c r="SMI6" s="684"/>
      <c r="SMJ6" s="684"/>
      <c r="SMK6" s="684"/>
      <c r="SML6" s="684"/>
      <c r="SMM6" s="684"/>
      <c r="SMN6" s="684"/>
      <c r="SMO6" s="684"/>
      <c r="SMP6" s="684"/>
      <c r="SMQ6" s="684"/>
      <c r="SMR6" s="684"/>
      <c r="SMS6" s="684"/>
      <c r="SMT6" s="684"/>
      <c r="SMU6" s="684"/>
      <c r="SMV6" s="684"/>
      <c r="SMW6" s="684"/>
      <c r="SMX6" s="684"/>
      <c r="SMY6" s="684"/>
      <c r="SMZ6" s="684"/>
      <c r="SNA6" s="684"/>
      <c r="SNB6" s="684"/>
      <c r="SNC6" s="684"/>
      <c r="SND6" s="684"/>
      <c r="SNE6" s="684"/>
      <c r="SNF6" s="684"/>
      <c r="SNG6" s="684"/>
      <c r="SNH6" s="684"/>
      <c r="SNI6" s="684"/>
      <c r="SNJ6" s="684"/>
      <c r="SNK6" s="684"/>
      <c r="SNL6" s="684"/>
      <c r="SNM6" s="684"/>
      <c r="SNN6" s="684"/>
      <c r="SNO6" s="684"/>
      <c r="SNP6" s="684"/>
      <c r="SNQ6" s="684"/>
      <c r="SNR6" s="684"/>
      <c r="SNS6" s="684"/>
      <c r="SNT6" s="684"/>
      <c r="SNU6" s="684"/>
      <c r="SNV6" s="684"/>
      <c r="SNW6" s="684"/>
      <c r="SNX6" s="684"/>
      <c r="SNY6" s="684"/>
      <c r="SNZ6" s="684"/>
      <c r="SOA6" s="684"/>
      <c r="SOB6" s="684"/>
      <c r="SOC6" s="684"/>
      <c r="SOD6" s="684"/>
      <c r="SOE6" s="684"/>
      <c r="SOF6" s="684"/>
      <c r="SOG6" s="684"/>
      <c r="SOH6" s="684"/>
      <c r="SOI6" s="684"/>
      <c r="SOJ6" s="684"/>
      <c r="SOK6" s="684"/>
      <c r="SOL6" s="684"/>
      <c r="SOM6" s="684"/>
      <c r="SON6" s="684"/>
      <c r="SOO6" s="684"/>
      <c r="SOP6" s="684"/>
      <c r="SOQ6" s="684"/>
      <c r="SOR6" s="684"/>
      <c r="SOS6" s="684"/>
      <c r="SOT6" s="684"/>
      <c r="SOU6" s="684"/>
      <c r="SOV6" s="684"/>
      <c r="SOW6" s="684"/>
      <c r="SOX6" s="684"/>
      <c r="SOY6" s="684"/>
      <c r="SOZ6" s="684"/>
      <c r="SPA6" s="684"/>
      <c r="SPB6" s="684"/>
      <c r="SPC6" s="684"/>
      <c r="SPD6" s="684"/>
      <c r="SPE6" s="684"/>
      <c r="SPF6" s="684"/>
      <c r="SPG6" s="684"/>
      <c r="SPH6" s="684"/>
      <c r="SPI6" s="684"/>
      <c r="SPJ6" s="684"/>
      <c r="SPK6" s="684"/>
      <c r="SPL6" s="684"/>
      <c r="SPM6" s="684"/>
      <c r="SPN6" s="684"/>
      <c r="SPO6" s="684"/>
      <c r="SPP6" s="684"/>
      <c r="SPQ6" s="684"/>
      <c r="SPR6" s="684"/>
      <c r="SPS6" s="684"/>
      <c r="SPT6" s="684"/>
      <c r="SPU6" s="684"/>
      <c r="SPV6" s="684"/>
      <c r="SPW6" s="684"/>
      <c r="SPX6" s="684"/>
      <c r="SPY6" s="684"/>
      <c r="SPZ6" s="684"/>
      <c r="SQA6" s="684"/>
      <c r="SQB6" s="684"/>
      <c r="SQC6" s="684"/>
      <c r="SQD6" s="684"/>
      <c r="SQE6" s="684"/>
      <c r="SQF6" s="684"/>
      <c r="SQG6" s="684"/>
      <c r="SQH6" s="684"/>
      <c r="SQI6" s="684"/>
      <c r="SQJ6" s="684"/>
      <c r="SQK6" s="684"/>
      <c r="SQL6" s="684"/>
      <c r="SQM6" s="684"/>
      <c r="SQN6" s="684"/>
      <c r="SQO6" s="684"/>
      <c r="SQP6" s="684"/>
      <c r="SQQ6" s="684"/>
      <c r="SQR6" s="684"/>
      <c r="SQS6" s="684"/>
      <c r="SQT6" s="684"/>
      <c r="SQU6" s="684"/>
      <c r="SQV6" s="684"/>
      <c r="SQW6" s="684"/>
      <c r="SQX6" s="684"/>
      <c r="SQY6" s="684"/>
      <c r="SQZ6" s="684"/>
      <c r="SRA6" s="684"/>
      <c r="SRB6" s="684"/>
      <c r="SRC6" s="684"/>
      <c r="SRD6" s="684"/>
      <c r="SRE6" s="684"/>
      <c r="SRF6" s="684"/>
      <c r="SRG6" s="684"/>
      <c r="SRH6" s="684"/>
      <c r="SRI6" s="684"/>
      <c r="SRJ6" s="684"/>
      <c r="SRK6" s="684"/>
      <c r="SRL6" s="684"/>
      <c r="SRM6" s="684"/>
      <c r="SRN6" s="684"/>
      <c r="SRO6" s="684"/>
      <c r="SRP6" s="684"/>
      <c r="SRQ6" s="684"/>
      <c r="SRR6" s="684"/>
      <c r="SRS6" s="684"/>
      <c r="SRT6" s="684"/>
      <c r="SRU6" s="684"/>
      <c r="SRV6" s="684"/>
      <c r="SRW6" s="684"/>
      <c r="SRX6" s="684"/>
      <c r="SRY6" s="684"/>
      <c r="SRZ6" s="684"/>
      <c r="SSA6" s="684"/>
      <c r="SSB6" s="684"/>
      <c r="SSC6" s="684"/>
      <c r="SSD6" s="684"/>
      <c r="SSE6" s="684"/>
      <c r="SSF6" s="684"/>
      <c r="SSG6" s="684"/>
      <c r="SSH6" s="684"/>
      <c r="SSI6" s="684"/>
      <c r="SSJ6" s="684"/>
      <c r="SSK6" s="684"/>
      <c r="SSL6" s="684"/>
      <c r="SSM6" s="684"/>
      <c r="SSN6" s="684"/>
      <c r="SSO6" s="684"/>
      <c r="SSP6" s="684"/>
      <c r="SSQ6" s="684"/>
      <c r="SSR6" s="684"/>
      <c r="SSS6" s="684"/>
      <c r="SST6" s="684"/>
      <c r="SSU6" s="684"/>
      <c r="SSV6" s="684"/>
      <c r="SSW6" s="684"/>
      <c r="SSX6" s="684"/>
      <c r="SSY6" s="684"/>
      <c r="SSZ6" s="684"/>
      <c r="STA6" s="684"/>
      <c r="STB6" s="684"/>
      <c r="STC6" s="684"/>
      <c r="STD6" s="684"/>
      <c r="STE6" s="684"/>
      <c r="STF6" s="684"/>
      <c r="STG6" s="684"/>
      <c r="STH6" s="684"/>
      <c r="STI6" s="684"/>
      <c r="STJ6" s="684"/>
      <c r="STK6" s="684"/>
      <c r="STL6" s="684"/>
      <c r="STM6" s="684"/>
      <c r="STN6" s="684"/>
      <c r="STO6" s="684"/>
      <c r="STP6" s="684"/>
      <c r="STQ6" s="684"/>
      <c r="STR6" s="684"/>
      <c r="STS6" s="684"/>
      <c r="STT6" s="684"/>
      <c r="STU6" s="684"/>
      <c r="STV6" s="684"/>
      <c r="STW6" s="684"/>
      <c r="STX6" s="684"/>
      <c r="STY6" s="684"/>
      <c r="STZ6" s="684"/>
      <c r="SUA6" s="684"/>
      <c r="SUB6" s="684"/>
      <c r="SUC6" s="684"/>
      <c r="SUD6" s="684"/>
      <c r="SUE6" s="684"/>
      <c r="SUF6" s="684"/>
      <c r="SUG6" s="684"/>
      <c r="SUH6" s="684"/>
      <c r="SUI6" s="684"/>
      <c r="SUJ6" s="684"/>
      <c r="SUK6" s="684"/>
      <c r="SUL6" s="684"/>
      <c r="SUM6" s="684"/>
      <c r="SUN6" s="684"/>
      <c r="SUO6" s="684"/>
      <c r="SUP6" s="684"/>
      <c r="SUQ6" s="684"/>
      <c r="SUR6" s="684"/>
      <c r="SUS6" s="684"/>
      <c r="SUT6" s="684"/>
      <c r="SUU6" s="684"/>
      <c r="SUV6" s="684"/>
      <c r="SUW6" s="684"/>
      <c r="SUX6" s="684"/>
      <c r="SUY6" s="684"/>
      <c r="SUZ6" s="684"/>
      <c r="SVA6" s="684"/>
      <c r="SVB6" s="684"/>
      <c r="SVC6" s="684"/>
      <c r="SVD6" s="684"/>
      <c r="SVE6" s="684"/>
      <c r="SVF6" s="684"/>
      <c r="SVG6" s="684"/>
      <c r="SVH6" s="684"/>
      <c r="SVI6" s="684"/>
      <c r="SVJ6" s="684"/>
      <c r="SVK6" s="684"/>
      <c r="SVL6" s="684"/>
      <c r="SVM6" s="684"/>
      <c r="SVN6" s="684"/>
      <c r="SVO6" s="684"/>
      <c r="SVP6" s="684"/>
      <c r="SVQ6" s="684"/>
      <c r="SVR6" s="684"/>
      <c r="SVS6" s="684"/>
      <c r="SVT6" s="684"/>
      <c r="SVU6" s="684"/>
      <c r="SVV6" s="684"/>
      <c r="SVW6" s="684"/>
      <c r="SVX6" s="684"/>
      <c r="SVY6" s="684"/>
      <c r="SVZ6" s="684"/>
      <c r="SWA6" s="684"/>
      <c r="SWB6" s="684"/>
      <c r="SWC6" s="684"/>
      <c r="SWD6" s="684"/>
      <c r="SWE6" s="684"/>
      <c r="SWF6" s="684"/>
      <c r="SWG6" s="684"/>
      <c r="SWH6" s="684"/>
      <c r="SWI6" s="684"/>
      <c r="SWJ6" s="684"/>
      <c r="SWK6" s="684"/>
      <c r="SWL6" s="684"/>
      <c r="SWM6" s="684"/>
      <c r="SWN6" s="684"/>
      <c r="SWO6" s="684"/>
      <c r="SWP6" s="684"/>
      <c r="SWQ6" s="684"/>
      <c r="SWR6" s="684"/>
      <c r="SWS6" s="684"/>
      <c r="SWT6" s="684"/>
      <c r="SWU6" s="684"/>
      <c r="SWV6" s="684"/>
      <c r="SWW6" s="684"/>
      <c r="SWX6" s="684"/>
      <c r="SWY6" s="684"/>
      <c r="SWZ6" s="684"/>
      <c r="SXA6" s="684"/>
      <c r="SXB6" s="684"/>
      <c r="SXC6" s="684"/>
      <c r="SXD6" s="684"/>
      <c r="SXE6" s="684"/>
      <c r="SXF6" s="684"/>
      <c r="SXG6" s="684"/>
      <c r="SXH6" s="684"/>
      <c r="SXI6" s="684"/>
      <c r="SXJ6" s="684"/>
      <c r="SXK6" s="684"/>
      <c r="SXL6" s="684"/>
      <c r="SXM6" s="684"/>
      <c r="SXN6" s="684"/>
      <c r="SXO6" s="684"/>
      <c r="SXP6" s="684"/>
      <c r="SXQ6" s="684"/>
      <c r="SXR6" s="684"/>
      <c r="SXS6" s="684"/>
      <c r="SXT6" s="684"/>
      <c r="SXU6" s="684"/>
      <c r="SXV6" s="684"/>
      <c r="SXW6" s="684"/>
      <c r="SXX6" s="684"/>
      <c r="SXY6" s="684"/>
      <c r="SXZ6" s="684"/>
      <c r="SYA6" s="684"/>
      <c r="SYB6" s="684"/>
      <c r="SYC6" s="684"/>
      <c r="SYD6" s="684"/>
      <c r="SYE6" s="684"/>
      <c r="SYF6" s="684"/>
      <c r="SYG6" s="684"/>
      <c r="SYH6" s="684"/>
      <c r="SYI6" s="684"/>
      <c r="SYJ6" s="684"/>
      <c r="SYK6" s="684"/>
      <c r="SYL6" s="684"/>
      <c r="SYM6" s="684"/>
      <c r="SYN6" s="684"/>
      <c r="SYO6" s="684"/>
      <c r="SYP6" s="684"/>
      <c r="SYQ6" s="684"/>
      <c r="SYR6" s="684"/>
      <c r="SYS6" s="684"/>
      <c r="SYT6" s="684"/>
      <c r="SYU6" s="684"/>
      <c r="SYV6" s="684"/>
      <c r="SYW6" s="684"/>
      <c r="SYX6" s="684"/>
      <c r="SYY6" s="684"/>
      <c r="SYZ6" s="684"/>
      <c r="SZA6" s="684"/>
      <c r="SZB6" s="684"/>
      <c r="SZC6" s="684"/>
      <c r="SZD6" s="684"/>
      <c r="SZE6" s="684"/>
      <c r="SZF6" s="684"/>
      <c r="SZG6" s="684"/>
      <c r="SZH6" s="684"/>
      <c r="SZI6" s="684"/>
      <c r="SZJ6" s="684"/>
      <c r="SZK6" s="684"/>
      <c r="SZL6" s="684"/>
      <c r="SZM6" s="684"/>
      <c r="SZN6" s="684"/>
      <c r="SZO6" s="684"/>
      <c r="SZP6" s="684"/>
      <c r="SZQ6" s="684"/>
      <c r="SZR6" s="684"/>
      <c r="SZS6" s="684"/>
      <c r="SZT6" s="684"/>
      <c r="SZU6" s="684"/>
      <c r="SZV6" s="684"/>
      <c r="SZW6" s="684"/>
      <c r="SZX6" s="684"/>
      <c r="SZY6" s="684"/>
      <c r="SZZ6" s="684"/>
      <c r="TAA6" s="684"/>
      <c r="TAB6" s="684"/>
      <c r="TAC6" s="684"/>
      <c r="TAD6" s="684"/>
      <c r="TAE6" s="684"/>
      <c r="TAF6" s="684"/>
      <c r="TAG6" s="684"/>
      <c r="TAH6" s="684"/>
      <c r="TAI6" s="684"/>
      <c r="TAJ6" s="684"/>
      <c r="TAK6" s="684"/>
      <c r="TAL6" s="684"/>
      <c r="TAM6" s="684"/>
      <c r="TAN6" s="684"/>
      <c r="TAO6" s="684"/>
      <c r="TAP6" s="684"/>
      <c r="TAQ6" s="684"/>
      <c r="TAR6" s="684"/>
      <c r="TAS6" s="684"/>
      <c r="TAT6" s="684"/>
      <c r="TAU6" s="684"/>
      <c r="TAV6" s="684"/>
      <c r="TAW6" s="684"/>
      <c r="TAX6" s="684"/>
      <c r="TAY6" s="684"/>
      <c r="TAZ6" s="684"/>
      <c r="TBA6" s="684"/>
      <c r="TBB6" s="684"/>
      <c r="TBC6" s="684"/>
      <c r="TBD6" s="684"/>
      <c r="TBE6" s="684"/>
      <c r="TBF6" s="684"/>
      <c r="TBG6" s="684"/>
      <c r="TBH6" s="684"/>
      <c r="TBI6" s="684"/>
      <c r="TBJ6" s="684"/>
      <c r="TBK6" s="684"/>
      <c r="TBL6" s="684"/>
      <c r="TBM6" s="684"/>
      <c r="TBN6" s="684"/>
      <c r="TBO6" s="684"/>
      <c r="TBP6" s="684"/>
      <c r="TBQ6" s="684"/>
      <c r="TBR6" s="684"/>
      <c r="TBS6" s="684"/>
      <c r="TBT6" s="684"/>
      <c r="TBU6" s="684"/>
      <c r="TBV6" s="684"/>
      <c r="TBW6" s="684"/>
      <c r="TBX6" s="684"/>
      <c r="TBY6" s="684"/>
      <c r="TBZ6" s="684"/>
      <c r="TCA6" s="684"/>
      <c r="TCB6" s="684"/>
      <c r="TCC6" s="684"/>
      <c r="TCD6" s="684"/>
      <c r="TCE6" s="684"/>
      <c r="TCF6" s="684"/>
      <c r="TCG6" s="684"/>
      <c r="TCH6" s="684"/>
      <c r="TCI6" s="684"/>
      <c r="TCJ6" s="684"/>
      <c r="TCK6" s="684"/>
      <c r="TCL6" s="684"/>
      <c r="TCM6" s="684"/>
      <c r="TCN6" s="684"/>
      <c r="TCO6" s="684"/>
      <c r="TCP6" s="684"/>
      <c r="TCQ6" s="684"/>
      <c r="TCR6" s="684"/>
      <c r="TCS6" s="684"/>
      <c r="TCT6" s="684"/>
      <c r="TCU6" s="684"/>
      <c r="TCV6" s="684"/>
      <c r="TCW6" s="684"/>
      <c r="TCX6" s="684"/>
      <c r="TCY6" s="684"/>
      <c r="TCZ6" s="684"/>
      <c r="TDA6" s="684"/>
      <c r="TDB6" s="684"/>
      <c r="TDC6" s="684"/>
      <c r="TDD6" s="684"/>
      <c r="TDE6" s="684"/>
      <c r="TDF6" s="684"/>
      <c r="TDG6" s="684"/>
      <c r="TDH6" s="684"/>
      <c r="TDI6" s="684"/>
      <c r="TDJ6" s="684"/>
      <c r="TDK6" s="684"/>
      <c r="TDL6" s="684"/>
      <c r="TDM6" s="684"/>
      <c r="TDN6" s="684"/>
      <c r="TDO6" s="684"/>
      <c r="TDP6" s="684"/>
      <c r="TDQ6" s="684"/>
      <c r="TDR6" s="684"/>
      <c r="TDS6" s="684"/>
      <c r="TDT6" s="684"/>
      <c r="TDU6" s="684"/>
      <c r="TDV6" s="684"/>
      <c r="TDW6" s="684"/>
      <c r="TDX6" s="684"/>
      <c r="TDY6" s="684"/>
      <c r="TDZ6" s="684"/>
      <c r="TEA6" s="684"/>
      <c r="TEB6" s="684"/>
      <c r="TEC6" s="684"/>
      <c r="TED6" s="684"/>
      <c r="TEE6" s="684"/>
      <c r="TEF6" s="684"/>
      <c r="TEG6" s="684"/>
      <c r="TEH6" s="684"/>
      <c r="TEI6" s="684"/>
      <c r="TEJ6" s="684"/>
      <c r="TEK6" s="684"/>
      <c r="TEL6" s="684"/>
      <c r="TEM6" s="684"/>
      <c r="TEN6" s="684"/>
      <c r="TEO6" s="684"/>
      <c r="TEP6" s="684"/>
      <c r="TEQ6" s="684"/>
      <c r="TER6" s="684"/>
      <c r="TES6" s="684"/>
      <c r="TET6" s="684"/>
      <c r="TEU6" s="684"/>
      <c r="TEV6" s="684"/>
      <c r="TEW6" s="684"/>
      <c r="TEX6" s="684"/>
      <c r="TEY6" s="684"/>
      <c r="TEZ6" s="684"/>
      <c r="TFA6" s="684"/>
      <c r="TFB6" s="684"/>
      <c r="TFC6" s="684"/>
      <c r="TFD6" s="684"/>
      <c r="TFE6" s="684"/>
      <c r="TFF6" s="684"/>
      <c r="TFG6" s="684"/>
      <c r="TFH6" s="684"/>
      <c r="TFI6" s="684"/>
      <c r="TFJ6" s="684"/>
      <c r="TFK6" s="684"/>
      <c r="TFL6" s="684"/>
      <c r="TFM6" s="684"/>
      <c r="TFN6" s="684"/>
      <c r="TFO6" s="684"/>
      <c r="TFP6" s="684"/>
      <c r="TFQ6" s="684"/>
      <c r="TFR6" s="684"/>
      <c r="TFS6" s="684"/>
      <c r="TFT6" s="684"/>
      <c r="TFU6" s="684"/>
      <c r="TFV6" s="684"/>
      <c r="TFW6" s="684"/>
      <c r="TFX6" s="684"/>
      <c r="TFY6" s="684"/>
      <c r="TFZ6" s="684"/>
      <c r="TGA6" s="684"/>
      <c r="TGB6" s="684"/>
      <c r="TGC6" s="684"/>
      <c r="TGD6" s="684"/>
      <c r="TGE6" s="684"/>
      <c r="TGF6" s="684"/>
      <c r="TGG6" s="684"/>
      <c r="TGH6" s="684"/>
      <c r="TGI6" s="684"/>
      <c r="TGJ6" s="684"/>
      <c r="TGK6" s="684"/>
      <c r="TGL6" s="684"/>
      <c r="TGM6" s="684"/>
      <c r="TGN6" s="684"/>
      <c r="TGO6" s="684"/>
      <c r="TGP6" s="684"/>
      <c r="TGQ6" s="684"/>
      <c r="TGR6" s="684"/>
      <c r="TGS6" s="684"/>
      <c r="TGT6" s="684"/>
      <c r="TGU6" s="684"/>
      <c r="TGV6" s="684"/>
      <c r="TGW6" s="684"/>
      <c r="TGX6" s="684"/>
      <c r="TGY6" s="684"/>
      <c r="TGZ6" s="684"/>
      <c r="THA6" s="684"/>
      <c r="THB6" s="684"/>
      <c r="THC6" s="684"/>
      <c r="THD6" s="684"/>
      <c r="THE6" s="684"/>
      <c r="THF6" s="684"/>
      <c r="THG6" s="684"/>
      <c r="THH6" s="684"/>
      <c r="THI6" s="684"/>
      <c r="THJ6" s="684"/>
      <c r="THK6" s="684"/>
      <c r="THL6" s="684"/>
      <c r="THM6" s="684"/>
      <c r="THN6" s="684"/>
      <c r="THO6" s="684"/>
      <c r="THP6" s="684"/>
      <c r="THQ6" s="684"/>
      <c r="THR6" s="684"/>
      <c r="THS6" s="684"/>
      <c r="THT6" s="684"/>
      <c r="THU6" s="684"/>
      <c r="THV6" s="684"/>
      <c r="THW6" s="684"/>
      <c r="THX6" s="684"/>
      <c r="THY6" s="684"/>
      <c r="THZ6" s="684"/>
      <c r="TIA6" s="684"/>
      <c r="TIB6" s="684"/>
      <c r="TIC6" s="684"/>
      <c r="TID6" s="684"/>
      <c r="TIE6" s="684"/>
      <c r="TIF6" s="684"/>
      <c r="TIG6" s="684"/>
      <c r="TIH6" s="684"/>
      <c r="TII6" s="684"/>
      <c r="TIJ6" s="684"/>
      <c r="TIK6" s="684"/>
      <c r="TIL6" s="684"/>
      <c r="TIM6" s="684"/>
      <c r="TIN6" s="684"/>
      <c r="TIO6" s="684"/>
      <c r="TIP6" s="684"/>
      <c r="TIQ6" s="684"/>
      <c r="TIR6" s="684"/>
      <c r="TIS6" s="684"/>
      <c r="TIT6" s="684"/>
      <c r="TIU6" s="684"/>
      <c r="TIV6" s="684"/>
      <c r="TIW6" s="684"/>
      <c r="TIX6" s="684"/>
      <c r="TIY6" s="684"/>
      <c r="TIZ6" s="684"/>
      <c r="TJA6" s="684"/>
      <c r="TJB6" s="684"/>
      <c r="TJC6" s="684"/>
      <c r="TJD6" s="684"/>
      <c r="TJE6" s="684"/>
      <c r="TJF6" s="684"/>
      <c r="TJG6" s="684"/>
      <c r="TJH6" s="684"/>
      <c r="TJI6" s="684"/>
      <c r="TJJ6" s="684"/>
      <c r="TJK6" s="684"/>
      <c r="TJL6" s="684"/>
      <c r="TJM6" s="684"/>
      <c r="TJN6" s="684"/>
      <c r="TJO6" s="684"/>
      <c r="TJP6" s="684"/>
      <c r="TJQ6" s="684"/>
      <c r="TJR6" s="684"/>
      <c r="TJS6" s="684"/>
      <c r="TJT6" s="684"/>
      <c r="TJU6" s="684"/>
      <c r="TJV6" s="684"/>
      <c r="TJW6" s="684"/>
      <c r="TJX6" s="684"/>
      <c r="TJY6" s="684"/>
      <c r="TJZ6" s="684"/>
      <c r="TKA6" s="684"/>
      <c r="TKB6" s="684"/>
      <c r="TKC6" s="684"/>
      <c r="TKD6" s="684"/>
      <c r="TKE6" s="684"/>
      <c r="TKF6" s="684"/>
      <c r="TKG6" s="684"/>
      <c r="TKH6" s="684"/>
      <c r="TKI6" s="684"/>
      <c r="TKJ6" s="684"/>
      <c r="TKK6" s="684"/>
      <c r="TKL6" s="684"/>
      <c r="TKM6" s="684"/>
      <c r="TKN6" s="684"/>
      <c r="TKO6" s="684"/>
      <c r="TKP6" s="684"/>
      <c r="TKQ6" s="684"/>
      <c r="TKR6" s="684"/>
      <c r="TKS6" s="684"/>
      <c r="TKT6" s="684"/>
      <c r="TKU6" s="684"/>
      <c r="TKV6" s="684"/>
      <c r="TKW6" s="684"/>
      <c r="TKX6" s="684"/>
      <c r="TKY6" s="684"/>
      <c r="TKZ6" s="684"/>
      <c r="TLA6" s="684"/>
      <c r="TLB6" s="684"/>
      <c r="TLC6" s="684"/>
      <c r="TLD6" s="684"/>
      <c r="TLE6" s="684"/>
      <c r="TLF6" s="684"/>
      <c r="TLG6" s="684"/>
      <c r="TLH6" s="684"/>
      <c r="TLI6" s="684"/>
      <c r="TLJ6" s="684"/>
      <c r="TLK6" s="684"/>
      <c r="TLL6" s="684"/>
      <c r="TLM6" s="684"/>
      <c r="TLN6" s="684"/>
      <c r="TLO6" s="684"/>
      <c r="TLP6" s="684"/>
      <c r="TLQ6" s="684"/>
      <c r="TLR6" s="684"/>
      <c r="TLS6" s="684"/>
      <c r="TLT6" s="684"/>
      <c r="TLU6" s="684"/>
      <c r="TLV6" s="684"/>
      <c r="TLW6" s="684"/>
      <c r="TLX6" s="684"/>
      <c r="TLY6" s="684"/>
      <c r="TLZ6" s="684"/>
      <c r="TMA6" s="684"/>
      <c r="TMB6" s="684"/>
      <c r="TMC6" s="684"/>
      <c r="TMD6" s="684"/>
      <c r="TME6" s="684"/>
      <c r="TMF6" s="684"/>
      <c r="TMG6" s="684"/>
      <c r="TMH6" s="684"/>
      <c r="TMI6" s="684"/>
      <c r="TMJ6" s="684"/>
      <c r="TMK6" s="684"/>
      <c r="TML6" s="684"/>
      <c r="TMM6" s="684"/>
      <c r="TMN6" s="684"/>
      <c r="TMO6" s="684"/>
      <c r="TMP6" s="684"/>
      <c r="TMQ6" s="684"/>
      <c r="TMR6" s="684"/>
      <c r="TMS6" s="684"/>
      <c r="TMT6" s="684"/>
      <c r="TMU6" s="684"/>
      <c r="TMV6" s="684"/>
      <c r="TMW6" s="684"/>
      <c r="TMX6" s="684"/>
      <c r="TMY6" s="684"/>
      <c r="TMZ6" s="684"/>
      <c r="TNA6" s="684"/>
      <c r="TNB6" s="684"/>
      <c r="TNC6" s="684"/>
      <c r="TND6" s="684"/>
      <c r="TNE6" s="684"/>
      <c r="TNF6" s="684"/>
      <c r="TNG6" s="684"/>
      <c r="TNH6" s="684"/>
      <c r="TNI6" s="684"/>
      <c r="TNJ6" s="684"/>
      <c r="TNK6" s="684"/>
      <c r="TNL6" s="684"/>
      <c r="TNM6" s="684"/>
      <c r="TNN6" s="684"/>
      <c r="TNO6" s="684"/>
      <c r="TNP6" s="684"/>
      <c r="TNQ6" s="684"/>
      <c r="TNR6" s="684"/>
      <c r="TNS6" s="684"/>
      <c r="TNT6" s="684"/>
      <c r="TNU6" s="684"/>
      <c r="TNV6" s="684"/>
      <c r="TNW6" s="684"/>
      <c r="TNX6" s="684"/>
      <c r="TNY6" s="684"/>
      <c r="TNZ6" s="684"/>
      <c r="TOA6" s="684"/>
      <c r="TOB6" s="684"/>
      <c r="TOC6" s="684"/>
      <c r="TOD6" s="684"/>
      <c r="TOE6" s="684"/>
      <c r="TOF6" s="684"/>
      <c r="TOG6" s="684"/>
      <c r="TOH6" s="684"/>
      <c r="TOI6" s="684"/>
      <c r="TOJ6" s="684"/>
      <c r="TOK6" s="684"/>
      <c r="TOL6" s="684"/>
      <c r="TOM6" s="684"/>
      <c r="TON6" s="684"/>
      <c r="TOO6" s="684"/>
      <c r="TOP6" s="684"/>
      <c r="TOQ6" s="684"/>
      <c r="TOR6" s="684"/>
      <c r="TOS6" s="684"/>
      <c r="TOT6" s="684"/>
      <c r="TOU6" s="684"/>
      <c r="TOV6" s="684"/>
      <c r="TOW6" s="684"/>
      <c r="TOX6" s="684"/>
      <c r="TOY6" s="684"/>
      <c r="TOZ6" s="684"/>
      <c r="TPA6" s="684"/>
      <c r="TPB6" s="684"/>
      <c r="TPC6" s="684"/>
      <c r="TPD6" s="684"/>
      <c r="TPE6" s="684"/>
      <c r="TPF6" s="684"/>
      <c r="TPG6" s="684"/>
      <c r="TPH6" s="684"/>
      <c r="TPI6" s="684"/>
      <c r="TPJ6" s="684"/>
      <c r="TPK6" s="684"/>
      <c r="TPL6" s="684"/>
      <c r="TPM6" s="684"/>
      <c r="TPN6" s="684"/>
      <c r="TPO6" s="684"/>
      <c r="TPP6" s="684"/>
      <c r="TPQ6" s="684"/>
      <c r="TPR6" s="684"/>
      <c r="TPS6" s="684"/>
      <c r="TPT6" s="684"/>
      <c r="TPU6" s="684"/>
      <c r="TPV6" s="684"/>
      <c r="TPW6" s="684"/>
      <c r="TPX6" s="684"/>
      <c r="TPY6" s="684"/>
      <c r="TPZ6" s="684"/>
      <c r="TQA6" s="684"/>
      <c r="TQB6" s="684"/>
      <c r="TQC6" s="684"/>
      <c r="TQD6" s="684"/>
      <c r="TQE6" s="684"/>
      <c r="TQF6" s="684"/>
      <c r="TQG6" s="684"/>
      <c r="TQH6" s="684"/>
      <c r="TQI6" s="684"/>
      <c r="TQJ6" s="684"/>
      <c r="TQK6" s="684"/>
      <c r="TQL6" s="684"/>
      <c r="TQM6" s="684"/>
      <c r="TQN6" s="684"/>
      <c r="TQO6" s="684"/>
      <c r="TQP6" s="684"/>
      <c r="TQQ6" s="684"/>
      <c r="TQR6" s="684"/>
      <c r="TQS6" s="684"/>
      <c r="TQT6" s="684"/>
      <c r="TQU6" s="684"/>
      <c r="TQV6" s="684"/>
      <c r="TQW6" s="684"/>
      <c r="TQX6" s="684"/>
      <c r="TQY6" s="684"/>
      <c r="TQZ6" s="684"/>
      <c r="TRA6" s="684"/>
      <c r="TRB6" s="684"/>
      <c r="TRC6" s="684"/>
      <c r="TRD6" s="684"/>
      <c r="TRE6" s="684"/>
      <c r="TRF6" s="684"/>
      <c r="TRG6" s="684"/>
      <c r="TRH6" s="684"/>
      <c r="TRI6" s="684"/>
      <c r="TRJ6" s="684"/>
      <c r="TRK6" s="684"/>
      <c r="TRL6" s="684"/>
      <c r="TRM6" s="684"/>
      <c r="TRN6" s="684"/>
      <c r="TRO6" s="684"/>
      <c r="TRP6" s="684"/>
      <c r="TRQ6" s="684"/>
      <c r="TRR6" s="684"/>
      <c r="TRS6" s="684"/>
      <c r="TRT6" s="684"/>
      <c r="TRU6" s="684"/>
      <c r="TRV6" s="684"/>
      <c r="TRW6" s="684"/>
      <c r="TRX6" s="684"/>
      <c r="TRY6" s="684"/>
      <c r="TRZ6" s="684"/>
      <c r="TSA6" s="684"/>
      <c r="TSB6" s="684"/>
      <c r="TSC6" s="684"/>
      <c r="TSD6" s="684"/>
      <c r="TSE6" s="684"/>
      <c r="TSF6" s="684"/>
      <c r="TSG6" s="684"/>
      <c r="TSH6" s="684"/>
      <c r="TSI6" s="684"/>
      <c r="TSJ6" s="684"/>
      <c r="TSK6" s="684"/>
      <c r="TSL6" s="684"/>
      <c r="TSM6" s="684"/>
      <c r="TSN6" s="684"/>
      <c r="TSO6" s="684"/>
      <c r="TSP6" s="684"/>
      <c r="TSQ6" s="684"/>
      <c r="TSR6" s="684"/>
      <c r="TSS6" s="684"/>
      <c r="TST6" s="684"/>
      <c r="TSU6" s="684"/>
      <c r="TSV6" s="684"/>
      <c r="TSW6" s="684"/>
      <c r="TSX6" s="684"/>
      <c r="TSY6" s="684"/>
      <c r="TSZ6" s="684"/>
      <c r="TTA6" s="684"/>
      <c r="TTB6" s="684"/>
      <c r="TTC6" s="684"/>
      <c r="TTD6" s="684"/>
      <c r="TTE6" s="684"/>
      <c r="TTF6" s="684"/>
      <c r="TTG6" s="684"/>
      <c r="TTH6" s="684"/>
      <c r="TTI6" s="684"/>
      <c r="TTJ6" s="684"/>
      <c r="TTK6" s="684"/>
      <c r="TTL6" s="684"/>
      <c r="TTM6" s="684"/>
      <c r="TTN6" s="684"/>
      <c r="TTO6" s="684"/>
      <c r="TTP6" s="684"/>
      <c r="TTQ6" s="684"/>
      <c r="TTR6" s="684"/>
      <c r="TTS6" s="684"/>
      <c r="TTT6" s="684"/>
      <c r="TTU6" s="684"/>
      <c r="TTV6" s="684"/>
      <c r="TTW6" s="684"/>
      <c r="TTX6" s="684"/>
      <c r="TTY6" s="684"/>
      <c r="TTZ6" s="684"/>
      <c r="TUA6" s="684"/>
      <c r="TUB6" s="684"/>
      <c r="TUC6" s="684"/>
      <c r="TUD6" s="684"/>
      <c r="TUE6" s="684"/>
      <c r="TUF6" s="684"/>
      <c r="TUG6" s="684"/>
      <c r="TUH6" s="684"/>
      <c r="TUI6" s="684"/>
      <c r="TUJ6" s="684"/>
      <c r="TUK6" s="684"/>
      <c r="TUL6" s="684"/>
      <c r="TUM6" s="684"/>
      <c r="TUN6" s="684"/>
      <c r="TUO6" s="684"/>
      <c r="TUP6" s="684"/>
      <c r="TUQ6" s="684"/>
      <c r="TUR6" s="684"/>
      <c r="TUS6" s="684"/>
      <c r="TUT6" s="684"/>
      <c r="TUU6" s="684"/>
      <c r="TUV6" s="684"/>
      <c r="TUW6" s="684"/>
      <c r="TUX6" s="684"/>
      <c r="TUY6" s="684"/>
      <c r="TUZ6" s="684"/>
      <c r="TVA6" s="684"/>
      <c r="TVB6" s="684"/>
      <c r="TVC6" s="684"/>
      <c r="TVD6" s="684"/>
      <c r="TVE6" s="684"/>
      <c r="TVF6" s="684"/>
      <c r="TVG6" s="684"/>
      <c r="TVH6" s="684"/>
      <c r="TVI6" s="684"/>
      <c r="TVJ6" s="684"/>
      <c r="TVK6" s="684"/>
      <c r="TVL6" s="684"/>
      <c r="TVM6" s="684"/>
      <c r="TVN6" s="684"/>
      <c r="TVO6" s="684"/>
      <c r="TVP6" s="684"/>
      <c r="TVQ6" s="684"/>
      <c r="TVR6" s="684"/>
      <c r="TVS6" s="684"/>
      <c r="TVT6" s="684"/>
      <c r="TVU6" s="684"/>
      <c r="TVV6" s="684"/>
      <c r="TVW6" s="684"/>
      <c r="TVX6" s="684"/>
      <c r="TVY6" s="684"/>
      <c r="TVZ6" s="684"/>
      <c r="TWA6" s="684"/>
      <c r="TWB6" s="684"/>
      <c r="TWC6" s="684"/>
      <c r="TWD6" s="684"/>
      <c r="TWE6" s="684"/>
      <c r="TWF6" s="684"/>
      <c r="TWG6" s="684"/>
      <c r="TWH6" s="684"/>
      <c r="TWI6" s="684"/>
      <c r="TWJ6" s="684"/>
      <c r="TWK6" s="684"/>
      <c r="TWL6" s="684"/>
      <c r="TWM6" s="684"/>
      <c r="TWN6" s="684"/>
      <c r="TWO6" s="684"/>
      <c r="TWP6" s="684"/>
      <c r="TWQ6" s="684"/>
      <c r="TWR6" s="684"/>
      <c r="TWS6" s="684"/>
      <c r="TWT6" s="684"/>
      <c r="TWU6" s="684"/>
      <c r="TWV6" s="684"/>
      <c r="TWW6" s="684"/>
      <c r="TWX6" s="684"/>
      <c r="TWY6" s="684"/>
      <c r="TWZ6" s="684"/>
      <c r="TXA6" s="684"/>
      <c r="TXB6" s="684"/>
      <c r="TXC6" s="684"/>
      <c r="TXD6" s="684"/>
      <c r="TXE6" s="684"/>
      <c r="TXF6" s="684"/>
      <c r="TXG6" s="684"/>
      <c r="TXH6" s="684"/>
      <c r="TXI6" s="684"/>
      <c r="TXJ6" s="684"/>
      <c r="TXK6" s="684"/>
      <c r="TXL6" s="684"/>
      <c r="TXM6" s="684"/>
      <c r="TXN6" s="684"/>
      <c r="TXO6" s="684"/>
      <c r="TXP6" s="684"/>
      <c r="TXQ6" s="684"/>
      <c r="TXR6" s="684"/>
      <c r="TXS6" s="684"/>
      <c r="TXT6" s="684"/>
      <c r="TXU6" s="684"/>
      <c r="TXV6" s="684"/>
      <c r="TXW6" s="684"/>
      <c r="TXX6" s="684"/>
      <c r="TXY6" s="684"/>
      <c r="TXZ6" s="684"/>
      <c r="TYA6" s="684"/>
      <c r="TYB6" s="684"/>
      <c r="TYC6" s="684"/>
      <c r="TYD6" s="684"/>
      <c r="TYE6" s="684"/>
      <c r="TYF6" s="684"/>
      <c r="TYG6" s="684"/>
      <c r="TYH6" s="684"/>
      <c r="TYI6" s="684"/>
      <c r="TYJ6" s="684"/>
      <c r="TYK6" s="684"/>
      <c r="TYL6" s="684"/>
      <c r="TYM6" s="684"/>
      <c r="TYN6" s="684"/>
      <c r="TYO6" s="684"/>
      <c r="TYP6" s="684"/>
      <c r="TYQ6" s="684"/>
      <c r="TYR6" s="684"/>
      <c r="TYS6" s="684"/>
      <c r="TYT6" s="684"/>
      <c r="TYU6" s="684"/>
      <c r="TYV6" s="684"/>
      <c r="TYW6" s="684"/>
      <c r="TYX6" s="684"/>
      <c r="TYY6" s="684"/>
      <c r="TYZ6" s="684"/>
      <c r="TZA6" s="684"/>
      <c r="TZB6" s="684"/>
      <c r="TZC6" s="684"/>
      <c r="TZD6" s="684"/>
      <c r="TZE6" s="684"/>
      <c r="TZF6" s="684"/>
      <c r="TZG6" s="684"/>
      <c r="TZH6" s="684"/>
      <c r="TZI6" s="684"/>
      <c r="TZJ6" s="684"/>
      <c r="TZK6" s="684"/>
      <c r="TZL6" s="684"/>
      <c r="TZM6" s="684"/>
      <c r="TZN6" s="684"/>
      <c r="TZO6" s="684"/>
      <c r="TZP6" s="684"/>
      <c r="TZQ6" s="684"/>
      <c r="TZR6" s="684"/>
      <c r="TZS6" s="684"/>
      <c r="TZT6" s="684"/>
      <c r="TZU6" s="684"/>
      <c r="TZV6" s="684"/>
      <c r="TZW6" s="684"/>
      <c r="TZX6" s="684"/>
      <c r="TZY6" s="684"/>
      <c r="TZZ6" s="684"/>
      <c r="UAA6" s="684"/>
      <c r="UAB6" s="684"/>
      <c r="UAC6" s="684"/>
      <c r="UAD6" s="684"/>
      <c r="UAE6" s="684"/>
      <c r="UAF6" s="684"/>
      <c r="UAG6" s="684"/>
      <c r="UAH6" s="684"/>
      <c r="UAI6" s="684"/>
      <c r="UAJ6" s="684"/>
      <c r="UAK6" s="684"/>
      <c r="UAL6" s="684"/>
      <c r="UAM6" s="684"/>
      <c r="UAN6" s="684"/>
      <c r="UAO6" s="684"/>
      <c r="UAP6" s="684"/>
      <c r="UAQ6" s="684"/>
      <c r="UAR6" s="684"/>
      <c r="UAS6" s="684"/>
      <c r="UAT6" s="684"/>
      <c r="UAU6" s="684"/>
      <c r="UAV6" s="684"/>
      <c r="UAW6" s="684"/>
      <c r="UAX6" s="684"/>
      <c r="UAY6" s="684"/>
      <c r="UAZ6" s="684"/>
      <c r="UBA6" s="684"/>
      <c r="UBB6" s="684"/>
      <c r="UBC6" s="684"/>
      <c r="UBD6" s="684"/>
      <c r="UBE6" s="684"/>
      <c r="UBF6" s="684"/>
      <c r="UBG6" s="684"/>
      <c r="UBH6" s="684"/>
      <c r="UBI6" s="684"/>
      <c r="UBJ6" s="684"/>
      <c r="UBK6" s="684"/>
      <c r="UBL6" s="684"/>
      <c r="UBM6" s="684"/>
      <c r="UBN6" s="684"/>
      <c r="UBO6" s="684"/>
      <c r="UBP6" s="684"/>
      <c r="UBQ6" s="684"/>
      <c r="UBR6" s="684"/>
      <c r="UBS6" s="684"/>
      <c r="UBT6" s="684"/>
      <c r="UBU6" s="684"/>
      <c r="UBV6" s="684"/>
      <c r="UBW6" s="684"/>
      <c r="UBX6" s="684"/>
      <c r="UBY6" s="684"/>
      <c r="UBZ6" s="684"/>
      <c r="UCA6" s="684"/>
      <c r="UCB6" s="684"/>
      <c r="UCC6" s="684"/>
      <c r="UCD6" s="684"/>
      <c r="UCE6" s="684"/>
      <c r="UCF6" s="684"/>
      <c r="UCG6" s="684"/>
      <c r="UCH6" s="684"/>
      <c r="UCI6" s="684"/>
      <c r="UCJ6" s="684"/>
      <c r="UCK6" s="684"/>
      <c r="UCL6" s="684"/>
      <c r="UCM6" s="684"/>
      <c r="UCN6" s="684"/>
      <c r="UCO6" s="684"/>
      <c r="UCP6" s="684"/>
      <c r="UCQ6" s="684"/>
      <c r="UCR6" s="684"/>
      <c r="UCS6" s="684"/>
      <c r="UCT6" s="684"/>
      <c r="UCU6" s="684"/>
      <c r="UCV6" s="684"/>
      <c r="UCW6" s="684"/>
      <c r="UCX6" s="684"/>
      <c r="UCY6" s="684"/>
      <c r="UCZ6" s="684"/>
      <c r="UDA6" s="684"/>
      <c r="UDB6" s="684"/>
      <c r="UDC6" s="684"/>
      <c r="UDD6" s="684"/>
      <c r="UDE6" s="684"/>
      <c r="UDF6" s="684"/>
      <c r="UDG6" s="684"/>
      <c r="UDH6" s="684"/>
      <c r="UDI6" s="684"/>
      <c r="UDJ6" s="684"/>
      <c r="UDK6" s="684"/>
      <c r="UDL6" s="684"/>
      <c r="UDM6" s="684"/>
      <c r="UDN6" s="684"/>
      <c r="UDO6" s="684"/>
      <c r="UDP6" s="684"/>
      <c r="UDQ6" s="684"/>
      <c r="UDR6" s="684"/>
      <c r="UDS6" s="684"/>
      <c r="UDT6" s="684"/>
      <c r="UDU6" s="684"/>
      <c r="UDV6" s="684"/>
      <c r="UDW6" s="684"/>
      <c r="UDX6" s="684"/>
      <c r="UDY6" s="684"/>
      <c r="UDZ6" s="684"/>
      <c r="UEA6" s="684"/>
      <c r="UEB6" s="684"/>
      <c r="UEC6" s="684"/>
      <c r="UED6" s="684"/>
      <c r="UEE6" s="684"/>
      <c r="UEF6" s="684"/>
      <c r="UEG6" s="684"/>
      <c r="UEH6" s="684"/>
      <c r="UEI6" s="684"/>
      <c r="UEJ6" s="684"/>
      <c r="UEK6" s="684"/>
      <c r="UEL6" s="684"/>
      <c r="UEM6" s="684"/>
      <c r="UEN6" s="684"/>
      <c r="UEO6" s="684"/>
      <c r="UEP6" s="684"/>
      <c r="UEQ6" s="684"/>
      <c r="UER6" s="684"/>
      <c r="UES6" s="684"/>
      <c r="UET6" s="684"/>
      <c r="UEU6" s="684"/>
      <c r="UEV6" s="684"/>
      <c r="UEW6" s="684"/>
      <c r="UEX6" s="684"/>
      <c r="UEY6" s="684"/>
      <c r="UEZ6" s="684"/>
      <c r="UFA6" s="684"/>
      <c r="UFB6" s="684"/>
      <c r="UFC6" s="684"/>
      <c r="UFD6" s="684"/>
      <c r="UFE6" s="684"/>
      <c r="UFF6" s="684"/>
      <c r="UFG6" s="684"/>
      <c r="UFH6" s="684"/>
      <c r="UFI6" s="684"/>
      <c r="UFJ6" s="684"/>
      <c r="UFK6" s="684"/>
      <c r="UFL6" s="684"/>
      <c r="UFM6" s="684"/>
      <c r="UFN6" s="684"/>
      <c r="UFO6" s="684"/>
      <c r="UFP6" s="684"/>
      <c r="UFQ6" s="684"/>
      <c r="UFR6" s="684"/>
      <c r="UFS6" s="684"/>
      <c r="UFT6" s="684"/>
      <c r="UFU6" s="684"/>
      <c r="UFV6" s="684"/>
      <c r="UFW6" s="684"/>
      <c r="UFX6" s="684"/>
      <c r="UFY6" s="684"/>
      <c r="UFZ6" s="684"/>
      <c r="UGA6" s="684"/>
      <c r="UGB6" s="684"/>
      <c r="UGC6" s="684"/>
      <c r="UGD6" s="684"/>
      <c r="UGE6" s="684"/>
      <c r="UGF6" s="684"/>
      <c r="UGG6" s="684"/>
      <c r="UGH6" s="684"/>
      <c r="UGI6" s="684"/>
      <c r="UGJ6" s="684"/>
      <c r="UGK6" s="684"/>
      <c r="UGL6" s="684"/>
      <c r="UGM6" s="684"/>
      <c r="UGN6" s="684"/>
      <c r="UGO6" s="684"/>
      <c r="UGP6" s="684"/>
      <c r="UGQ6" s="684"/>
      <c r="UGR6" s="684"/>
      <c r="UGS6" s="684"/>
      <c r="UGT6" s="684"/>
      <c r="UGU6" s="684"/>
      <c r="UGV6" s="684"/>
      <c r="UGW6" s="684"/>
      <c r="UGX6" s="684"/>
      <c r="UGY6" s="684"/>
      <c r="UGZ6" s="684"/>
      <c r="UHA6" s="684"/>
      <c r="UHB6" s="684"/>
      <c r="UHC6" s="684"/>
      <c r="UHD6" s="684"/>
      <c r="UHE6" s="684"/>
      <c r="UHF6" s="684"/>
      <c r="UHG6" s="684"/>
      <c r="UHH6" s="684"/>
      <c r="UHI6" s="684"/>
      <c r="UHJ6" s="684"/>
      <c r="UHK6" s="684"/>
      <c r="UHL6" s="684"/>
      <c r="UHM6" s="684"/>
      <c r="UHN6" s="684"/>
      <c r="UHO6" s="684"/>
      <c r="UHP6" s="684"/>
      <c r="UHQ6" s="684"/>
      <c r="UHR6" s="684"/>
      <c r="UHS6" s="684"/>
      <c r="UHT6" s="684"/>
      <c r="UHU6" s="684"/>
      <c r="UHV6" s="684"/>
      <c r="UHW6" s="684"/>
      <c r="UHX6" s="684"/>
      <c r="UHY6" s="684"/>
      <c r="UHZ6" s="684"/>
      <c r="UIA6" s="684"/>
      <c r="UIB6" s="684"/>
      <c r="UIC6" s="684"/>
      <c r="UID6" s="684"/>
      <c r="UIE6" s="684"/>
      <c r="UIF6" s="684"/>
      <c r="UIG6" s="684"/>
      <c r="UIH6" s="684"/>
      <c r="UII6" s="684"/>
      <c r="UIJ6" s="684"/>
      <c r="UIK6" s="684"/>
      <c r="UIL6" s="684"/>
      <c r="UIM6" s="684"/>
      <c r="UIN6" s="684"/>
      <c r="UIO6" s="684"/>
      <c r="UIP6" s="684"/>
      <c r="UIQ6" s="684"/>
      <c r="UIR6" s="684"/>
      <c r="UIS6" s="684"/>
      <c r="UIT6" s="684"/>
      <c r="UIU6" s="684"/>
      <c r="UIV6" s="684"/>
      <c r="UIW6" s="684"/>
      <c r="UIX6" s="684"/>
      <c r="UIY6" s="684"/>
      <c r="UIZ6" s="684"/>
      <c r="UJA6" s="684"/>
      <c r="UJB6" s="684"/>
      <c r="UJC6" s="684"/>
      <c r="UJD6" s="684"/>
      <c r="UJE6" s="684"/>
      <c r="UJF6" s="684"/>
      <c r="UJG6" s="684"/>
      <c r="UJH6" s="684"/>
      <c r="UJI6" s="684"/>
      <c r="UJJ6" s="684"/>
      <c r="UJK6" s="684"/>
      <c r="UJL6" s="684"/>
      <c r="UJM6" s="684"/>
      <c r="UJN6" s="684"/>
      <c r="UJO6" s="684"/>
      <c r="UJP6" s="684"/>
      <c r="UJQ6" s="684"/>
      <c r="UJR6" s="684"/>
      <c r="UJS6" s="684"/>
      <c r="UJT6" s="684"/>
      <c r="UJU6" s="684"/>
      <c r="UJV6" s="684"/>
      <c r="UJW6" s="684"/>
      <c r="UJX6" s="684"/>
      <c r="UJY6" s="684"/>
      <c r="UJZ6" s="684"/>
      <c r="UKA6" s="684"/>
      <c r="UKB6" s="684"/>
      <c r="UKC6" s="684"/>
      <c r="UKD6" s="684"/>
      <c r="UKE6" s="684"/>
      <c r="UKF6" s="684"/>
      <c r="UKG6" s="684"/>
      <c r="UKH6" s="684"/>
      <c r="UKI6" s="684"/>
      <c r="UKJ6" s="684"/>
      <c r="UKK6" s="684"/>
      <c r="UKL6" s="684"/>
      <c r="UKM6" s="684"/>
      <c r="UKN6" s="684"/>
      <c r="UKO6" s="684"/>
      <c r="UKP6" s="684"/>
      <c r="UKQ6" s="684"/>
      <c r="UKR6" s="684"/>
      <c r="UKS6" s="684"/>
      <c r="UKT6" s="684"/>
      <c r="UKU6" s="684"/>
      <c r="UKV6" s="684"/>
      <c r="UKW6" s="684"/>
      <c r="UKX6" s="684"/>
      <c r="UKY6" s="684"/>
      <c r="UKZ6" s="684"/>
      <c r="ULA6" s="684"/>
      <c r="ULB6" s="684"/>
      <c r="ULC6" s="684"/>
      <c r="ULD6" s="684"/>
      <c r="ULE6" s="684"/>
      <c r="ULF6" s="684"/>
      <c r="ULG6" s="684"/>
      <c r="ULH6" s="684"/>
      <c r="ULI6" s="684"/>
      <c r="ULJ6" s="684"/>
      <c r="ULK6" s="684"/>
      <c r="ULL6" s="684"/>
      <c r="ULM6" s="684"/>
      <c r="ULN6" s="684"/>
      <c r="ULO6" s="684"/>
      <c r="ULP6" s="684"/>
      <c r="ULQ6" s="684"/>
      <c r="ULR6" s="684"/>
      <c r="ULS6" s="684"/>
      <c r="ULT6" s="684"/>
      <c r="ULU6" s="684"/>
      <c r="ULV6" s="684"/>
      <c r="ULW6" s="684"/>
      <c r="ULX6" s="684"/>
      <c r="ULY6" s="684"/>
      <c r="ULZ6" s="684"/>
      <c r="UMA6" s="684"/>
      <c r="UMB6" s="684"/>
      <c r="UMC6" s="684"/>
      <c r="UMD6" s="684"/>
      <c r="UME6" s="684"/>
      <c r="UMF6" s="684"/>
      <c r="UMG6" s="684"/>
      <c r="UMH6" s="684"/>
      <c r="UMI6" s="684"/>
      <c r="UMJ6" s="684"/>
      <c r="UMK6" s="684"/>
      <c r="UML6" s="684"/>
      <c r="UMM6" s="684"/>
      <c r="UMN6" s="684"/>
      <c r="UMO6" s="684"/>
      <c r="UMP6" s="684"/>
      <c r="UMQ6" s="684"/>
      <c r="UMR6" s="684"/>
      <c r="UMS6" s="684"/>
      <c r="UMT6" s="684"/>
      <c r="UMU6" s="684"/>
      <c r="UMV6" s="684"/>
      <c r="UMW6" s="684"/>
      <c r="UMX6" s="684"/>
      <c r="UMY6" s="684"/>
      <c r="UMZ6" s="684"/>
      <c r="UNA6" s="684"/>
      <c r="UNB6" s="684"/>
      <c r="UNC6" s="684"/>
      <c r="UND6" s="684"/>
      <c r="UNE6" s="684"/>
      <c r="UNF6" s="684"/>
      <c r="UNG6" s="684"/>
      <c r="UNH6" s="684"/>
      <c r="UNI6" s="684"/>
      <c r="UNJ6" s="684"/>
      <c r="UNK6" s="684"/>
      <c r="UNL6" s="684"/>
      <c r="UNM6" s="684"/>
      <c r="UNN6" s="684"/>
      <c r="UNO6" s="684"/>
      <c r="UNP6" s="684"/>
      <c r="UNQ6" s="684"/>
      <c r="UNR6" s="684"/>
      <c r="UNS6" s="684"/>
      <c r="UNT6" s="684"/>
      <c r="UNU6" s="684"/>
      <c r="UNV6" s="684"/>
      <c r="UNW6" s="684"/>
      <c r="UNX6" s="684"/>
      <c r="UNY6" s="684"/>
      <c r="UNZ6" s="684"/>
      <c r="UOA6" s="684"/>
      <c r="UOB6" s="684"/>
      <c r="UOC6" s="684"/>
      <c r="UOD6" s="684"/>
      <c r="UOE6" s="684"/>
      <c r="UOF6" s="684"/>
      <c r="UOG6" s="684"/>
      <c r="UOH6" s="684"/>
      <c r="UOI6" s="684"/>
      <c r="UOJ6" s="684"/>
      <c r="UOK6" s="684"/>
      <c r="UOL6" s="684"/>
      <c r="UOM6" s="684"/>
      <c r="UON6" s="684"/>
      <c r="UOO6" s="684"/>
      <c r="UOP6" s="684"/>
      <c r="UOQ6" s="684"/>
      <c r="UOR6" s="684"/>
      <c r="UOS6" s="684"/>
      <c r="UOT6" s="684"/>
      <c r="UOU6" s="684"/>
      <c r="UOV6" s="684"/>
      <c r="UOW6" s="684"/>
      <c r="UOX6" s="684"/>
      <c r="UOY6" s="684"/>
      <c r="UOZ6" s="684"/>
      <c r="UPA6" s="684"/>
      <c r="UPB6" s="684"/>
      <c r="UPC6" s="684"/>
      <c r="UPD6" s="684"/>
      <c r="UPE6" s="684"/>
      <c r="UPF6" s="684"/>
      <c r="UPG6" s="684"/>
      <c r="UPH6" s="684"/>
      <c r="UPI6" s="684"/>
      <c r="UPJ6" s="684"/>
      <c r="UPK6" s="684"/>
      <c r="UPL6" s="684"/>
      <c r="UPM6" s="684"/>
      <c r="UPN6" s="684"/>
      <c r="UPO6" s="684"/>
      <c r="UPP6" s="684"/>
      <c r="UPQ6" s="684"/>
      <c r="UPR6" s="684"/>
      <c r="UPS6" s="684"/>
      <c r="UPT6" s="684"/>
      <c r="UPU6" s="684"/>
      <c r="UPV6" s="684"/>
      <c r="UPW6" s="684"/>
      <c r="UPX6" s="684"/>
      <c r="UPY6" s="684"/>
      <c r="UPZ6" s="684"/>
      <c r="UQA6" s="684"/>
      <c r="UQB6" s="684"/>
      <c r="UQC6" s="684"/>
      <c r="UQD6" s="684"/>
      <c r="UQE6" s="684"/>
      <c r="UQF6" s="684"/>
      <c r="UQG6" s="684"/>
      <c r="UQH6" s="684"/>
      <c r="UQI6" s="684"/>
      <c r="UQJ6" s="684"/>
      <c r="UQK6" s="684"/>
      <c r="UQL6" s="684"/>
      <c r="UQM6" s="684"/>
      <c r="UQN6" s="684"/>
      <c r="UQO6" s="684"/>
      <c r="UQP6" s="684"/>
      <c r="UQQ6" s="684"/>
      <c r="UQR6" s="684"/>
      <c r="UQS6" s="684"/>
      <c r="UQT6" s="684"/>
      <c r="UQU6" s="684"/>
      <c r="UQV6" s="684"/>
      <c r="UQW6" s="684"/>
      <c r="UQX6" s="684"/>
      <c r="UQY6" s="684"/>
      <c r="UQZ6" s="684"/>
      <c r="URA6" s="684"/>
      <c r="URB6" s="684"/>
      <c r="URC6" s="684"/>
      <c r="URD6" s="684"/>
      <c r="URE6" s="684"/>
      <c r="URF6" s="684"/>
      <c r="URG6" s="684"/>
      <c r="URH6" s="684"/>
      <c r="URI6" s="684"/>
      <c r="URJ6" s="684"/>
      <c r="URK6" s="684"/>
      <c r="URL6" s="684"/>
      <c r="URM6" s="684"/>
      <c r="URN6" s="684"/>
      <c r="URO6" s="684"/>
      <c r="URP6" s="684"/>
      <c r="URQ6" s="684"/>
      <c r="URR6" s="684"/>
      <c r="URS6" s="684"/>
      <c r="URT6" s="684"/>
      <c r="URU6" s="684"/>
      <c r="URV6" s="684"/>
      <c r="URW6" s="684"/>
      <c r="URX6" s="684"/>
      <c r="URY6" s="684"/>
      <c r="URZ6" s="684"/>
      <c r="USA6" s="684"/>
      <c r="USB6" s="684"/>
      <c r="USC6" s="684"/>
      <c r="USD6" s="684"/>
      <c r="USE6" s="684"/>
      <c r="USF6" s="684"/>
      <c r="USG6" s="684"/>
      <c r="USH6" s="684"/>
      <c r="USI6" s="684"/>
      <c r="USJ6" s="684"/>
      <c r="USK6" s="684"/>
      <c r="USL6" s="684"/>
      <c r="USM6" s="684"/>
      <c r="USN6" s="684"/>
      <c r="USO6" s="684"/>
      <c r="USP6" s="684"/>
      <c r="USQ6" s="684"/>
      <c r="USR6" s="684"/>
      <c r="USS6" s="684"/>
      <c r="UST6" s="684"/>
      <c r="USU6" s="684"/>
      <c r="USV6" s="684"/>
      <c r="USW6" s="684"/>
      <c r="USX6" s="684"/>
      <c r="USY6" s="684"/>
      <c r="USZ6" s="684"/>
      <c r="UTA6" s="684"/>
      <c r="UTB6" s="684"/>
      <c r="UTC6" s="684"/>
      <c r="UTD6" s="684"/>
      <c r="UTE6" s="684"/>
      <c r="UTF6" s="684"/>
      <c r="UTG6" s="684"/>
      <c r="UTH6" s="684"/>
      <c r="UTI6" s="684"/>
      <c r="UTJ6" s="684"/>
      <c r="UTK6" s="684"/>
      <c r="UTL6" s="684"/>
      <c r="UTM6" s="684"/>
      <c r="UTN6" s="684"/>
      <c r="UTO6" s="684"/>
      <c r="UTP6" s="684"/>
      <c r="UTQ6" s="684"/>
      <c r="UTR6" s="684"/>
      <c r="UTS6" s="684"/>
      <c r="UTT6" s="684"/>
      <c r="UTU6" s="684"/>
      <c r="UTV6" s="684"/>
      <c r="UTW6" s="684"/>
      <c r="UTX6" s="684"/>
      <c r="UTY6" s="684"/>
      <c r="UTZ6" s="684"/>
      <c r="UUA6" s="684"/>
      <c r="UUB6" s="684"/>
      <c r="UUC6" s="684"/>
      <c r="UUD6" s="684"/>
      <c r="UUE6" s="684"/>
      <c r="UUF6" s="684"/>
      <c r="UUG6" s="684"/>
      <c r="UUH6" s="684"/>
      <c r="UUI6" s="684"/>
      <c r="UUJ6" s="684"/>
      <c r="UUK6" s="684"/>
      <c r="UUL6" s="684"/>
      <c r="UUM6" s="684"/>
      <c r="UUN6" s="684"/>
      <c r="UUO6" s="684"/>
      <c r="UUP6" s="684"/>
      <c r="UUQ6" s="684"/>
      <c r="UUR6" s="684"/>
      <c r="UUS6" s="684"/>
      <c r="UUT6" s="684"/>
      <c r="UUU6" s="684"/>
      <c r="UUV6" s="684"/>
      <c r="UUW6" s="684"/>
      <c r="UUX6" s="684"/>
      <c r="UUY6" s="684"/>
      <c r="UUZ6" s="684"/>
      <c r="UVA6" s="684"/>
      <c r="UVB6" s="684"/>
      <c r="UVC6" s="684"/>
      <c r="UVD6" s="684"/>
      <c r="UVE6" s="684"/>
      <c r="UVF6" s="684"/>
      <c r="UVG6" s="684"/>
      <c r="UVH6" s="684"/>
      <c r="UVI6" s="684"/>
      <c r="UVJ6" s="684"/>
      <c r="UVK6" s="684"/>
      <c r="UVL6" s="684"/>
      <c r="UVM6" s="684"/>
      <c r="UVN6" s="684"/>
      <c r="UVO6" s="684"/>
      <c r="UVP6" s="684"/>
      <c r="UVQ6" s="684"/>
      <c r="UVR6" s="684"/>
      <c r="UVS6" s="684"/>
      <c r="UVT6" s="684"/>
      <c r="UVU6" s="684"/>
      <c r="UVV6" s="684"/>
      <c r="UVW6" s="684"/>
      <c r="UVX6" s="684"/>
      <c r="UVY6" s="684"/>
      <c r="UVZ6" s="684"/>
      <c r="UWA6" s="684"/>
      <c r="UWB6" s="684"/>
      <c r="UWC6" s="684"/>
      <c r="UWD6" s="684"/>
      <c r="UWE6" s="684"/>
      <c r="UWF6" s="684"/>
      <c r="UWG6" s="684"/>
      <c r="UWH6" s="684"/>
      <c r="UWI6" s="684"/>
      <c r="UWJ6" s="684"/>
      <c r="UWK6" s="684"/>
      <c r="UWL6" s="684"/>
      <c r="UWM6" s="684"/>
      <c r="UWN6" s="684"/>
      <c r="UWO6" s="684"/>
      <c r="UWP6" s="684"/>
      <c r="UWQ6" s="684"/>
      <c r="UWR6" s="684"/>
      <c r="UWS6" s="684"/>
      <c r="UWT6" s="684"/>
      <c r="UWU6" s="684"/>
      <c r="UWV6" s="684"/>
      <c r="UWW6" s="684"/>
      <c r="UWX6" s="684"/>
      <c r="UWY6" s="684"/>
      <c r="UWZ6" s="684"/>
      <c r="UXA6" s="684"/>
      <c r="UXB6" s="684"/>
      <c r="UXC6" s="684"/>
      <c r="UXD6" s="684"/>
      <c r="UXE6" s="684"/>
      <c r="UXF6" s="684"/>
      <c r="UXG6" s="684"/>
      <c r="UXH6" s="684"/>
      <c r="UXI6" s="684"/>
      <c r="UXJ6" s="684"/>
      <c r="UXK6" s="684"/>
      <c r="UXL6" s="684"/>
      <c r="UXM6" s="684"/>
      <c r="UXN6" s="684"/>
      <c r="UXO6" s="684"/>
      <c r="UXP6" s="684"/>
      <c r="UXQ6" s="684"/>
      <c r="UXR6" s="684"/>
      <c r="UXS6" s="684"/>
      <c r="UXT6" s="684"/>
      <c r="UXU6" s="684"/>
      <c r="UXV6" s="684"/>
      <c r="UXW6" s="684"/>
      <c r="UXX6" s="684"/>
      <c r="UXY6" s="684"/>
      <c r="UXZ6" s="684"/>
      <c r="UYA6" s="684"/>
      <c r="UYB6" s="684"/>
      <c r="UYC6" s="684"/>
      <c r="UYD6" s="684"/>
      <c r="UYE6" s="684"/>
      <c r="UYF6" s="684"/>
      <c r="UYG6" s="684"/>
      <c r="UYH6" s="684"/>
      <c r="UYI6" s="684"/>
      <c r="UYJ6" s="684"/>
      <c r="UYK6" s="684"/>
      <c r="UYL6" s="684"/>
      <c r="UYM6" s="684"/>
      <c r="UYN6" s="684"/>
      <c r="UYO6" s="684"/>
      <c r="UYP6" s="684"/>
      <c r="UYQ6" s="684"/>
      <c r="UYR6" s="684"/>
      <c r="UYS6" s="684"/>
      <c r="UYT6" s="684"/>
      <c r="UYU6" s="684"/>
      <c r="UYV6" s="684"/>
      <c r="UYW6" s="684"/>
      <c r="UYX6" s="684"/>
      <c r="UYY6" s="684"/>
      <c r="UYZ6" s="684"/>
      <c r="UZA6" s="684"/>
      <c r="UZB6" s="684"/>
      <c r="UZC6" s="684"/>
      <c r="UZD6" s="684"/>
      <c r="UZE6" s="684"/>
      <c r="UZF6" s="684"/>
      <c r="UZG6" s="684"/>
      <c r="UZH6" s="684"/>
      <c r="UZI6" s="684"/>
      <c r="UZJ6" s="684"/>
      <c r="UZK6" s="684"/>
      <c r="UZL6" s="684"/>
      <c r="UZM6" s="684"/>
      <c r="UZN6" s="684"/>
      <c r="UZO6" s="684"/>
      <c r="UZP6" s="684"/>
      <c r="UZQ6" s="684"/>
      <c r="UZR6" s="684"/>
      <c r="UZS6" s="684"/>
      <c r="UZT6" s="684"/>
      <c r="UZU6" s="684"/>
      <c r="UZV6" s="684"/>
      <c r="UZW6" s="684"/>
      <c r="UZX6" s="684"/>
      <c r="UZY6" s="684"/>
      <c r="UZZ6" s="684"/>
      <c r="VAA6" s="684"/>
      <c r="VAB6" s="684"/>
      <c r="VAC6" s="684"/>
      <c r="VAD6" s="684"/>
      <c r="VAE6" s="684"/>
      <c r="VAF6" s="684"/>
      <c r="VAG6" s="684"/>
      <c r="VAH6" s="684"/>
      <c r="VAI6" s="684"/>
      <c r="VAJ6" s="684"/>
      <c r="VAK6" s="684"/>
      <c r="VAL6" s="684"/>
      <c r="VAM6" s="684"/>
      <c r="VAN6" s="684"/>
      <c r="VAO6" s="684"/>
      <c r="VAP6" s="684"/>
      <c r="VAQ6" s="684"/>
      <c r="VAR6" s="684"/>
      <c r="VAS6" s="684"/>
      <c r="VAT6" s="684"/>
      <c r="VAU6" s="684"/>
      <c r="VAV6" s="684"/>
      <c r="VAW6" s="684"/>
      <c r="VAX6" s="684"/>
      <c r="VAY6" s="684"/>
      <c r="VAZ6" s="684"/>
      <c r="VBA6" s="684"/>
      <c r="VBB6" s="684"/>
      <c r="VBC6" s="684"/>
      <c r="VBD6" s="684"/>
      <c r="VBE6" s="684"/>
      <c r="VBF6" s="684"/>
      <c r="VBG6" s="684"/>
      <c r="VBH6" s="684"/>
      <c r="VBI6" s="684"/>
      <c r="VBJ6" s="684"/>
      <c r="VBK6" s="684"/>
      <c r="VBL6" s="684"/>
      <c r="VBM6" s="684"/>
      <c r="VBN6" s="684"/>
      <c r="VBO6" s="684"/>
      <c r="VBP6" s="684"/>
      <c r="VBQ6" s="684"/>
      <c r="VBR6" s="684"/>
      <c r="VBS6" s="684"/>
      <c r="VBT6" s="684"/>
      <c r="VBU6" s="684"/>
      <c r="VBV6" s="684"/>
      <c r="VBW6" s="684"/>
      <c r="VBX6" s="684"/>
      <c r="VBY6" s="684"/>
      <c r="VBZ6" s="684"/>
      <c r="VCA6" s="684"/>
      <c r="VCB6" s="684"/>
      <c r="VCC6" s="684"/>
      <c r="VCD6" s="684"/>
      <c r="VCE6" s="684"/>
      <c r="VCF6" s="684"/>
      <c r="VCG6" s="684"/>
      <c r="VCH6" s="684"/>
      <c r="VCI6" s="684"/>
      <c r="VCJ6" s="684"/>
      <c r="VCK6" s="684"/>
      <c r="VCL6" s="684"/>
      <c r="VCM6" s="684"/>
      <c r="VCN6" s="684"/>
      <c r="VCO6" s="684"/>
      <c r="VCP6" s="684"/>
      <c r="VCQ6" s="684"/>
      <c r="VCR6" s="684"/>
      <c r="VCS6" s="684"/>
      <c r="VCT6" s="684"/>
      <c r="VCU6" s="684"/>
      <c r="VCV6" s="684"/>
      <c r="VCW6" s="684"/>
      <c r="VCX6" s="684"/>
      <c r="VCY6" s="684"/>
      <c r="VCZ6" s="684"/>
      <c r="VDA6" s="684"/>
      <c r="VDB6" s="684"/>
      <c r="VDC6" s="684"/>
      <c r="VDD6" s="684"/>
      <c r="VDE6" s="684"/>
      <c r="VDF6" s="684"/>
      <c r="VDG6" s="684"/>
      <c r="VDH6" s="684"/>
      <c r="VDI6" s="684"/>
      <c r="VDJ6" s="684"/>
      <c r="VDK6" s="684"/>
      <c r="VDL6" s="684"/>
      <c r="VDM6" s="684"/>
      <c r="VDN6" s="684"/>
      <c r="VDO6" s="684"/>
      <c r="VDP6" s="684"/>
      <c r="VDQ6" s="684"/>
      <c r="VDR6" s="684"/>
      <c r="VDS6" s="684"/>
      <c r="VDT6" s="684"/>
      <c r="VDU6" s="684"/>
      <c r="VDV6" s="684"/>
      <c r="VDW6" s="684"/>
      <c r="VDX6" s="684"/>
      <c r="VDY6" s="684"/>
      <c r="VDZ6" s="684"/>
      <c r="VEA6" s="684"/>
      <c r="VEB6" s="684"/>
      <c r="VEC6" s="684"/>
      <c r="VED6" s="684"/>
      <c r="VEE6" s="684"/>
      <c r="VEF6" s="684"/>
      <c r="VEG6" s="684"/>
      <c r="VEH6" s="684"/>
      <c r="VEI6" s="684"/>
      <c r="VEJ6" s="684"/>
      <c r="VEK6" s="684"/>
      <c r="VEL6" s="684"/>
      <c r="VEM6" s="684"/>
      <c r="VEN6" s="684"/>
      <c r="VEO6" s="684"/>
      <c r="VEP6" s="684"/>
      <c r="VEQ6" s="684"/>
      <c r="VER6" s="684"/>
      <c r="VES6" s="684"/>
      <c r="VET6" s="684"/>
      <c r="VEU6" s="684"/>
      <c r="VEV6" s="684"/>
      <c r="VEW6" s="684"/>
      <c r="VEX6" s="684"/>
      <c r="VEY6" s="684"/>
      <c r="VEZ6" s="684"/>
      <c r="VFA6" s="684"/>
      <c r="VFB6" s="684"/>
      <c r="VFC6" s="684"/>
      <c r="VFD6" s="684"/>
      <c r="VFE6" s="684"/>
      <c r="VFF6" s="684"/>
      <c r="VFG6" s="684"/>
      <c r="VFH6" s="684"/>
      <c r="VFI6" s="684"/>
      <c r="VFJ6" s="684"/>
      <c r="VFK6" s="684"/>
      <c r="VFL6" s="684"/>
      <c r="VFM6" s="684"/>
      <c r="VFN6" s="684"/>
      <c r="VFO6" s="684"/>
      <c r="VFP6" s="684"/>
      <c r="VFQ6" s="684"/>
      <c r="VFR6" s="684"/>
      <c r="VFS6" s="684"/>
      <c r="VFT6" s="684"/>
      <c r="VFU6" s="684"/>
      <c r="VFV6" s="684"/>
      <c r="VFW6" s="684"/>
      <c r="VFX6" s="684"/>
      <c r="VFY6" s="684"/>
      <c r="VFZ6" s="684"/>
      <c r="VGA6" s="684"/>
      <c r="VGB6" s="684"/>
      <c r="VGC6" s="684"/>
      <c r="VGD6" s="684"/>
      <c r="VGE6" s="684"/>
      <c r="VGF6" s="684"/>
      <c r="VGG6" s="684"/>
      <c r="VGH6" s="684"/>
      <c r="VGI6" s="684"/>
      <c r="VGJ6" s="684"/>
      <c r="VGK6" s="684"/>
      <c r="VGL6" s="684"/>
      <c r="VGM6" s="684"/>
      <c r="VGN6" s="684"/>
      <c r="VGO6" s="684"/>
      <c r="VGP6" s="684"/>
      <c r="VGQ6" s="684"/>
      <c r="VGR6" s="684"/>
      <c r="VGS6" s="684"/>
      <c r="VGT6" s="684"/>
      <c r="VGU6" s="684"/>
      <c r="VGV6" s="684"/>
      <c r="VGW6" s="684"/>
      <c r="VGX6" s="684"/>
      <c r="VGY6" s="684"/>
      <c r="VGZ6" s="684"/>
      <c r="VHA6" s="684"/>
      <c r="VHB6" s="684"/>
      <c r="VHC6" s="684"/>
      <c r="VHD6" s="684"/>
      <c r="VHE6" s="684"/>
      <c r="VHF6" s="684"/>
      <c r="VHG6" s="684"/>
      <c r="VHH6" s="684"/>
      <c r="VHI6" s="684"/>
      <c r="VHJ6" s="684"/>
      <c r="VHK6" s="684"/>
      <c r="VHL6" s="684"/>
      <c r="VHM6" s="684"/>
      <c r="VHN6" s="684"/>
      <c r="VHO6" s="684"/>
      <c r="VHP6" s="684"/>
      <c r="VHQ6" s="684"/>
      <c r="VHR6" s="684"/>
      <c r="VHS6" s="684"/>
      <c r="VHT6" s="684"/>
      <c r="VHU6" s="684"/>
      <c r="VHV6" s="684"/>
      <c r="VHW6" s="684"/>
      <c r="VHX6" s="684"/>
      <c r="VHY6" s="684"/>
      <c r="VHZ6" s="684"/>
      <c r="VIA6" s="684"/>
      <c r="VIB6" s="684"/>
      <c r="VIC6" s="684"/>
      <c r="VID6" s="684"/>
      <c r="VIE6" s="684"/>
      <c r="VIF6" s="684"/>
      <c r="VIG6" s="684"/>
      <c r="VIH6" s="684"/>
      <c r="VII6" s="684"/>
      <c r="VIJ6" s="684"/>
      <c r="VIK6" s="684"/>
      <c r="VIL6" s="684"/>
      <c r="VIM6" s="684"/>
      <c r="VIN6" s="684"/>
      <c r="VIO6" s="684"/>
      <c r="VIP6" s="684"/>
      <c r="VIQ6" s="684"/>
      <c r="VIR6" s="684"/>
      <c r="VIS6" s="684"/>
      <c r="VIT6" s="684"/>
      <c r="VIU6" s="684"/>
      <c r="VIV6" s="684"/>
      <c r="VIW6" s="684"/>
      <c r="VIX6" s="684"/>
      <c r="VIY6" s="684"/>
      <c r="VIZ6" s="684"/>
      <c r="VJA6" s="684"/>
      <c r="VJB6" s="684"/>
      <c r="VJC6" s="684"/>
      <c r="VJD6" s="684"/>
      <c r="VJE6" s="684"/>
      <c r="VJF6" s="684"/>
      <c r="VJG6" s="684"/>
      <c r="VJH6" s="684"/>
      <c r="VJI6" s="684"/>
      <c r="VJJ6" s="684"/>
      <c r="VJK6" s="684"/>
      <c r="VJL6" s="684"/>
      <c r="VJM6" s="684"/>
      <c r="VJN6" s="684"/>
      <c r="VJO6" s="684"/>
      <c r="VJP6" s="684"/>
      <c r="VJQ6" s="684"/>
      <c r="VJR6" s="684"/>
      <c r="VJS6" s="684"/>
      <c r="VJT6" s="684"/>
      <c r="VJU6" s="684"/>
      <c r="VJV6" s="684"/>
      <c r="VJW6" s="684"/>
      <c r="VJX6" s="684"/>
      <c r="VJY6" s="684"/>
      <c r="VJZ6" s="684"/>
      <c r="VKA6" s="684"/>
      <c r="VKB6" s="684"/>
      <c r="VKC6" s="684"/>
      <c r="VKD6" s="684"/>
      <c r="VKE6" s="684"/>
      <c r="VKF6" s="684"/>
      <c r="VKG6" s="684"/>
      <c r="VKH6" s="684"/>
      <c r="VKI6" s="684"/>
      <c r="VKJ6" s="684"/>
      <c r="VKK6" s="684"/>
      <c r="VKL6" s="684"/>
      <c r="VKM6" s="684"/>
      <c r="VKN6" s="684"/>
      <c r="VKO6" s="684"/>
      <c r="VKP6" s="684"/>
      <c r="VKQ6" s="684"/>
      <c r="VKR6" s="684"/>
      <c r="VKS6" s="684"/>
      <c r="VKT6" s="684"/>
      <c r="VKU6" s="684"/>
      <c r="VKV6" s="684"/>
      <c r="VKW6" s="684"/>
      <c r="VKX6" s="684"/>
      <c r="VKY6" s="684"/>
      <c r="VKZ6" s="684"/>
      <c r="VLA6" s="684"/>
      <c r="VLB6" s="684"/>
      <c r="VLC6" s="684"/>
      <c r="VLD6" s="684"/>
      <c r="VLE6" s="684"/>
      <c r="VLF6" s="684"/>
      <c r="VLG6" s="684"/>
      <c r="VLH6" s="684"/>
      <c r="VLI6" s="684"/>
      <c r="VLJ6" s="684"/>
      <c r="VLK6" s="684"/>
      <c r="VLL6" s="684"/>
      <c r="VLM6" s="684"/>
      <c r="VLN6" s="684"/>
      <c r="VLO6" s="684"/>
      <c r="VLP6" s="684"/>
      <c r="VLQ6" s="684"/>
      <c r="VLR6" s="684"/>
      <c r="VLS6" s="684"/>
      <c r="VLT6" s="684"/>
      <c r="VLU6" s="684"/>
      <c r="VLV6" s="684"/>
      <c r="VLW6" s="684"/>
      <c r="VLX6" s="684"/>
      <c r="VLY6" s="684"/>
      <c r="VLZ6" s="684"/>
      <c r="VMA6" s="684"/>
      <c r="VMB6" s="684"/>
      <c r="VMC6" s="684"/>
      <c r="VMD6" s="684"/>
      <c r="VME6" s="684"/>
      <c r="VMF6" s="684"/>
      <c r="VMG6" s="684"/>
      <c r="VMH6" s="684"/>
      <c r="VMI6" s="684"/>
      <c r="VMJ6" s="684"/>
      <c r="VMK6" s="684"/>
      <c r="VML6" s="684"/>
      <c r="VMM6" s="684"/>
      <c r="VMN6" s="684"/>
      <c r="VMO6" s="684"/>
      <c r="VMP6" s="684"/>
      <c r="VMQ6" s="684"/>
      <c r="VMR6" s="684"/>
      <c r="VMS6" s="684"/>
      <c r="VMT6" s="684"/>
      <c r="VMU6" s="684"/>
      <c r="VMV6" s="684"/>
      <c r="VMW6" s="684"/>
      <c r="VMX6" s="684"/>
      <c r="VMY6" s="684"/>
      <c r="VMZ6" s="684"/>
      <c r="VNA6" s="684"/>
      <c r="VNB6" s="684"/>
      <c r="VNC6" s="684"/>
      <c r="VND6" s="684"/>
      <c r="VNE6" s="684"/>
      <c r="VNF6" s="684"/>
      <c r="VNG6" s="684"/>
      <c r="VNH6" s="684"/>
      <c r="VNI6" s="684"/>
      <c r="VNJ6" s="684"/>
      <c r="VNK6" s="684"/>
      <c r="VNL6" s="684"/>
      <c r="VNM6" s="684"/>
      <c r="VNN6" s="684"/>
      <c r="VNO6" s="684"/>
      <c r="VNP6" s="684"/>
      <c r="VNQ6" s="684"/>
      <c r="VNR6" s="684"/>
      <c r="VNS6" s="684"/>
      <c r="VNT6" s="684"/>
      <c r="VNU6" s="684"/>
      <c r="VNV6" s="684"/>
      <c r="VNW6" s="684"/>
      <c r="VNX6" s="684"/>
      <c r="VNY6" s="684"/>
      <c r="VNZ6" s="684"/>
      <c r="VOA6" s="684"/>
      <c r="VOB6" s="684"/>
      <c r="VOC6" s="684"/>
      <c r="VOD6" s="684"/>
      <c r="VOE6" s="684"/>
      <c r="VOF6" s="684"/>
      <c r="VOG6" s="684"/>
      <c r="VOH6" s="684"/>
      <c r="VOI6" s="684"/>
      <c r="VOJ6" s="684"/>
      <c r="VOK6" s="684"/>
      <c r="VOL6" s="684"/>
      <c r="VOM6" s="684"/>
      <c r="VON6" s="684"/>
      <c r="VOO6" s="684"/>
      <c r="VOP6" s="684"/>
      <c r="VOQ6" s="684"/>
      <c r="VOR6" s="684"/>
      <c r="VOS6" s="684"/>
      <c r="VOT6" s="684"/>
      <c r="VOU6" s="684"/>
      <c r="VOV6" s="684"/>
      <c r="VOW6" s="684"/>
      <c r="VOX6" s="684"/>
      <c r="VOY6" s="684"/>
      <c r="VOZ6" s="684"/>
      <c r="VPA6" s="684"/>
      <c r="VPB6" s="684"/>
      <c r="VPC6" s="684"/>
      <c r="VPD6" s="684"/>
      <c r="VPE6" s="684"/>
      <c r="VPF6" s="684"/>
      <c r="VPG6" s="684"/>
      <c r="VPH6" s="684"/>
      <c r="VPI6" s="684"/>
      <c r="VPJ6" s="684"/>
      <c r="VPK6" s="684"/>
      <c r="VPL6" s="684"/>
      <c r="VPM6" s="684"/>
      <c r="VPN6" s="684"/>
      <c r="VPO6" s="684"/>
      <c r="VPP6" s="684"/>
      <c r="VPQ6" s="684"/>
      <c r="VPR6" s="684"/>
      <c r="VPS6" s="684"/>
      <c r="VPT6" s="684"/>
      <c r="VPU6" s="684"/>
      <c r="VPV6" s="684"/>
      <c r="VPW6" s="684"/>
      <c r="VPX6" s="684"/>
      <c r="VPY6" s="684"/>
      <c r="VPZ6" s="684"/>
      <c r="VQA6" s="684"/>
      <c r="VQB6" s="684"/>
      <c r="VQC6" s="684"/>
      <c r="VQD6" s="684"/>
      <c r="VQE6" s="684"/>
      <c r="VQF6" s="684"/>
      <c r="VQG6" s="684"/>
      <c r="VQH6" s="684"/>
      <c r="VQI6" s="684"/>
      <c r="VQJ6" s="684"/>
      <c r="VQK6" s="684"/>
      <c r="VQL6" s="684"/>
      <c r="VQM6" s="684"/>
      <c r="VQN6" s="684"/>
      <c r="VQO6" s="684"/>
      <c r="VQP6" s="684"/>
      <c r="VQQ6" s="684"/>
      <c r="VQR6" s="684"/>
      <c r="VQS6" s="684"/>
      <c r="VQT6" s="684"/>
      <c r="VQU6" s="684"/>
      <c r="VQV6" s="684"/>
      <c r="VQW6" s="684"/>
      <c r="VQX6" s="684"/>
      <c r="VQY6" s="684"/>
      <c r="VQZ6" s="684"/>
      <c r="VRA6" s="684"/>
      <c r="VRB6" s="684"/>
      <c r="VRC6" s="684"/>
      <c r="VRD6" s="684"/>
      <c r="VRE6" s="684"/>
      <c r="VRF6" s="684"/>
      <c r="VRG6" s="684"/>
      <c r="VRH6" s="684"/>
      <c r="VRI6" s="684"/>
      <c r="VRJ6" s="684"/>
      <c r="VRK6" s="684"/>
      <c r="VRL6" s="684"/>
      <c r="VRM6" s="684"/>
      <c r="VRN6" s="684"/>
      <c r="VRO6" s="684"/>
      <c r="VRP6" s="684"/>
      <c r="VRQ6" s="684"/>
      <c r="VRR6" s="684"/>
      <c r="VRS6" s="684"/>
      <c r="VRT6" s="684"/>
      <c r="VRU6" s="684"/>
      <c r="VRV6" s="684"/>
      <c r="VRW6" s="684"/>
      <c r="VRX6" s="684"/>
      <c r="VRY6" s="684"/>
      <c r="VRZ6" s="684"/>
      <c r="VSA6" s="684"/>
      <c r="VSB6" s="684"/>
      <c r="VSC6" s="684"/>
      <c r="VSD6" s="684"/>
      <c r="VSE6" s="684"/>
      <c r="VSF6" s="684"/>
      <c r="VSG6" s="684"/>
      <c r="VSH6" s="684"/>
      <c r="VSI6" s="684"/>
      <c r="VSJ6" s="684"/>
      <c r="VSK6" s="684"/>
      <c r="VSL6" s="684"/>
      <c r="VSM6" s="684"/>
      <c r="VSN6" s="684"/>
      <c r="VSO6" s="684"/>
      <c r="VSP6" s="684"/>
      <c r="VSQ6" s="684"/>
      <c r="VSR6" s="684"/>
      <c r="VSS6" s="684"/>
      <c r="VST6" s="684"/>
      <c r="VSU6" s="684"/>
      <c r="VSV6" s="684"/>
      <c r="VSW6" s="684"/>
      <c r="VSX6" s="684"/>
      <c r="VSY6" s="684"/>
      <c r="VSZ6" s="684"/>
      <c r="VTA6" s="684"/>
      <c r="VTB6" s="684"/>
      <c r="VTC6" s="684"/>
      <c r="VTD6" s="684"/>
      <c r="VTE6" s="684"/>
      <c r="VTF6" s="684"/>
      <c r="VTG6" s="684"/>
      <c r="VTH6" s="684"/>
      <c r="VTI6" s="684"/>
      <c r="VTJ6" s="684"/>
      <c r="VTK6" s="684"/>
      <c r="VTL6" s="684"/>
      <c r="VTM6" s="684"/>
      <c r="VTN6" s="684"/>
      <c r="VTO6" s="684"/>
      <c r="VTP6" s="684"/>
      <c r="VTQ6" s="684"/>
      <c r="VTR6" s="684"/>
      <c r="VTS6" s="684"/>
      <c r="VTT6" s="684"/>
      <c r="VTU6" s="684"/>
      <c r="VTV6" s="684"/>
      <c r="VTW6" s="684"/>
      <c r="VTX6" s="684"/>
      <c r="VTY6" s="684"/>
      <c r="VTZ6" s="684"/>
      <c r="VUA6" s="684"/>
      <c r="VUB6" s="684"/>
      <c r="VUC6" s="684"/>
      <c r="VUD6" s="684"/>
      <c r="VUE6" s="684"/>
      <c r="VUF6" s="684"/>
      <c r="VUG6" s="684"/>
      <c r="VUH6" s="684"/>
      <c r="VUI6" s="684"/>
      <c r="VUJ6" s="684"/>
      <c r="VUK6" s="684"/>
      <c r="VUL6" s="684"/>
      <c r="VUM6" s="684"/>
      <c r="VUN6" s="684"/>
      <c r="VUO6" s="684"/>
      <c r="VUP6" s="684"/>
      <c r="VUQ6" s="684"/>
      <c r="VUR6" s="684"/>
      <c r="VUS6" s="684"/>
      <c r="VUT6" s="684"/>
      <c r="VUU6" s="684"/>
      <c r="VUV6" s="684"/>
      <c r="VUW6" s="684"/>
      <c r="VUX6" s="684"/>
      <c r="VUY6" s="684"/>
      <c r="VUZ6" s="684"/>
      <c r="VVA6" s="684"/>
      <c r="VVB6" s="684"/>
      <c r="VVC6" s="684"/>
      <c r="VVD6" s="684"/>
      <c r="VVE6" s="684"/>
      <c r="VVF6" s="684"/>
      <c r="VVG6" s="684"/>
      <c r="VVH6" s="684"/>
      <c r="VVI6" s="684"/>
      <c r="VVJ6" s="684"/>
      <c r="VVK6" s="684"/>
      <c r="VVL6" s="684"/>
      <c r="VVM6" s="684"/>
      <c r="VVN6" s="684"/>
      <c r="VVO6" s="684"/>
      <c r="VVP6" s="684"/>
      <c r="VVQ6" s="684"/>
      <c r="VVR6" s="684"/>
      <c r="VVS6" s="684"/>
      <c r="VVT6" s="684"/>
      <c r="VVU6" s="684"/>
      <c r="VVV6" s="684"/>
      <c r="VVW6" s="684"/>
      <c r="VVX6" s="684"/>
      <c r="VVY6" s="684"/>
      <c r="VVZ6" s="684"/>
      <c r="VWA6" s="684"/>
      <c r="VWB6" s="684"/>
      <c r="VWC6" s="684"/>
      <c r="VWD6" s="684"/>
      <c r="VWE6" s="684"/>
      <c r="VWF6" s="684"/>
      <c r="VWG6" s="684"/>
      <c r="VWH6" s="684"/>
      <c r="VWI6" s="684"/>
      <c r="VWJ6" s="684"/>
      <c r="VWK6" s="684"/>
      <c r="VWL6" s="684"/>
      <c r="VWM6" s="684"/>
      <c r="VWN6" s="684"/>
      <c r="VWO6" s="684"/>
      <c r="VWP6" s="684"/>
      <c r="VWQ6" s="684"/>
      <c r="VWR6" s="684"/>
      <c r="VWS6" s="684"/>
      <c r="VWT6" s="684"/>
      <c r="VWU6" s="684"/>
      <c r="VWV6" s="684"/>
      <c r="VWW6" s="684"/>
      <c r="VWX6" s="684"/>
      <c r="VWY6" s="684"/>
      <c r="VWZ6" s="684"/>
      <c r="VXA6" s="684"/>
      <c r="VXB6" s="684"/>
      <c r="VXC6" s="684"/>
      <c r="VXD6" s="684"/>
      <c r="VXE6" s="684"/>
      <c r="VXF6" s="684"/>
      <c r="VXG6" s="684"/>
      <c r="VXH6" s="684"/>
      <c r="VXI6" s="684"/>
      <c r="VXJ6" s="684"/>
      <c r="VXK6" s="684"/>
      <c r="VXL6" s="684"/>
      <c r="VXM6" s="684"/>
      <c r="VXN6" s="684"/>
      <c r="VXO6" s="684"/>
      <c r="VXP6" s="684"/>
      <c r="VXQ6" s="684"/>
      <c r="VXR6" s="684"/>
      <c r="VXS6" s="684"/>
      <c r="VXT6" s="684"/>
      <c r="VXU6" s="684"/>
      <c r="VXV6" s="684"/>
      <c r="VXW6" s="684"/>
      <c r="VXX6" s="684"/>
      <c r="VXY6" s="684"/>
      <c r="VXZ6" s="684"/>
      <c r="VYA6" s="684"/>
      <c r="VYB6" s="684"/>
      <c r="VYC6" s="684"/>
      <c r="VYD6" s="684"/>
      <c r="VYE6" s="684"/>
      <c r="VYF6" s="684"/>
      <c r="VYG6" s="684"/>
      <c r="VYH6" s="684"/>
      <c r="VYI6" s="684"/>
      <c r="VYJ6" s="684"/>
      <c r="VYK6" s="684"/>
      <c r="VYL6" s="684"/>
      <c r="VYM6" s="684"/>
      <c r="VYN6" s="684"/>
      <c r="VYO6" s="684"/>
      <c r="VYP6" s="684"/>
      <c r="VYQ6" s="684"/>
      <c r="VYR6" s="684"/>
      <c r="VYS6" s="684"/>
      <c r="VYT6" s="684"/>
      <c r="VYU6" s="684"/>
      <c r="VYV6" s="684"/>
      <c r="VYW6" s="684"/>
      <c r="VYX6" s="684"/>
      <c r="VYY6" s="684"/>
      <c r="VYZ6" s="684"/>
      <c r="VZA6" s="684"/>
      <c r="VZB6" s="684"/>
      <c r="VZC6" s="684"/>
      <c r="VZD6" s="684"/>
      <c r="VZE6" s="684"/>
      <c r="VZF6" s="684"/>
      <c r="VZG6" s="684"/>
      <c r="VZH6" s="684"/>
      <c r="VZI6" s="684"/>
      <c r="VZJ6" s="684"/>
      <c r="VZK6" s="684"/>
      <c r="VZL6" s="684"/>
      <c r="VZM6" s="684"/>
      <c r="VZN6" s="684"/>
      <c r="VZO6" s="684"/>
      <c r="VZP6" s="684"/>
      <c r="VZQ6" s="684"/>
      <c r="VZR6" s="684"/>
      <c r="VZS6" s="684"/>
      <c r="VZT6" s="684"/>
      <c r="VZU6" s="684"/>
      <c r="VZV6" s="684"/>
      <c r="VZW6" s="684"/>
      <c r="VZX6" s="684"/>
      <c r="VZY6" s="684"/>
      <c r="VZZ6" s="684"/>
      <c r="WAA6" s="684"/>
      <c r="WAB6" s="684"/>
      <c r="WAC6" s="684"/>
      <c r="WAD6" s="684"/>
      <c r="WAE6" s="684"/>
      <c r="WAF6" s="684"/>
      <c r="WAG6" s="684"/>
      <c r="WAH6" s="684"/>
      <c r="WAI6" s="684"/>
      <c r="WAJ6" s="684"/>
      <c r="WAK6" s="684"/>
      <c r="WAL6" s="684"/>
      <c r="WAM6" s="684"/>
      <c r="WAN6" s="684"/>
      <c r="WAO6" s="684"/>
      <c r="WAP6" s="684"/>
      <c r="WAQ6" s="684"/>
      <c r="WAR6" s="684"/>
      <c r="WAS6" s="684"/>
      <c r="WAT6" s="684"/>
      <c r="WAU6" s="684"/>
      <c r="WAV6" s="684"/>
      <c r="WAW6" s="684"/>
      <c r="WAX6" s="684"/>
      <c r="WAY6" s="684"/>
      <c r="WAZ6" s="684"/>
      <c r="WBA6" s="684"/>
      <c r="WBB6" s="684"/>
      <c r="WBC6" s="684"/>
      <c r="WBD6" s="684"/>
      <c r="WBE6" s="684"/>
      <c r="WBF6" s="684"/>
      <c r="WBG6" s="684"/>
      <c r="WBH6" s="684"/>
      <c r="WBI6" s="684"/>
      <c r="WBJ6" s="684"/>
      <c r="WBK6" s="684"/>
      <c r="WBL6" s="684"/>
      <c r="WBM6" s="684"/>
      <c r="WBN6" s="684"/>
      <c r="WBO6" s="684"/>
      <c r="WBP6" s="684"/>
      <c r="WBQ6" s="684"/>
      <c r="WBR6" s="684"/>
      <c r="WBS6" s="684"/>
      <c r="WBT6" s="684"/>
      <c r="WBU6" s="684"/>
      <c r="WBV6" s="684"/>
      <c r="WBW6" s="684"/>
      <c r="WBX6" s="684"/>
      <c r="WBY6" s="684"/>
      <c r="WBZ6" s="684"/>
      <c r="WCA6" s="684"/>
      <c r="WCB6" s="684"/>
      <c r="WCC6" s="684"/>
      <c r="WCD6" s="684"/>
      <c r="WCE6" s="684"/>
      <c r="WCF6" s="684"/>
      <c r="WCG6" s="684"/>
      <c r="WCH6" s="684"/>
      <c r="WCI6" s="684"/>
      <c r="WCJ6" s="684"/>
      <c r="WCK6" s="684"/>
      <c r="WCL6" s="684"/>
      <c r="WCM6" s="684"/>
      <c r="WCN6" s="684"/>
      <c r="WCO6" s="684"/>
      <c r="WCP6" s="684"/>
      <c r="WCQ6" s="684"/>
      <c r="WCR6" s="684"/>
      <c r="WCS6" s="684"/>
      <c r="WCT6" s="684"/>
      <c r="WCU6" s="684"/>
      <c r="WCV6" s="684"/>
      <c r="WCW6" s="684"/>
      <c r="WCX6" s="684"/>
      <c r="WCY6" s="684"/>
      <c r="WCZ6" s="684"/>
      <c r="WDA6" s="684"/>
      <c r="WDB6" s="684"/>
      <c r="WDC6" s="684"/>
      <c r="WDD6" s="684"/>
      <c r="WDE6" s="684"/>
      <c r="WDF6" s="684"/>
      <c r="WDG6" s="684"/>
      <c r="WDH6" s="684"/>
      <c r="WDI6" s="684"/>
      <c r="WDJ6" s="684"/>
      <c r="WDK6" s="684"/>
      <c r="WDL6" s="684"/>
      <c r="WDM6" s="684"/>
      <c r="WDN6" s="684"/>
      <c r="WDO6" s="684"/>
      <c r="WDP6" s="684"/>
      <c r="WDQ6" s="684"/>
      <c r="WDR6" s="684"/>
      <c r="WDS6" s="684"/>
      <c r="WDT6" s="684"/>
      <c r="WDU6" s="684"/>
      <c r="WDV6" s="684"/>
      <c r="WDW6" s="684"/>
      <c r="WDX6" s="684"/>
      <c r="WDY6" s="684"/>
      <c r="WDZ6" s="684"/>
      <c r="WEA6" s="684"/>
      <c r="WEB6" s="684"/>
      <c r="WEC6" s="684"/>
      <c r="WED6" s="684"/>
      <c r="WEE6" s="684"/>
      <c r="WEF6" s="684"/>
      <c r="WEG6" s="684"/>
      <c r="WEH6" s="684"/>
      <c r="WEI6" s="684"/>
      <c r="WEJ6" s="684"/>
      <c r="WEK6" s="684"/>
      <c r="WEL6" s="684"/>
      <c r="WEM6" s="684"/>
      <c r="WEN6" s="684"/>
      <c r="WEO6" s="684"/>
      <c r="WEP6" s="684"/>
      <c r="WEQ6" s="684"/>
      <c r="WER6" s="684"/>
      <c r="WES6" s="684"/>
      <c r="WET6" s="684"/>
      <c r="WEU6" s="684"/>
      <c r="WEV6" s="684"/>
      <c r="WEW6" s="684"/>
      <c r="WEX6" s="684"/>
      <c r="WEY6" s="684"/>
      <c r="WEZ6" s="684"/>
      <c r="WFA6" s="684"/>
      <c r="WFB6" s="684"/>
      <c r="WFC6" s="684"/>
      <c r="WFD6" s="684"/>
      <c r="WFE6" s="684"/>
      <c r="WFF6" s="684"/>
      <c r="WFG6" s="684"/>
      <c r="WFH6" s="684"/>
      <c r="WFI6" s="684"/>
      <c r="WFJ6" s="684"/>
      <c r="WFK6" s="684"/>
      <c r="WFL6" s="684"/>
      <c r="WFM6" s="684"/>
      <c r="WFN6" s="684"/>
      <c r="WFO6" s="684"/>
      <c r="WFP6" s="684"/>
      <c r="WFQ6" s="684"/>
      <c r="WFR6" s="684"/>
      <c r="WFS6" s="684"/>
      <c r="WFT6" s="684"/>
      <c r="WFU6" s="684"/>
      <c r="WFV6" s="684"/>
      <c r="WFW6" s="684"/>
      <c r="WFX6" s="684"/>
      <c r="WFY6" s="684"/>
      <c r="WFZ6" s="684"/>
      <c r="WGA6" s="684"/>
      <c r="WGB6" s="684"/>
      <c r="WGC6" s="684"/>
      <c r="WGD6" s="684"/>
      <c r="WGE6" s="684"/>
      <c r="WGF6" s="684"/>
      <c r="WGG6" s="684"/>
      <c r="WGH6" s="684"/>
      <c r="WGI6" s="684"/>
      <c r="WGJ6" s="684"/>
      <c r="WGK6" s="684"/>
      <c r="WGL6" s="684"/>
      <c r="WGM6" s="684"/>
      <c r="WGN6" s="684"/>
      <c r="WGO6" s="684"/>
      <c r="WGP6" s="684"/>
      <c r="WGQ6" s="684"/>
      <c r="WGR6" s="684"/>
      <c r="WGS6" s="684"/>
      <c r="WGT6" s="684"/>
      <c r="WGU6" s="684"/>
      <c r="WGV6" s="684"/>
      <c r="WGW6" s="684"/>
      <c r="WGX6" s="684"/>
      <c r="WGY6" s="684"/>
      <c r="WGZ6" s="684"/>
      <c r="WHA6" s="684"/>
      <c r="WHB6" s="684"/>
      <c r="WHC6" s="684"/>
      <c r="WHD6" s="684"/>
      <c r="WHE6" s="684"/>
      <c r="WHF6" s="684"/>
      <c r="WHG6" s="684"/>
      <c r="WHH6" s="684"/>
      <c r="WHI6" s="684"/>
      <c r="WHJ6" s="684"/>
      <c r="WHK6" s="684"/>
      <c r="WHL6" s="684"/>
      <c r="WHM6" s="684"/>
      <c r="WHN6" s="684"/>
      <c r="WHO6" s="684"/>
      <c r="WHP6" s="684"/>
      <c r="WHQ6" s="684"/>
      <c r="WHR6" s="684"/>
      <c r="WHS6" s="684"/>
      <c r="WHT6" s="684"/>
      <c r="WHU6" s="684"/>
      <c r="WHV6" s="684"/>
      <c r="WHW6" s="684"/>
      <c r="WHX6" s="684"/>
      <c r="WHY6" s="684"/>
      <c r="WHZ6" s="684"/>
      <c r="WIA6" s="684"/>
      <c r="WIB6" s="684"/>
      <c r="WIC6" s="684"/>
      <c r="WID6" s="684"/>
      <c r="WIE6" s="684"/>
      <c r="WIF6" s="684"/>
      <c r="WIG6" s="684"/>
      <c r="WIH6" s="684"/>
      <c r="WII6" s="684"/>
      <c r="WIJ6" s="684"/>
      <c r="WIK6" s="684"/>
      <c r="WIL6" s="684"/>
      <c r="WIM6" s="684"/>
      <c r="WIN6" s="684"/>
      <c r="WIO6" s="684"/>
      <c r="WIP6" s="684"/>
      <c r="WIQ6" s="684"/>
      <c r="WIR6" s="684"/>
      <c r="WIS6" s="684"/>
      <c r="WIT6" s="684"/>
      <c r="WIU6" s="684"/>
      <c r="WIV6" s="684"/>
      <c r="WIW6" s="684"/>
      <c r="WIX6" s="684"/>
      <c r="WIY6" s="684"/>
      <c r="WIZ6" s="684"/>
      <c r="WJA6" s="684"/>
      <c r="WJB6" s="684"/>
      <c r="WJC6" s="684"/>
      <c r="WJD6" s="684"/>
      <c r="WJE6" s="684"/>
      <c r="WJF6" s="684"/>
      <c r="WJG6" s="684"/>
      <c r="WJH6" s="684"/>
      <c r="WJI6" s="684"/>
      <c r="WJJ6" s="684"/>
      <c r="WJK6" s="684"/>
      <c r="WJL6" s="684"/>
      <c r="WJM6" s="684"/>
      <c r="WJN6" s="684"/>
      <c r="WJO6" s="684"/>
      <c r="WJP6" s="684"/>
      <c r="WJQ6" s="684"/>
      <c r="WJR6" s="684"/>
      <c r="WJS6" s="684"/>
      <c r="WJT6" s="684"/>
      <c r="WJU6" s="684"/>
      <c r="WJV6" s="684"/>
      <c r="WJW6" s="684"/>
      <c r="WJX6" s="684"/>
      <c r="WJY6" s="684"/>
      <c r="WJZ6" s="684"/>
      <c r="WKA6" s="684"/>
      <c r="WKB6" s="684"/>
      <c r="WKC6" s="684"/>
      <c r="WKD6" s="684"/>
      <c r="WKE6" s="684"/>
      <c r="WKF6" s="684"/>
      <c r="WKG6" s="684"/>
      <c r="WKH6" s="684"/>
      <c r="WKI6" s="684"/>
      <c r="WKJ6" s="684"/>
      <c r="WKK6" s="684"/>
      <c r="WKL6" s="684"/>
      <c r="WKM6" s="684"/>
      <c r="WKN6" s="684"/>
      <c r="WKO6" s="684"/>
      <c r="WKP6" s="684"/>
      <c r="WKQ6" s="684"/>
      <c r="WKR6" s="684"/>
      <c r="WKS6" s="684"/>
      <c r="WKT6" s="684"/>
      <c r="WKU6" s="684"/>
      <c r="WKV6" s="684"/>
      <c r="WKW6" s="684"/>
      <c r="WKX6" s="684"/>
      <c r="WKY6" s="684"/>
      <c r="WKZ6" s="684"/>
      <c r="WLA6" s="684"/>
      <c r="WLB6" s="684"/>
      <c r="WLC6" s="684"/>
      <c r="WLD6" s="684"/>
      <c r="WLE6" s="684"/>
      <c r="WLF6" s="684"/>
      <c r="WLG6" s="684"/>
      <c r="WLH6" s="684"/>
      <c r="WLI6" s="684"/>
      <c r="WLJ6" s="684"/>
      <c r="WLK6" s="684"/>
      <c r="WLL6" s="684"/>
      <c r="WLM6" s="684"/>
      <c r="WLN6" s="684"/>
      <c r="WLO6" s="684"/>
      <c r="WLP6" s="684"/>
      <c r="WLQ6" s="684"/>
      <c r="WLR6" s="684"/>
      <c r="WLS6" s="684"/>
      <c r="WLT6" s="684"/>
      <c r="WLU6" s="684"/>
      <c r="WLV6" s="684"/>
      <c r="WLW6" s="684"/>
      <c r="WLX6" s="684"/>
      <c r="WLY6" s="684"/>
      <c r="WLZ6" s="684"/>
      <c r="WMA6" s="684"/>
      <c r="WMB6" s="684"/>
      <c r="WMC6" s="684"/>
      <c r="WMD6" s="684"/>
      <c r="WME6" s="684"/>
      <c r="WMF6" s="684"/>
      <c r="WMG6" s="684"/>
      <c r="WMH6" s="684"/>
      <c r="WMI6" s="684"/>
      <c r="WMJ6" s="684"/>
      <c r="WMK6" s="684"/>
      <c r="WML6" s="684"/>
      <c r="WMM6" s="684"/>
      <c r="WMN6" s="684"/>
      <c r="WMO6" s="684"/>
      <c r="WMP6" s="684"/>
      <c r="WMQ6" s="684"/>
      <c r="WMR6" s="684"/>
      <c r="WMS6" s="684"/>
      <c r="WMT6" s="684"/>
      <c r="WMU6" s="684"/>
      <c r="WMV6" s="684"/>
      <c r="WMW6" s="684"/>
      <c r="WMX6" s="684"/>
      <c r="WMY6" s="684"/>
      <c r="WMZ6" s="684"/>
      <c r="WNA6" s="684"/>
      <c r="WNB6" s="684"/>
      <c r="WNC6" s="684"/>
      <c r="WND6" s="684"/>
      <c r="WNE6" s="684"/>
      <c r="WNF6" s="684"/>
      <c r="WNG6" s="684"/>
      <c r="WNH6" s="684"/>
      <c r="WNI6" s="684"/>
      <c r="WNJ6" s="684"/>
      <c r="WNK6" s="684"/>
      <c r="WNL6" s="684"/>
      <c r="WNM6" s="684"/>
      <c r="WNN6" s="684"/>
      <c r="WNO6" s="684"/>
      <c r="WNP6" s="684"/>
      <c r="WNQ6" s="684"/>
      <c r="WNR6" s="684"/>
      <c r="WNS6" s="684"/>
      <c r="WNT6" s="684"/>
      <c r="WNU6" s="684"/>
      <c r="WNV6" s="684"/>
      <c r="WNW6" s="684"/>
      <c r="WNX6" s="684"/>
      <c r="WNY6" s="684"/>
      <c r="WNZ6" s="684"/>
      <c r="WOA6" s="684"/>
      <c r="WOB6" s="684"/>
      <c r="WOC6" s="684"/>
      <c r="WOD6" s="684"/>
      <c r="WOE6" s="684"/>
      <c r="WOF6" s="684"/>
      <c r="WOG6" s="684"/>
      <c r="WOH6" s="684"/>
      <c r="WOI6" s="684"/>
      <c r="WOJ6" s="684"/>
      <c r="WOK6" s="684"/>
      <c r="WOL6" s="684"/>
      <c r="WOM6" s="684"/>
      <c r="WON6" s="684"/>
      <c r="WOO6" s="684"/>
      <c r="WOP6" s="684"/>
      <c r="WOQ6" s="684"/>
      <c r="WOR6" s="684"/>
      <c r="WOS6" s="684"/>
      <c r="WOT6" s="684"/>
      <c r="WOU6" s="684"/>
      <c r="WOV6" s="684"/>
      <c r="WOW6" s="684"/>
      <c r="WOX6" s="684"/>
      <c r="WOY6" s="684"/>
      <c r="WOZ6" s="684"/>
      <c r="WPA6" s="684"/>
      <c r="WPB6" s="684"/>
      <c r="WPC6" s="684"/>
      <c r="WPD6" s="684"/>
      <c r="WPE6" s="684"/>
      <c r="WPF6" s="684"/>
      <c r="WPG6" s="684"/>
      <c r="WPH6" s="684"/>
      <c r="WPI6" s="684"/>
      <c r="WPJ6" s="684"/>
      <c r="WPK6" s="684"/>
      <c r="WPL6" s="684"/>
      <c r="WPM6" s="684"/>
      <c r="WPN6" s="684"/>
      <c r="WPO6" s="684"/>
      <c r="WPP6" s="684"/>
      <c r="WPQ6" s="684"/>
      <c r="WPR6" s="684"/>
      <c r="WPS6" s="684"/>
      <c r="WPT6" s="684"/>
      <c r="WPU6" s="684"/>
      <c r="WPV6" s="684"/>
      <c r="WPW6" s="684"/>
      <c r="WPX6" s="684"/>
      <c r="WPY6" s="684"/>
      <c r="WPZ6" s="684"/>
      <c r="WQA6" s="684"/>
      <c r="WQB6" s="684"/>
      <c r="WQC6" s="684"/>
      <c r="WQD6" s="684"/>
      <c r="WQE6" s="684"/>
      <c r="WQF6" s="684"/>
      <c r="WQG6" s="684"/>
      <c r="WQH6" s="684"/>
      <c r="WQI6" s="684"/>
      <c r="WQJ6" s="684"/>
      <c r="WQK6" s="684"/>
      <c r="WQL6" s="684"/>
      <c r="WQM6" s="684"/>
      <c r="WQN6" s="684"/>
      <c r="WQO6" s="684"/>
      <c r="WQP6" s="684"/>
      <c r="WQQ6" s="684"/>
      <c r="WQR6" s="684"/>
      <c r="WQS6" s="684"/>
      <c r="WQT6" s="684"/>
      <c r="WQU6" s="684"/>
      <c r="WQV6" s="684"/>
      <c r="WQW6" s="684"/>
      <c r="WQX6" s="684"/>
      <c r="WQY6" s="684"/>
      <c r="WQZ6" s="684"/>
      <c r="WRA6" s="684"/>
      <c r="WRB6" s="684"/>
      <c r="WRC6" s="684"/>
      <c r="WRD6" s="684"/>
      <c r="WRE6" s="684"/>
      <c r="WRF6" s="684"/>
      <c r="WRG6" s="684"/>
      <c r="WRH6" s="684"/>
      <c r="WRI6" s="684"/>
      <c r="WRJ6" s="684"/>
      <c r="WRK6" s="684"/>
      <c r="WRL6" s="684"/>
      <c r="WRM6" s="684"/>
      <c r="WRN6" s="684"/>
      <c r="WRO6" s="684"/>
      <c r="WRP6" s="684"/>
      <c r="WRQ6" s="684"/>
      <c r="WRR6" s="684"/>
      <c r="WRS6" s="684"/>
      <c r="WRT6" s="684"/>
      <c r="WRU6" s="684"/>
      <c r="WRV6" s="684"/>
      <c r="WRW6" s="684"/>
      <c r="WRX6" s="684"/>
      <c r="WRY6" s="684"/>
      <c r="WRZ6" s="684"/>
      <c r="WSA6" s="684"/>
      <c r="WSB6" s="684"/>
      <c r="WSC6" s="684"/>
      <c r="WSD6" s="684"/>
      <c r="WSE6" s="684"/>
      <c r="WSF6" s="684"/>
      <c r="WSG6" s="684"/>
      <c r="WSH6" s="684"/>
      <c r="WSI6" s="684"/>
      <c r="WSJ6" s="684"/>
      <c r="WSK6" s="684"/>
      <c r="WSL6" s="684"/>
      <c r="WSM6" s="684"/>
      <c r="WSN6" s="684"/>
      <c r="WSO6" s="684"/>
      <c r="WSP6" s="684"/>
      <c r="WSQ6" s="684"/>
      <c r="WSR6" s="684"/>
      <c r="WSS6" s="684"/>
      <c r="WST6" s="684"/>
      <c r="WSU6" s="684"/>
      <c r="WSV6" s="684"/>
      <c r="WSW6" s="684"/>
      <c r="WSX6" s="684"/>
      <c r="WSY6" s="684"/>
      <c r="WSZ6" s="684"/>
      <c r="WTA6" s="684"/>
      <c r="WTB6" s="684"/>
      <c r="WTC6" s="684"/>
      <c r="WTD6" s="684"/>
      <c r="WTE6" s="684"/>
      <c r="WTF6" s="684"/>
      <c r="WTG6" s="684"/>
      <c r="WTH6" s="684"/>
      <c r="WTI6" s="684"/>
      <c r="WTJ6" s="684"/>
      <c r="WTK6" s="684"/>
      <c r="WTL6" s="684"/>
      <c r="WTM6" s="684"/>
      <c r="WTN6" s="684"/>
      <c r="WTO6" s="684"/>
      <c r="WTP6" s="684"/>
      <c r="WTQ6" s="684"/>
      <c r="WTR6" s="684"/>
      <c r="WTS6" s="684"/>
      <c r="WTT6" s="684"/>
      <c r="WTU6" s="684"/>
      <c r="WTV6" s="684"/>
      <c r="WTW6" s="684"/>
      <c r="WTX6" s="684"/>
      <c r="WTY6" s="684"/>
      <c r="WTZ6" s="684"/>
      <c r="WUA6" s="684"/>
      <c r="WUB6" s="684"/>
      <c r="WUC6" s="684"/>
      <c r="WUD6" s="684"/>
      <c r="WUE6" s="684"/>
      <c r="WUF6" s="684"/>
      <c r="WUG6" s="684"/>
      <c r="WUH6" s="684"/>
      <c r="WUI6" s="684"/>
      <c r="WUJ6" s="684"/>
      <c r="WUK6" s="684"/>
      <c r="WUL6" s="684"/>
      <c r="WUM6" s="684"/>
      <c r="WUN6" s="684"/>
      <c r="WUO6" s="684"/>
      <c r="WUP6" s="684"/>
      <c r="WUQ6" s="684"/>
      <c r="WUR6" s="684"/>
      <c r="WUS6" s="684"/>
      <c r="WUT6" s="684"/>
      <c r="WUU6" s="684"/>
      <c r="WUV6" s="684"/>
      <c r="WUW6" s="684"/>
      <c r="WUX6" s="684"/>
      <c r="WUY6" s="684"/>
      <c r="WUZ6" s="684"/>
      <c r="WVA6" s="684"/>
      <c r="WVB6" s="684"/>
      <c r="WVC6" s="684"/>
      <c r="WVD6" s="684"/>
      <c r="WVE6" s="684"/>
      <c r="WVF6" s="684"/>
      <c r="WVG6" s="684"/>
      <c r="WVH6" s="684"/>
      <c r="WVI6" s="684"/>
      <c r="WVJ6" s="684"/>
      <c r="WVK6" s="684"/>
      <c r="WVL6" s="684"/>
      <c r="WVM6" s="684"/>
      <c r="WVN6" s="684"/>
      <c r="WVO6" s="684"/>
      <c r="WVP6" s="684"/>
      <c r="WVQ6" s="684"/>
      <c r="WVR6" s="684"/>
      <c r="WVS6" s="684"/>
      <c r="WVT6" s="684"/>
      <c r="WVU6" s="684"/>
      <c r="WVV6" s="684"/>
      <c r="WVW6" s="684"/>
      <c r="WVX6" s="684"/>
      <c r="WVY6" s="684"/>
      <c r="WVZ6" s="684"/>
      <c r="WWA6" s="684"/>
      <c r="WWB6" s="684"/>
      <c r="WWC6" s="684"/>
      <c r="WWD6" s="684"/>
      <c r="WWE6" s="684"/>
      <c r="WWF6" s="684"/>
      <c r="WWG6" s="684"/>
      <c r="WWH6" s="684"/>
      <c r="WWI6" s="684"/>
      <c r="WWJ6" s="684"/>
      <c r="WWK6" s="684"/>
      <c r="WWL6" s="684"/>
      <c r="WWM6" s="684"/>
      <c r="WWN6" s="684"/>
      <c r="WWO6" s="684"/>
      <c r="WWP6" s="684"/>
      <c r="WWQ6" s="684"/>
      <c r="WWR6" s="684"/>
      <c r="WWS6" s="684"/>
      <c r="WWT6" s="684"/>
      <c r="WWU6" s="684"/>
      <c r="WWV6" s="684"/>
      <c r="WWW6" s="684"/>
      <c r="WWX6" s="684"/>
      <c r="WWY6" s="684"/>
      <c r="WWZ6" s="684"/>
      <c r="WXA6" s="684"/>
      <c r="WXB6" s="684"/>
      <c r="WXC6" s="684"/>
      <c r="WXD6" s="684"/>
      <c r="WXE6" s="684"/>
      <c r="WXF6" s="684"/>
      <c r="WXG6" s="684"/>
      <c r="WXH6" s="684"/>
      <c r="WXI6" s="684"/>
      <c r="WXJ6" s="684"/>
      <c r="WXK6" s="684"/>
      <c r="WXL6" s="684"/>
      <c r="WXM6" s="684"/>
      <c r="WXN6" s="684"/>
      <c r="WXO6" s="684"/>
      <c r="WXP6" s="684"/>
      <c r="WXQ6" s="684"/>
      <c r="WXR6" s="684"/>
      <c r="WXS6" s="684"/>
      <c r="WXT6" s="684"/>
      <c r="WXU6" s="684"/>
      <c r="WXV6" s="684"/>
      <c r="WXW6" s="684"/>
      <c r="WXX6" s="684"/>
      <c r="WXY6" s="684"/>
      <c r="WXZ6" s="684"/>
      <c r="WYA6" s="684"/>
      <c r="WYB6" s="684"/>
      <c r="WYC6" s="684"/>
      <c r="WYD6" s="684"/>
      <c r="WYE6" s="684"/>
      <c r="WYF6" s="684"/>
      <c r="WYG6" s="684"/>
      <c r="WYH6" s="684"/>
      <c r="WYI6" s="684"/>
      <c r="WYJ6" s="684"/>
      <c r="WYK6" s="684"/>
      <c r="WYL6" s="684"/>
      <c r="WYM6" s="684"/>
      <c r="WYN6" s="684"/>
      <c r="WYO6" s="684"/>
      <c r="WYP6" s="684"/>
      <c r="WYQ6" s="684"/>
      <c r="WYR6" s="684"/>
      <c r="WYS6" s="684"/>
      <c r="WYT6" s="684"/>
      <c r="WYU6" s="684"/>
      <c r="WYV6" s="684"/>
      <c r="WYW6" s="684"/>
      <c r="WYX6" s="684"/>
      <c r="WYY6" s="684"/>
      <c r="WYZ6" s="684"/>
      <c r="WZA6" s="684"/>
      <c r="WZB6" s="684"/>
      <c r="WZC6" s="684"/>
      <c r="WZD6" s="684"/>
      <c r="WZE6" s="684"/>
      <c r="WZF6" s="684"/>
      <c r="WZG6" s="684"/>
      <c r="WZH6" s="684"/>
      <c r="WZI6" s="684"/>
      <c r="WZJ6" s="684"/>
      <c r="WZK6" s="684"/>
      <c r="WZL6" s="684"/>
      <c r="WZM6" s="684"/>
      <c r="WZN6" s="684"/>
      <c r="WZO6" s="684"/>
      <c r="WZP6" s="684"/>
      <c r="WZQ6" s="684"/>
      <c r="WZR6" s="684"/>
      <c r="WZS6" s="684"/>
      <c r="WZT6" s="684"/>
      <c r="WZU6" s="684"/>
      <c r="WZV6" s="684"/>
      <c r="WZW6" s="684"/>
      <c r="WZX6" s="684"/>
      <c r="WZY6" s="684"/>
      <c r="WZZ6" s="684"/>
      <c r="XAA6" s="684"/>
      <c r="XAB6" s="684"/>
      <c r="XAC6" s="684"/>
      <c r="XAD6" s="684"/>
      <c r="XAE6" s="684"/>
      <c r="XAF6" s="684"/>
      <c r="XAG6" s="684"/>
      <c r="XAH6" s="684"/>
      <c r="XAI6" s="684"/>
      <c r="XAJ6" s="684"/>
      <c r="XAK6" s="684"/>
      <c r="XAL6" s="684"/>
      <c r="XAM6" s="684"/>
      <c r="XAN6" s="684"/>
      <c r="XAO6" s="684"/>
      <c r="XAP6" s="684"/>
      <c r="XAQ6" s="684"/>
      <c r="XAR6" s="684"/>
      <c r="XAS6" s="684"/>
      <c r="XAT6" s="684"/>
      <c r="XAU6" s="684"/>
      <c r="XAV6" s="684"/>
      <c r="XAW6" s="684"/>
      <c r="XAX6" s="684"/>
      <c r="XAY6" s="684"/>
      <c r="XAZ6" s="684"/>
      <c r="XBA6" s="684"/>
      <c r="XBB6" s="684"/>
      <c r="XBC6" s="684"/>
      <c r="XBD6" s="684"/>
      <c r="XBE6" s="684"/>
      <c r="XBF6" s="684"/>
      <c r="XBG6" s="684"/>
      <c r="XBH6" s="684"/>
      <c r="XBI6" s="684"/>
      <c r="XBJ6" s="684"/>
      <c r="XBK6" s="684"/>
      <c r="XBL6" s="684"/>
      <c r="XBM6" s="684"/>
      <c r="XBN6" s="684"/>
      <c r="XBO6" s="684"/>
      <c r="XBP6" s="684"/>
      <c r="XBQ6" s="684"/>
      <c r="XBR6" s="684"/>
      <c r="XBS6" s="684"/>
      <c r="XBT6" s="684"/>
      <c r="XBU6" s="684"/>
      <c r="XBV6" s="684"/>
      <c r="XBW6" s="684"/>
      <c r="XBX6" s="684"/>
      <c r="XBY6" s="684"/>
      <c r="XBZ6" s="684"/>
      <c r="XCA6" s="684"/>
      <c r="XCB6" s="684"/>
      <c r="XCC6" s="684"/>
      <c r="XCD6" s="684"/>
      <c r="XCE6" s="684"/>
      <c r="XCF6" s="684"/>
      <c r="XCG6" s="684"/>
      <c r="XCH6" s="684"/>
      <c r="XCI6" s="684"/>
      <c r="XCJ6" s="684"/>
      <c r="XCK6" s="684"/>
      <c r="XCL6" s="684"/>
      <c r="XCM6" s="684"/>
      <c r="XCN6" s="684"/>
      <c r="XCO6" s="684"/>
      <c r="XCP6" s="684"/>
      <c r="XCQ6" s="684"/>
      <c r="XCR6" s="684"/>
      <c r="XCS6" s="684"/>
      <c r="XCT6" s="684"/>
      <c r="XCU6" s="684"/>
      <c r="XCV6" s="684"/>
      <c r="XCW6" s="684"/>
      <c r="XCX6" s="684"/>
      <c r="XCY6" s="684"/>
      <c r="XCZ6" s="684"/>
      <c r="XDA6" s="684"/>
      <c r="XDB6" s="684"/>
      <c r="XDC6" s="684"/>
      <c r="XDD6" s="684"/>
      <c r="XDE6" s="684"/>
      <c r="XDF6" s="684"/>
      <c r="XDG6" s="684"/>
      <c r="XDH6" s="684"/>
      <c r="XDI6" s="684"/>
      <c r="XDJ6" s="684"/>
      <c r="XDK6" s="684"/>
      <c r="XDL6" s="684"/>
      <c r="XDM6" s="684"/>
      <c r="XDN6" s="684"/>
      <c r="XDO6" s="684"/>
      <c r="XDP6" s="684"/>
      <c r="XDQ6" s="684"/>
      <c r="XDR6" s="684"/>
      <c r="XDS6" s="684"/>
      <c r="XDT6" s="684"/>
      <c r="XDU6" s="684"/>
      <c r="XDV6" s="684"/>
      <c r="XDW6" s="684"/>
      <c r="XDX6" s="684"/>
      <c r="XDY6" s="684"/>
      <c r="XDZ6" s="684"/>
      <c r="XEA6" s="684"/>
      <c r="XEB6" s="684"/>
      <c r="XEC6" s="684"/>
      <c r="XED6" s="684"/>
      <c r="XEE6" s="684"/>
      <c r="XEF6" s="684"/>
      <c r="XEG6" s="684"/>
      <c r="XEH6" s="684"/>
      <c r="XEI6" s="684"/>
      <c r="XEJ6" s="684"/>
      <c r="XEK6" s="684"/>
      <c r="XEL6" s="684"/>
      <c r="XEM6" s="684"/>
      <c r="XEN6" s="684"/>
      <c r="XEO6" s="684"/>
      <c r="XEP6" s="684"/>
      <c r="XEQ6" s="684"/>
      <c r="XER6" s="684"/>
      <c r="XES6" s="684"/>
      <c r="XET6" s="684"/>
      <c r="XEU6" s="684"/>
      <c r="XEV6" s="684"/>
      <c r="XEW6" s="684"/>
      <c r="XEX6" s="684"/>
      <c r="XEY6" s="684"/>
      <c r="XEZ6" s="684"/>
      <c r="XFA6" s="684"/>
      <c r="XFB6" s="684"/>
      <c r="XFC6" s="684"/>
      <c r="XFD6" s="684"/>
    </row>
    <row r="7" spans="1:16384" s="7" customFormat="1" ht="18" customHeight="1" x14ac:dyDescent="0.25">
      <c r="B7" s="887" t="s">
        <v>8</v>
      </c>
      <c r="C7" s="888"/>
      <c r="D7" s="888"/>
      <c r="E7" s="888"/>
      <c r="F7" s="888"/>
      <c r="G7" s="888"/>
      <c r="H7" s="888"/>
      <c r="I7" s="888"/>
      <c r="J7" s="889"/>
      <c r="K7" s="878" t="s">
        <v>279</v>
      </c>
      <c r="L7" s="879"/>
      <c r="M7" s="879"/>
      <c r="N7" s="879"/>
      <c r="O7" s="879"/>
      <c r="P7" s="879"/>
      <c r="Q7" s="879"/>
      <c r="R7" s="879"/>
      <c r="S7" s="880"/>
    </row>
    <row r="8" spans="1:16384" s="2" customFormat="1" ht="111.75" customHeight="1" thickBot="1" x14ac:dyDescent="0.25">
      <c r="B8" s="135" t="s">
        <v>0</v>
      </c>
      <c r="C8" s="136" t="s">
        <v>6</v>
      </c>
      <c r="D8" s="136" t="s">
        <v>5</v>
      </c>
      <c r="E8" s="136" t="s">
        <v>7</v>
      </c>
      <c r="F8" s="136" t="s">
        <v>9</v>
      </c>
      <c r="G8" s="137" t="s">
        <v>615</v>
      </c>
      <c r="H8" s="136" t="s">
        <v>3</v>
      </c>
      <c r="I8" s="136" t="s">
        <v>18</v>
      </c>
      <c r="J8" s="314" t="s">
        <v>1</v>
      </c>
      <c r="K8" s="138" t="s">
        <v>244</v>
      </c>
      <c r="L8" s="139" t="s">
        <v>190</v>
      </c>
      <c r="M8" s="140" t="s">
        <v>183</v>
      </c>
      <c r="N8" s="140" t="s">
        <v>184</v>
      </c>
      <c r="O8" s="140" t="s">
        <v>185</v>
      </c>
      <c r="P8" s="140" t="s">
        <v>186</v>
      </c>
      <c r="Q8" s="141" t="s">
        <v>187</v>
      </c>
      <c r="R8" s="141" t="s">
        <v>188</v>
      </c>
      <c r="S8" s="142" t="s">
        <v>189</v>
      </c>
    </row>
    <row r="9" spans="1:16384" s="2" customFormat="1" ht="13.5" thickBot="1" x14ac:dyDescent="0.25">
      <c r="B9" s="881" t="s">
        <v>179</v>
      </c>
      <c r="C9" s="882"/>
      <c r="D9" s="882"/>
      <c r="E9" s="882"/>
      <c r="F9" s="882"/>
      <c r="G9" s="882"/>
      <c r="H9" s="882"/>
      <c r="I9" s="882"/>
      <c r="J9" s="882"/>
      <c r="K9" s="882"/>
      <c r="L9" s="882"/>
      <c r="M9" s="882"/>
      <c r="N9" s="882"/>
      <c r="O9" s="882"/>
      <c r="P9" s="882"/>
      <c r="Q9" s="882"/>
      <c r="R9" s="882"/>
      <c r="S9" s="883"/>
    </row>
    <row r="10" spans="1:16384" s="2" customFormat="1" ht="15" customHeight="1" x14ac:dyDescent="0.2">
      <c r="B10" s="884" t="s">
        <v>16</v>
      </c>
      <c r="C10" s="885"/>
      <c r="D10" s="885"/>
      <c r="E10" s="885"/>
      <c r="F10" s="885"/>
      <c r="G10" s="885"/>
      <c r="H10" s="885"/>
      <c r="I10" s="885"/>
      <c r="J10" s="885"/>
      <c r="K10" s="885"/>
      <c r="L10" s="885"/>
      <c r="M10" s="885"/>
      <c r="N10" s="885"/>
      <c r="O10" s="885"/>
      <c r="P10" s="885"/>
      <c r="Q10" s="885"/>
      <c r="R10" s="885"/>
      <c r="S10" s="886"/>
    </row>
    <row r="11" spans="1:16384" ht="15.75" customHeight="1" x14ac:dyDescent="0.2">
      <c r="B11" s="873" t="s">
        <v>17</v>
      </c>
      <c r="C11" s="874"/>
      <c r="D11" s="11"/>
      <c r="E11" s="11"/>
      <c r="F11" s="11"/>
      <c r="G11" s="11"/>
      <c r="H11" s="11"/>
      <c r="I11" s="11"/>
      <c r="J11" s="204"/>
      <c r="K11" s="96"/>
      <c r="L11" s="11"/>
      <c r="M11" s="11"/>
      <c r="N11" s="11"/>
      <c r="O11" s="11"/>
      <c r="P11" s="11"/>
      <c r="Q11" s="11"/>
      <c r="R11" s="11"/>
      <c r="S11" s="85"/>
    </row>
    <row r="12" spans="1:16384" hidden="1" x14ac:dyDescent="0.2">
      <c r="B12" s="86" t="s">
        <v>19</v>
      </c>
      <c r="C12" s="22" t="s">
        <v>13</v>
      </c>
      <c r="D12" s="23" t="s">
        <v>14</v>
      </c>
      <c r="E12" s="23">
        <v>10</v>
      </c>
      <c r="F12" s="23">
        <v>3</v>
      </c>
      <c r="G12" s="24">
        <v>1287</v>
      </c>
      <c r="H12" s="25">
        <v>1085</v>
      </c>
      <c r="I12" s="26">
        <v>506</v>
      </c>
      <c r="J12" s="315"/>
      <c r="K12" s="97">
        <f>H12*1.2</f>
        <v>1302</v>
      </c>
      <c r="L12" s="59">
        <f t="shared" ref="L12:L22" si="0">IF(K12&lt;=G12,K12,G12)</f>
        <v>1287</v>
      </c>
      <c r="M12" s="87">
        <f t="shared" ref="M12:M22" si="1">N12-I12</f>
        <v>94.204608294930836</v>
      </c>
      <c r="N12" s="67">
        <f t="shared" ref="N12:N22" si="2">I12/H12*L12</f>
        <v>600.20460829493084</v>
      </c>
      <c r="O12" s="59">
        <f t="shared" ref="O12:O22" si="3">L12-H12+M12</f>
        <v>296.20460829493084</v>
      </c>
      <c r="P12" s="67">
        <f t="shared" ref="P12:P22" si="4">O12*J12</f>
        <v>0</v>
      </c>
      <c r="Q12" s="68">
        <f t="shared" ref="Q12:Q22" si="5">P12*12</f>
        <v>0</v>
      </c>
      <c r="R12" s="68">
        <f t="shared" ref="R12:R22" si="6">Q12*0.2409</f>
        <v>0</v>
      </c>
      <c r="S12" s="69">
        <f t="shared" ref="S12:S22" si="7">Q12+R12</f>
        <v>0</v>
      </c>
    </row>
    <row r="13" spans="1:16384" ht="13.5" customHeight="1" x14ac:dyDescent="0.2">
      <c r="B13" s="88" t="s">
        <v>12</v>
      </c>
      <c r="C13" s="12" t="s">
        <v>13</v>
      </c>
      <c r="D13" s="13" t="s">
        <v>15</v>
      </c>
      <c r="E13" s="13">
        <v>8</v>
      </c>
      <c r="F13" s="13">
        <v>3</v>
      </c>
      <c r="G13" s="14">
        <v>1093</v>
      </c>
      <c r="H13" s="15">
        <v>982</v>
      </c>
      <c r="I13" s="3">
        <v>563</v>
      </c>
      <c r="J13" s="316">
        <v>1</v>
      </c>
      <c r="K13" s="97">
        <f t="shared" ref="K13:K16" si="8">H13*1.2</f>
        <v>1178.3999999999999</v>
      </c>
      <c r="L13" s="59">
        <f t="shared" si="0"/>
        <v>1093</v>
      </c>
      <c r="M13" s="87">
        <f t="shared" si="1"/>
        <v>63.63849287169046</v>
      </c>
      <c r="N13" s="67">
        <f t="shared" si="2"/>
        <v>626.63849287169046</v>
      </c>
      <c r="O13" s="59">
        <f t="shared" si="3"/>
        <v>174.63849287169046</v>
      </c>
      <c r="P13" s="67">
        <f t="shared" si="4"/>
        <v>174.63849287169046</v>
      </c>
      <c r="Q13" s="68">
        <f t="shared" si="5"/>
        <v>2095.6619144602855</v>
      </c>
      <c r="R13" s="68">
        <f t="shared" si="6"/>
        <v>504.8449551934828</v>
      </c>
      <c r="S13" s="69">
        <f t="shared" si="7"/>
        <v>2600.5068696537683</v>
      </c>
    </row>
    <row r="14" spans="1:16384" ht="13.5" customHeight="1" x14ac:dyDescent="0.2">
      <c r="B14" s="88" t="s">
        <v>12</v>
      </c>
      <c r="C14" s="12" t="s">
        <v>13</v>
      </c>
      <c r="D14" s="13" t="s">
        <v>15</v>
      </c>
      <c r="E14" s="13">
        <v>8</v>
      </c>
      <c r="F14" s="13">
        <v>3</v>
      </c>
      <c r="G14" s="14">
        <v>1093</v>
      </c>
      <c r="H14" s="15">
        <v>982</v>
      </c>
      <c r="I14" s="3">
        <v>533</v>
      </c>
      <c r="J14" s="316">
        <v>1</v>
      </c>
      <c r="K14" s="97">
        <f t="shared" si="8"/>
        <v>1178.3999999999999</v>
      </c>
      <c r="L14" s="59">
        <f t="shared" si="0"/>
        <v>1093</v>
      </c>
      <c r="M14" s="87">
        <f t="shared" si="1"/>
        <v>60.247454175152711</v>
      </c>
      <c r="N14" s="67">
        <f t="shared" si="2"/>
        <v>593.24745417515271</v>
      </c>
      <c r="O14" s="59">
        <f t="shared" si="3"/>
        <v>171.24745417515271</v>
      </c>
      <c r="P14" s="67">
        <f t="shared" si="4"/>
        <v>171.24745417515271</v>
      </c>
      <c r="Q14" s="68">
        <f t="shared" si="5"/>
        <v>2054.9694501018325</v>
      </c>
      <c r="R14" s="68">
        <f t="shared" si="6"/>
        <v>495.04214052953148</v>
      </c>
      <c r="S14" s="69">
        <f t="shared" si="7"/>
        <v>2550.011590631364</v>
      </c>
    </row>
    <row r="15" spans="1:16384" x14ac:dyDescent="0.2">
      <c r="B15" s="88" t="s">
        <v>12</v>
      </c>
      <c r="C15" s="12" t="s">
        <v>13</v>
      </c>
      <c r="D15" s="13" t="s">
        <v>15</v>
      </c>
      <c r="E15" s="13">
        <v>8</v>
      </c>
      <c r="F15" s="13">
        <v>3</v>
      </c>
      <c r="G15" s="14">
        <v>1093</v>
      </c>
      <c r="H15" s="15">
        <v>982</v>
      </c>
      <c r="I15" s="3">
        <v>501</v>
      </c>
      <c r="J15" s="316">
        <v>1</v>
      </c>
      <c r="K15" s="97">
        <f t="shared" si="8"/>
        <v>1178.3999999999999</v>
      </c>
      <c r="L15" s="59">
        <f t="shared" si="0"/>
        <v>1093</v>
      </c>
      <c r="M15" s="87">
        <f t="shared" si="1"/>
        <v>56.630346232179249</v>
      </c>
      <c r="N15" s="67">
        <f t="shared" si="2"/>
        <v>557.63034623217925</v>
      </c>
      <c r="O15" s="59">
        <f t="shared" si="3"/>
        <v>167.63034623217925</v>
      </c>
      <c r="P15" s="67">
        <f t="shared" si="4"/>
        <v>167.63034623217925</v>
      </c>
      <c r="Q15" s="68">
        <f t="shared" si="5"/>
        <v>2011.564154786151</v>
      </c>
      <c r="R15" s="68">
        <f t="shared" si="6"/>
        <v>484.58580488798378</v>
      </c>
      <c r="S15" s="69">
        <f t="shared" si="7"/>
        <v>2496.1499596741346</v>
      </c>
    </row>
    <row r="16" spans="1:16384" x14ac:dyDescent="0.2">
      <c r="B16" s="88" t="s">
        <v>12</v>
      </c>
      <c r="C16" s="12" t="s">
        <v>13</v>
      </c>
      <c r="D16" s="13" t="s">
        <v>15</v>
      </c>
      <c r="E16" s="13">
        <v>8</v>
      </c>
      <c r="F16" s="13">
        <v>3</v>
      </c>
      <c r="G16" s="14">
        <v>1093</v>
      </c>
      <c r="H16" s="15">
        <v>982</v>
      </c>
      <c r="I16" s="3">
        <v>507</v>
      </c>
      <c r="J16" s="316">
        <v>1</v>
      </c>
      <c r="K16" s="97">
        <f t="shared" si="8"/>
        <v>1178.3999999999999</v>
      </c>
      <c r="L16" s="59">
        <f t="shared" si="0"/>
        <v>1093</v>
      </c>
      <c r="M16" s="87">
        <f t="shared" si="1"/>
        <v>57.308553971486845</v>
      </c>
      <c r="N16" s="67">
        <f t="shared" si="2"/>
        <v>564.30855397148684</v>
      </c>
      <c r="O16" s="59">
        <f t="shared" si="3"/>
        <v>168.30855397148684</v>
      </c>
      <c r="P16" s="67">
        <f t="shared" si="4"/>
        <v>168.30855397148684</v>
      </c>
      <c r="Q16" s="68">
        <f t="shared" si="5"/>
        <v>2019.7026476578421</v>
      </c>
      <c r="R16" s="68">
        <f t="shared" si="6"/>
        <v>486.54636782077415</v>
      </c>
      <c r="S16" s="69">
        <f t="shared" si="7"/>
        <v>2506.2490154786165</v>
      </c>
    </row>
    <row r="17" spans="2:19" ht="12.75" hidden="1" customHeight="1" x14ac:dyDescent="0.2">
      <c r="B17" s="88"/>
      <c r="C17" s="5"/>
      <c r="D17" s="3"/>
      <c r="E17" s="3"/>
      <c r="F17" s="3"/>
      <c r="G17" s="4"/>
      <c r="H17" s="3"/>
      <c r="I17" s="3"/>
      <c r="J17" s="316"/>
      <c r="K17" s="97">
        <f t="shared" ref="K17:K22" si="9">H17*1.27</f>
        <v>0</v>
      </c>
      <c r="L17" s="59">
        <f t="shared" si="0"/>
        <v>0</v>
      </c>
      <c r="M17" s="87" t="e">
        <f t="shared" si="1"/>
        <v>#DIV/0!</v>
      </c>
      <c r="N17" s="67" t="e">
        <f t="shared" si="2"/>
        <v>#DIV/0!</v>
      </c>
      <c r="O17" s="59" t="e">
        <f t="shared" si="3"/>
        <v>#DIV/0!</v>
      </c>
      <c r="P17" s="67" t="e">
        <f t="shared" si="4"/>
        <v>#DIV/0!</v>
      </c>
      <c r="Q17" s="68" t="e">
        <f t="shared" si="5"/>
        <v>#DIV/0!</v>
      </c>
      <c r="R17" s="68" t="e">
        <f t="shared" si="6"/>
        <v>#DIV/0!</v>
      </c>
      <c r="S17" s="69" t="e">
        <f t="shared" si="7"/>
        <v>#DIV/0!</v>
      </c>
    </row>
    <row r="18" spans="2:19" ht="25.5" hidden="1" customHeight="1" x14ac:dyDescent="0.2">
      <c r="B18" s="89" t="s">
        <v>10</v>
      </c>
      <c r="C18" s="10"/>
      <c r="D18" s="11"/>
      <c r="E18" s="11"/>
      <c r="F18" s="11"/>
      <c r="G18" s="11"/>
      <c r="H18" s="11"/>
      <c r="I18" s="11"/>
      <c r="J18" s="204">
        <f>SUM(J19:J20)</f>
        <v>0</v>
      </c>
      <c r="K18" s="97">
        <f t="shared" si="9"/>
        <v>0</v>
      </c>
      <c r="L18" s="59">
        <f t="shared" si="0"/>
        <v>0</v>
      </c>
      <c r="M18" s="87" t="e">
        <f t="shared" si="1"/>
        <v>#DIV/0!</v>
      </c>
      <c r="N18" s="67" t="e">
        <f t="shared" si="2"/>
        <v>#DIV/0!</v>
      </c>
      <c r="O18" s="59" t="e">
        <f t="shared" si="3"/>
        <v>#DIV/0!</v>
      </c>
      <c r="P18" s="67" t="e">
        <f t="shared" si="4"/>
        <v>#DIV/0!</v>
      </c>
      <c r="Q18" s="68" t="e">
        <f t="shared" si="5"/>
        <v>#DIV/0!</v>
      </c>
      <c r="R18" s="68" t="e">
        <f t="shared" si="6"/>
        <v>#DIV/0!</v>
      </c>
      <c r="S18" s="69" t="e">
        <f t="shared" si="7"/>
        <v>#DIV/0!</v>
      </c>
    </row>
    <row r="19" spans="2:19" ht="12.75" hidden="1" customHeight="1" x14ac:dyDescent="0.2">
      <c r="B19" s="90"/>
      <c r="C19" s="6"/>
      <c r="D19" s="3"/>
      <c r="E19" s="3"/>
      <c r="F19" s="3"/>
      <c r="G19" s="4"/>
      <c r="H19" s="3"/>
      <c r="I19" s="3"/>
      <c r="J19" s="316"/>
      <c r="K19" s="97">
        <f t="shared" si="9"/>
        <v>0</v>
      </c>
      <c r="L19" s="59">
        <f t="shared" si="0"/>
        <v>0</v>
      </c>
      <c r="M19" s="87" t="e">
        <f t="shared" si="1"/>
        <v>#DIV/0!</v>
      </c>
      <c r="N19" s="67" t="e">
        <f t="shared" si="2"/>
        <v>#DIV/0!</v>
      </c>
      <c r="O19" s="59" t="e">
        <f t="shared" si="3"/>
        <v>#DIV/0!</v>
      </c>
      <c r="P19" s="67" t="e">
        <f t="shared" si="4"/>
        <v>#DIV/0!</v>
      </c>
      <c r="Q19" s="68" t="e">
        <f t="shared" si="5"/>
        <v>#DIV/0!</v>
      </c>
      <c r="R19" s="68" t="e">
        <f t="shared" si="6"/>
        <v>#DIV/0!</v>
      </c>
      <c r="S19" s="69" t="e">
        <f t="shared" si="7"/>
        <v>#DIV/0!</v>
      </c>
    </row>
    <row r="20" spans="2:19" ht="12.75" hidden="1" customHeight="1" x14ac:dyDescent="0.2">
      <c r="B20" s="90"/>
      <c r="C20" s="6"/>
      <c r="D20" s="3"/>
      <c r="E20" s="3"/>
      <c r="F20" s="3"/>
      <c r="G20" s="4"/>
      <c r="H20" s="3"/>
      <c r="I20" s="3"/>
      <c r="J20" s="316"/>
      <c r="K20" s="97">
        <f t="shared" si="9"/>
        <v>0</v>
      </c>
      <c r="L20" s="59">
        <f t="shared" si="0"/>
        <v>0</v>
      </c>
      <c r="M20" s="87" t="e">
        <f t="shared" si="1"/>
        <v>#DIV/0!</v>
      </c>
      <c r="N20" s="67" t="e">
        <f t="shared" si="2"/>
        <v>#DIV/0!</v>
      </c>
      <c r="O20" s="59" t="e">
        <f t="shared" si="3"/>
        <v>#DIV/0!</v>
      </c>
      <c r="P20" s="67" t="e">
        <f t="shared" si="4"/>
        <v>#DIV/0!</v>
      </c>
      <c r="Q20" s="68" t="e">
        <f t="shared" si="5"/>
        <v>#DIV/0!</v>
      </c>
      <c r="R20" s="68" t="e">
        <f t="shared" si="6"/>
        <v>#DIV/0!</v>
      </c>
      <c r="S20" s="69" t="e">
        <f t="shared" si="7"/>
        <v>#DIV/0!</v>
      </c>
    </row>
    <row r="21" spans="2:19" ht="25.5" hidden="1" customHeight="1" x14ac:dyDescent="0.2">
      <c r="B21" s="89" t="s">
        <v>11</v>
      </c>
      <c r="C21" s="10"/>
      <c r="D21" s="11"/>
      <c r="E21" s="11"/>
      <c r="F21" s="11"/>
      <c r="G21" s="11"/>
      <c r="H21" s="11"/>
      <c r="I21" s="11"/>
      <c r="J21" s="204">
        <f>SUM(J22:J24)</f>
        <v>4</v>
      </c>
      <c r="K21" s="97">
        <f t="shared" si="9"/>
        <v>0</v>
      </c>
      <c r="L21" s="59">
        <f t="shared" si="0"/>
        <v>0</v>
      </c>
      <c r="M21" s="87" t="e">
        <f t="shared" si="1"/>
        <v>#DIV/0!</v>
      </c>
      <c r="N21" s="67" t="e">
        <f t="shared" si="2"/>
        <v>#DIV/0!</v>
      </c>
      <c r="O21" s="59" t="e">
        <f t="shared" si="3"/>
        <v>#DIV/0!</v>
      </c>
      <c r="P21" s="67" t="e">
        <f t="shared" si="4"/>
        <v>#DIV/0!</v>
      </c>
      <c r="Q21" s="68" t="e">
        <f t="shared" si="5"/>
        <v>#DIV/0!</v>
      </c>
      <c r="R21" s="68" t="e">
        <f t="shared" si="6"/>
        <v>#DIV/0!</v>
      </c>
      <c r="S21" s="69" t="e">
        <f t="shared" si="7"/>
        <v>#DIV/0!</v>
      </c>
    </row>
    <row r="22" spans="2:19" ht="12.75" hidden="1" customHeight="1" x14ac:dyDescent="0.2">
      <c r="B22" s="90"/>
      <c r="C22" s="6"/>
      <c r="D22" s="3"/>
      <c r="E22" s="3"/>
      <c r="F22" s="3"/>
      <c r="G22" s="4"/>
      <c r="H22" s="3"/>
      <c r="I22" s="3"/>
      <c r="J22" s="316"/>
      <c r="K22" s="97">
        <f t="shared" si="9"/>
        <v>0</v>
      </c>
      <c r="L22" s="59">
        <f t="shared" si="0"/>
        <v>0</v>
      </c>
      <c r="M22" s="87" t="e">
        <f t="shared" si="1"/>
        <v>#DIV/0!</v>
      </c>
      <c r="N22" s="67" t="e">
        <f t="shared" si="2"/>
        <v>#DIV/0!</v>
      </c>
      <c r="O22" s="59" t="e">
        <f t="shared" si="3"/>
        <v>#DIV/0!</v>
      </c>
      <c r="P22" s="67" t="e">
        <f t="shared" si="4"/>
        <v>#DIV/0!</v>
      </c>
      <c r="Q22" s="68" t="e">
        <f t="shared" si="5"/>
        <v>#DIV/0!</v>
      </c>
      <c r="R22" s="68" t="e">
        <f t="shared" si="6"/>
        <v>#DIV/0!</v>
      </c>
      <c r="S22" s="69" t="e">
        <f t="shared" si="7"/>
        <v>#DIV/0!</v>
      </c>
    </row>
    <row r="23" spans="2:19" s="101" customFormat="1" x14ac:dyDescent="0.25">
      <c r="B23" s="119" t="s">
        <v>4</v>
      </c>
      <c r="C23" s="103"/>
      <c r="D23" s="103"/>
      <c r="E23" s="103"/>
      <c r="F23" s="104"/>
      <c r="G23" s="105"/>
      <c r="H23" s="106"/>
      <c r="I23" s="76"/>
      <c r="J23" s="107">
        <f>SUM(J12:J16)</f>
        <v>4</v>
      </c>
      <c r="K23" s="75"/>
      <c r="L23" s="76"/>
      <c r="M23" s="77"/>
      <c r="N23" s="78"/>
      <c r="O23" s="76"/>
      <c r="P23" s="78"/>
      <c r="Q23" s="79">
        <f>SUM(Q12:Q16)</f>
        <v>8181.8981670061103</v>
      </c>
      <c r="R23" s="79">
        <f>SUM(R12:R16)</f>
        <v>1971.0192684317722</v>
      </c>
      <c r="S23" s="80">
        <f>SUM(S12:S16)</f>
        <v>10152.917435437885</v>
      </c>
    </row>
    <row r="24" spans="2:19" ht="12.75" hidden="1" customHeight="1" x14ac:dyDescent="0.2">
      <c r="B24" s="90"/>
      <c r="C24" s="6"/>
      <c r="D24" s="3"/>
      <c r="E24" s="3"/>
      <c r="F24" s="3"/>
      <c r="G24" s="4"/>
      <c r="H24" s="3"/>
      <c r="I24" s="3"/>
      <c r="J24" s="316"/>
      <c r="K24" s="97">
        <f>H24*1.27</f>
        <v>0</v>
      </c>
      <c r="L24" s="59">
        <f>IF(K24&lt;=G24,K24,G24)</f>
        <v>0</v>
      </c>
      <c r="M24" s="87" t="e">
        <f>N24-I24</f>
        <v>#DIV/0!</v>
      </c>
      <c r="N24" s="67" t="e">
        <f>I24/H24*L24</f>
        <v>#DIV/0!</v>
      </c>
      <c r="O24" s="59" t="e">
        <f>L24-H24+M24</f>
        <v>#DIV/0!</v>
      </c>
      <c r="P24" s="67" t="e">
        <f>O24*J24</f>
        <v>#DIV/0!</v>
      </c>
      <c r="Q24" s="68"/>
      <c r="R24" s="68"/>
      <c r="S24" s="69"/>
    </row>
    <row r="25" spans="2:19" s="8" customFormat="1" x14ac:dyDescent="0.2">
      <c r="B25" s="91" t="s">
        <v>192</v>
      </c>
      <c r="C25" s="72"/>
      <c r="D25" s="72"/>
      <c r="E25" s="72"/>
      <c r="F25" s="72"/>
      <c r="G25" s="72"/>
      <c r="H25" s="72"/>
      <c r="I25" s="72"/>
      <c r="J25" s="317">
        <f>J23</f>
        <v>4</v>
      </c>
      <c r="K25" s="98"/>
      <c r="L25" s="70"/>
      <c r="M25" s="70"/>
      <c r="N25" s="71"/>
      <c r="O25" s="72"/>
      <c r="P25" s="71"/>
      <c r="Q25" s="73">
        <f>Q23</f>
        <v>8181.8981670061103</v>
      </c>
      <c r="R25" s="73">
        <f>R23</f>
        <v>1971.0192684317722</v>
      </c>
      <c r="S25" s="74">
        <f>S23</f>
        <v>10152.917435437885</v>
      </c>
    </row>
    <row r="26" spans="2:19" s="8" customFormat="1" ht="14.25" hidden="1" customHeight="1" x14ac:dyDescent="0.25">
      <c r="B26" s="870" t="s">
        <v>255</v>
      </c>
      <c r="C26" s="871"/>
      <c r="D26" s="871"/>
      <c r="E26" s="871"/>
      <c r="F26" s="871"/>
      <c r="G26" s="871"/>
      <c r="H26" s="871"/>
      <c r="I26" s="871"/>
      <c r="J26" s="872"/>
      <c r="K26" s="99"/>
      <c r="L26" s="92"/>
      <c r="M26" s="92"/>
      <c r="N26" s="92"/>
      <c r="O26" s="92"/>
      <c r="P26" s="92"/>
      <c r="Q26" s="92"/>
      <c r="R26" s="92"/>
      <c r="S26" s="93"/>
    </row>
    <row r="27" spans="2:19" ht="13.5" x14ac:dyDescent="0.2">
      <c r="B27" s="865" t="s">
        <v>196</v>
      </c>
      <c r="C27" s="866"/>
      <c r="D27" s="866"/>
      <c r="E27" s="866"/>
      <c r="F27" s="866"/>
      <c r="G27" s="866"/>
      <c r="H27" s="866"/>
      <c r="I27" s="866"/>
      <c r="J27" s="866"/>
      <c r="K27" s="866"/>
      <c r="L27" s="866"/>
      <c r="M27" s="866"/>
      <c r="N27" s="866"/>
      <c r="O27" s="866"/>
      <c r="P27" s="866"/>
      <c r="Q27" s="866"/>
      <c r="R27" s="866"/>
      <c r="S27" s="867"/>
    </row>
    <row r="28" spans="2:19" ht="18.75" customHeight="1" x14ac:dyDescent="0.2">
      <c r="B28" s="875" t="s">
        <v>10</v>
      </c>
      <c r="C28" s="876"/>
      <c r="D28" s="876"/>
      <c r="E28" s="876"/>
      <c r="F28" s="11"/>
      <c r="G28" s="11"/>
      <c r="H28" s="11"/>
      <c r="I28" s="11"/>
      <c r="J28" s="204"/>
      <c r="K28" s="96"/>
      <c r="L28" s="11"/>
      <c r="M28" s="11"/>
      <c r="N28" s="11"/>
      <c r="O28" s="11"/>
      <c r="P28" s="11"/>
      <c r="Q28" s="11"/>
      <c r="R28" s="11"/>
      <c r="S28" s="85"/>
    </row>
    <row r="29" spans="2:19" x14ac:dyDescent="0.2">
      <c r="B29" s="90" t="s">
        <v>23</v>
      </c>
      <c r="C29" s="6" t="s">
        <v>21</v>
      </c>
      <c r="D29" s="3" t="s">
        <v>15</v>
      </c>
      <c r="E29" s="3">
        <v>8</v>
      </c>
      <c r="F29" s="3">
        <v>3</v>
      </c>
      <c r="G29" s="4">
        <v>1093</v>
      </c>
      <c r="H29" s="3">
        <v>720</v>
      </c>
      <c r="I29" s="18">
        <f>H29*0.15</f>
        <v>108</v>
      </c>
      <c r="J29" s="316">
        <v>2</v>
      </c>
      <c r="K29" s="97">
        <f t="shared" ref="K29:K31" si="10">H29*1.2</f>
        <v>864</v>
      </c>
      <c r="L29" s="59">
        <f>IF(K29&lt;=G29,K29,G29)</f>
        <v>864</v>
      </c>
      <c r="M29" s="87">
        <f>N29-I29</f>
        <v>21.599999999999994</v>
      </c>
      <c r="N29" s="67">
        <f>I29/H29*L29</f>
        <v>129.6</v>
      </c>
      <c r="O29" s="59">
        <f>L29-H29+M29</f>
        <v>165.6</v>
      </c>
      <c r="P29" s="67">
        <f>O29*J29</f>
        <v>331.2</v>
      </c>
      <c r="Q29" s="68">
        <f>P29*12</f>
        <v>3974.3999999999996</v>
      </c>
      <c r="R29" s="68">
        <f>Q29*0.2409</f>
        <v>957.43295999999998</v>
      </c>
      <c r="S29" s="69">
        <f>Q29+R29</f>
        <v>4931.8329599999997</v>
      </c>
    </row>
    <row r="30" spans="2:19" x14ac:dyDescent="0.2">
      <c r="B30" s="90" t="s">
        <v>23</v>
      </c>
      <c r="C30" s="6" t="s">
        <v>21</v>
      </c>
      <c r="D30" s="3" t="s">
        <v>15</v>
      </c>
      <c r="E30" s="3">
        <v>8</v>
      </c>
      <c r="F30" s="3">
        <v>2</v>
      </c>
      <c r="G30" s="4">
        <v>920</v>
      </c>
      <c r="H30" s="3">
        <v>670</v>
      </c>
      <c r="I30" s="18">
        <f>H30*0.15</f>
        <v>100.5</v>
      </c>
      <c r="J30" s="316">
        <v>1</v>
      </c>
      <c r="K30" s="97">
        <f t="shared" si="10"/>
        <v>804</v>
      </c>
      <c r="L30" s="59">
        <f>IF(K30&lt;=G30,K30,G30)</f>
        <v>804</v>
      </c>
      <c r="M30" s="87">
        <f>N30-I30</f>
        <v>20.099999999999994</v>
      </c>
      <c r="N30" s="67">
        <f>I30/H30*L30</f>
        <v>120.6</v>
      </c>
      <c r="O30" s="59">
        <f>L30-H30+M30</f>
        <v>154.1</v>
      </c>
      <c r="P30" s="67">
        <f>O30*J30</f>
        <v>154.1</v>
      </c>
      <c r="Q30" s="68">
        <f>P30*12</f>
        <v>1849.1999999999998</v>
      </c>
      <c r="R30" s="68">
        <f>Q30*0.2409</f>
        <v>445.47227999999996</v>
      </c>
      <c r="S30" s="69">
        <f>Q30+R30</f>
        <v>2294.6722799999998</v>
      </c>
    </row>
    <row r="31" spans="2:19" x14ac:dyDescent="0.2">
      <c r="B31" s="90" t="s">
        <v>23</v>
      </c>
      <c r="C31" s="16" t="s">
        <v>22</v>
      </c>
      <c r="D31" s="17" t="s">
        <v>14</v>
      </c>
      <c r="E31" s="17">
        <v>7</v>
      </c>
      <c r="F31" s="17">
        <v>3</v>
      </c>
      <c r="G31" s="4">
        <v>996</v>
      </c>
      <c r="H31" s="3">
        <v>680</v>
      </c>
      <c r="I31" s="19">
        <f>H31*0.15</f>
        <v>102</v>
      </c>
      <c r="J31" s="316">
        <v>1</v>
      </c>
      <c r="K31" s="97">
        <f t="shared" si="10"/>
        <v>816</v>
      </c>
      <c r="L31" s="59">
        <f>IF(K31&lt;=G31,K31,G31)</f>
        <v>816</v>
      </c>
      <c r="M31" s="87">
        <f>N31-I31</f>
        <v>20.399999999999991</v>
      </c>
      <c r="N31" s="67">
        <f>I31/H31*L31</f>
        <v>122.39999999999999</v>
      </c>
      <c r="O31" s="59">
        <f>L31-H31+M31</f>
        <v>156.39999999999998</v>
      </c>
      <c r="P31" s="67">
        <f>O31*J31</f>
        <v>156.39999999999998</v>
      </c>
      <c r="Q31" s="68">
        <f>P31*12</f>
        <v>1876.7999999999997</v>
      </c>
      <c r="R31" s="68">
        <f>Q31*0.2409</f>
        <v>452.12111999999996</v>
      </c>
      <c r="S31" s="69">
        <f>Q31+R31</f>
        <v>2328.9211199999995</v>
      </c>
    </row>
    <row r="32" spans="2:19" s="101" customFormat="1" x14ac:dyDescent="0.25">
      <c r="B32" s="119" t="s">
        <v>4</v>
      </c>
      <c r="C32" s="103"/>
      <c r="D32" s="103"/>
      <c r="E32" s="103"/>
      <c r="F32" s="104"/>
      <c r="G32" s="105"/>
      <c r="H32" s="106"/>
      <c r="I32" s="76"/>
      <c r="J32" s="107">
        <f>SUM(J29:J31)</f>
        <v>4</v>
      </c>
      <c r="K32" s="75"/>
      <c r="L32" s="76"/>
      <c r="M32" s="77"/>
      <c r="N32" s="78"/>
      <c r="O32" s="76"/>
      <c r="P32" s="78"/>
      <c r="Q32" s="79">
        <f>SUM(Q29:Q31)</f>
        <v>7700.4</v>
      </c>
      <c r="R32" s="79">
        <f>SUM(R29:R31)</f>
        <v>1855.0263600000001</v>
      </c>
      <c r="S32" s="80">
        <f>SUM(S29:S31)</f>
        <v>9555.4263599999995</v>
      </c>
    </row>
    <row r="33" spans="2:19" x14ac:dyDescent="0.2">
      <c r="B33" s="91" t="s">
        <v>193</v>
      </c>
      <c r="C33" s="21"/>
      <c r="D33" s="21"/>
      <c r="E33" s="21"/>
      <c r="F33" s="21"/>
      <c r="G33" s="21"/>
      <c r="H33" s="21"/>
      <c r="I33" s="21"/>
      <c r="J33" s="317">
        <f>J32</f>
        <v>4</v>
      </c>
      <c r="K33" s="98"/>
      <c r="L33" s="70"/>
      <c r="M33" s="70"/>
      <c r="N33" s="71"/>
      <c r="O33" s="72"/>
      <c r="P33" s="71"/>
      <c r="Q33" s="73">
        <f>Q32</f>
        <v>7700.4</v>
      </c>
      <c r="R33" s="73">
        <f>R32</f>
        <v>1855.0263600000001</v>
      </c>
      <c r="S33" s="74">
        <f>S32</f>
        <v>9555.4263599999995</v>
      </c>
    </row>
    <row r="34" spans="2:19" hidden="1" x14ac:dyDescent="0.2">
      <c r="B34" s="90"/>
      <c r="C34" s="20"/>
      <c r="D34" s="20"/>
      <c r="E34" s="20"/>
      <c r="F34" s="20"/>
      <c r="G34" s="20"/>
      <c r="H34" s="20"/>
      <c r="I34" s="20"/>
      <c r="J34" s="318"/>
      <c r="K34" s="100"/>
      <c r="L34" s="20"/>
      <c r="M34" s="20"/>
      <c r="N34" s="20"/>
      <c r="O34" s="20"/>
      <c r="P34" s="20"/>
      <c r="Q34" s="20"/>
      <c r="R34" s="20"/>
      <c r="S34" s="95"/>
    </row>
    <row r="35" spans="2:19" ht="13.5" x14ac:dyDescent="0.2">
      <c r="B35" s="865" t="s">
        <v>197</v>
      </c>
      <c r="C35" s="866"/>
      <c r="D35" s="866"/>
      <c r="E35" s="866"/>
      <c r="F35" s="866"/>
      <c r="G35" s="866"/>
      <c r="H35" s="866"/>
      <c r="I35" s="866"/>
      <c r="J35" s="866"/>
      <c r="K35" s="866"/>
      <c r="L35" s="866"/>
      <c r="M35" s="866"/>
      <c r="N35" s="866"/>
      <c r="O35" s="866"/>
      <c r="P35" s="866"/>
      <c r="Q35" s="866"/>
      <c r="R35" s="866"/>
      <c r="S35" s="867"/>
    </row>
    <row r="36" spans="2:19" ht="17.25" customHeight="1" x14ac:dyDescent="0.2">
      <c r="B36" s="875" t="s">
        <v>20</v>
      </c>
      <c r="C36" s="876"/>
      <c r="D36" s="876"/>
      <c r="E36" s="876"/>
      <c r="F36" s="11"/>
      <c r="G36" s="11"/>
      <c r="H36" s="11"/>
      <c r="I36" s="11"/>
      <c r="J36" s="204"/>
      <c r="K36" s="96"/>
      <c r="L36" s="11"/>
      <c r="M36" s="11"/>
      <c r="N36" s="11"/>
      <c r="O36" s="11"/>
      <c r="P36" s="11"/>
      <c r="Q36" s="11"/>
      <c r="R36" s="11"/>
      <c r="S36" s="85"/>
    </row>
    <row r="37" spans="2:19" x14ac:dyDescent="0.2">
      <c r="B37" s="90" t="s">
        <v>2</v>
      </c>
      <c r="C37" s="5"/>
      <c r="D37" s="3"/>
      <c r="E37" s="3">
        <v>12</v>
      </c>
      <c r="F37" s="3">
        <v>3</v>
      </c>
      <c r="G37" s="4">
        <v>1647</v>
      </c>
      <c r="H37" s="3">
        <v>1500</v>
      </c>
      <c r="I37" s="3">
        <v>490</v>
      </c>
      <c r="J37" s="316">
        <v>1</v>
      </c>
      <c r="K37" s="97">
        <f t="shared" ref="K37:K41" si="11">H37*1.2</f>
        <v>1800</v>
      </c>
      <c r="L37" s="59">
        <f t="shared" ref="L37:L42" si="12">IF(K37&lt;=G37,K37,G37)</f>
        <v>1647</v>
      </c>
      <c r="M37" s="87">
        <f t="shared" ref="M37:M42" si="13">N37-I37</f>
        <v>48.019999999999982</v>
      </c>
      <c r="N37" s="67">
        <f t="shared" ref="N37:N42" si="14">I37/H37*L37</f>
        <v>538.02</v>
      </c>
      <c r="O37" s="59">
        <f t="shared" ref="O37:O42" si="15">L37-H37+M37</f>
        <v>195.01999999999998</v>
      </c>
      <c r="P37" s="67">
        <f t="shared" ref="P37:P42" si="16">O37*J37</f>
        <v>195.01999999999998</v>
      </c>
      <c r="Q37" s="68">
        <f t="shared" ref="Q37:Q42" si="17">P37*12</f>
        <v>2340.2399999999998</v>
      </c>
      <c r="R37" s="68">
        <f t="shared" ref="R37:R42" si="18">Q37*0.2409</f>
        <v>563.76381599999991</v>
      </c>
      <c r="S37" s="69">
        <f t="shared" ref="S37:S42" si="19">Q37+R37</f>
        <v>2904.0038159999995</v>
      </c>
    </row>
    <row r="38" spans="2:19" x14ac:dyDescent="0.2">
      <c r="B38" s="90" t="s">
        <v>2</v>
      </c>
      <c r="C38" s="5"/>
      <c r="D38" s="3"/>
      <c r="E38" s="3">
        <v>12</v>
      </c>
      <c r="F38" s="3">
        <v>3</v>
      </c>
      <c r="G38" s="4">
        <v>1647</v>
      </c>
      <c r="H38" s="3">
        <v>1400</v>
      </c>
      <c r="I38" s="3">
        <v>580</v>
      </c>
      <c r="J38" s="316">
        <v>1</v>
      </c>
      <c r="K38" s="97">
        <f t="shared" si="11"/>
        <v>1680</v>
      </c>
      <c r="L38" s="59">
        <f t="shared" si="12"/>
        <v>1647</v>
      </c>
      <c r="M38" s="87">
        <f t="shared" si="13"/>
        <v>102.32857142857142</v>
      </c>
      <c r="N38" s="67">
        <f t="shared" si="14"/>
        <v>682.32857142857142</v>
      </c>
      <c r="O38" s="59">
        <f t="shared" si="15"/>
        <v>349.32857142857142</v>
      </c>
      <c r="P38" s="67">
        <f t="shared" si="16"/>
        <v>349.32857142857142</v>
      </c>
      <c r="Q38" s="68">
        <f t="shared" si="17"/>
        <v>4191.9428571428571</v>
      </c>
      <c r="R38" s="68">
        <f t="shared" si="18"/>
        <v>1009.8390342857143</v>
      </c>
      <c r="S38" s="69">
        <f t="shared" si="19"/>
        <v>5201.7818914285717</v>
      </c>
    </row>
    <row r="39" spans="2:19" x14ac:dyDescent="0.2">
      <c r="B39" s="90" t="s">
        <v>2</v>
      </c>
      <c r="C39" s="5"/>
      <c r="D39" s="3"/>
      <c r="E39" s="3">
        <v>12</v>
      </c>
      <c r="F39" s="3">
        <v>3</v>
      </c>
      <c r="G39" s="4">
        <v>1647</v>
      </c>
      <c r="H39" s="3">
        <v>1300</v>
      </c>
      <c r="I39" s="3">
        <v>370</v>
      </c>
      <c r="J39" s="316">
        <v>2.95</v>
      </c>
      <c r="K39" s="97">
        <f t="shared" si="11"/>
        <v>1560</v>
      </c>
      <c r="L39" s="59">
        <f t="shared" si="12"/>
        <v>1560</v>
      </c>
      <c r="M39" s="87">
        <f t="shared" si="13"/>
        <v>74</v>
      </c>
      <c r="N39" s="67">
        <f t="shared" si="14"/>
        <v>444</v>
      </c>
      <c r="O39" s="59">
        <f t="shared" si="15"/>
        <v>334</v>
      </c>
      <c r="P39" s="67">
        <f t="shared" si="16"/>
        <v>985.30000000000007</v>
      </c>
      <c r="Q39" s="68">
        <f t="shared" si="17"/>
        <v>11823.6</v>
      </c>
      <c r="R39" s="68">
        <f t="shared" si="18"/>
        <v>2848.3052400000001</v>
      </c>
      <c r="S39" s="69">
        <f t="shared" si="19"/>
        <v>14671.90524</v>
      </c>
    </row>
    <row r="40" spans="2:19" x14ac:dyDescent="0.2">
      <c r="B40" s="90" t="s">
        <v>2</v>
      </c>
      <c r="C40" s="5"/>
      <c r="D40" s="3"/>
      <c r="E40" s="3">
        <v>10</v>
      </c>
      <c r="F40" s="3">
        <v>3</v>
      </c>
      <c r="G40" s="4">
        <v>1287</v>
      </c>
      <c r="H40" s="3">
        <v>1200</v>
      </c>
      <c r="I40" s="3">
        <v>350</v>
      </c>
      <c r="J40" s="316">
        <v>4.5</v>
      </c>
      <c r="K40" s="97">
        <f t="shared" si="11"/>
        <v>1440</v>
      </c>
      <c r="L40" s="59">
        <f t="shared" si="12"/>
        <v>1287</v>
      </c>
      <c r="M40" s="87">
        <f t="shared" si="13"/>
        <v>25.375</v>
      </c>
      <c r="N40" s="67">
        <f t="shared" si="14"/>
        <v>375.375</v>
      </c>
      <c r="O40" s="59">
        <f t="shared" si="15"/>
        <v>112.375</v>
      </c>
      <c r="P40" s="67">
        <f t="shared" si="16"/>
        <v>505.6875</v>
      </c>
      <c r="Q40" s="68">
        <f t="shared" si="17"/>
        <v>6068.25</v>
      </c>
      <c r="R40" s="68">
        <f t="shared" si="18"/>
        <v>1461.8414250000001</v>
      </c>
      <c r="S40" s="69">
        <f t="shared" si="19"/>
        <v>7530.0914250000005</v>
      </c>
    </row>
    <row r="41" spans="2:19" x14ac:dyDescent="0.2">
      <c r="B41" s="90" t="s">
        <v>2</v>
      </c>
      <c r="C41" s="5"/>
      <c r="D41" s="3"/>
      <c r="E41" s="3">
        <v>9</v>
      </c>
      <c r="F41" s="3">
        <v>3</v>
      </c>
      <c r="G41" s="4">
        <v>1190</v>
      </c>
      <c r="H41" s="3">
        <v>1100</v>
      </c>
      <c r="I41" s="3">
        <v>140</v>
      </c>
      <c r="J41" s="319">
        <v>1.8</v>
      </c>
      <c r="K41" s="97">
        <f t="shared" si="11"/>
        <v>1320</v>
      </c>
      <c r="L41" s="59">
        <f t="shared" si="12"/>
        <v>1190</v>
      </c>
      <c r="M41" s="87">
        <f t="shared" si="13"/>
        <v>11.454545454545439</v>
      </c>
      <c r="N41" s="67">
        <f t="shared" si="14"/>
        <v>151.45454545454544</v>
      </c>
      <c r="O41" s="59">
        <f t="shared" si="15"/>
        <v>101.45454545454544</v>
      </c>
      <c r="P41" s="67">
        <f t="shared" si="16"/>
        <v>182.6181818181818</v>
      </c>
      <c r="Q41" s="68">
        <f t="shared" si="17"/>
        <v>2191.4181818181814</v>
      </c>
      <c r="R41" s="68">
        <f t="shared" si="18"/>
        <v>527.9126399999999</v>
      </c>
      <c r="S41" s="69">
        <f t="shared" si="19"/>
        <v>2719.3308218181814</v>
      </c>
    </row>
    <row r="42" spans="2:19" hidden="1" x14ac:dyDescent="0.2">
      <c r="B42" s="90"/>
      <c r="C42" s="5"/>
      <c r="D42" s="3"/>
      <c r="E42" s="3"/>
      <c r="F42" s="3"/>
      <c r="G42" s="4"/>
      <c r="H42" s="3"/>
      <c r="I42" s="3"/>
      <c r="J42" s="316"/>
      <c r="K42" s="97">
        <f t="shared" ref="K42" si="20">H42+80</f>
        <v>80</v>
      </c>
      <c r="L42" s="59">
        <f t="shared" si="12"/>
        <v>0</v>
      </c>
      <c r="M42" s="87" t="e">
        <f t="shared" si="13"/>
        <v>#DIV/0!</v>
      </c>
      <c r="N42" s="67" t="e">
        <f t="shared" si="14"/>
        <v>#DIV/0!</v>
      </c>
      <c r="O42" s="59" t="e">
        <f t="shared" si="15"/>
        <v>#DIV/0!</v>
      </c>
      <c r="P42" s="67" t="e">
        <f t="shared" si="16"/>
        <v>#DIV/0!</v>
      </c>
      <c r="Q42" s="68" t="e">
        <f t="shared" si="17"/>
        <v>#DIV/0!</v>
      </c>
      <c r="R42" s="68" t="e">
        <f t="shared" si="18"/>
        <v>#DIV/0!</v>
      </c>
      <c r="S42" s="69" t="e">
        <f t="shared" si="19"/>
        <v>#DIV/0!</v>
      </c>
    </row>
    <row r="43" spans="2:19" s="101" customFormat="1" x14ac:dyDescent="0.25">
      <c r="B43" s="119" t="s">
        <v>4</v>
      </c>
      <c r="C43" s="103"/>
      <c r="D43" s="103"/>
      <c r="E43" s="103"/>
      <c r="F43" s="104"/>
      <c r="G43" s="105"/>
      <c r="H43" s="106"/>
      <c r="I43" s="76"/>
      <c r="J43" s="123">
        <f>SUM(J37:J41)</f>
        <v>11.25</v>
      </c>
      <c r="K43" s="75"/>
      <c r="L43" s="76"/>
      <c r="M43" s="77"/>
      <c r="N43" s="78"/>
      <c r="O43" s="76"/>
      <c r="P43" s="78"/>
      <c r="Q43" s="79">
        <f>SUM(Q37:Q41)</f>
        <v>26615.45103896104</v>
      </c>
      <c r="R43" s="79">
        <f>SUM(R37:R41)</f>
        <v>6411.662155285715</v>
      </c>
      <c r="S43" s="80">
        <f>SUM(S37:S41)</f>
        <v>33027.113194246755</v>
      </c>
    </row>
    <row r="44" spans="2:19" x14ac:dyDescent="0.2">
      <c r="B44" s="875" t="s">
        <v>10</v>
      </c>
      <c r="C44" s="876"/>
      <c r="D44" s="876"/>
      <c r="E44" s="876"/>
      <c r="F44" s="11"/>
      <c r="G44" s="11"/>
      <c r="H44" s="11"/>
      <c r="I44" s="11"/>
      <c r="J44" s="204"/>
      <c r="K44" s="96"/>
      <c r="L44" s="11"/>
      <c r="M44" s="11"/>
      <c r="N44" s="11"/>
      <c r="O44" s="11"/>
      <c r="P44" s="11"/>
      <c r="Q44" s="11"/>
      <c r="R44" s="11"/>
      <c r="S44" s="85"/>
    </row>
    <row r="45" spans="2:19" x14ac:dyDescent="0.2">
      <c r="B45" s="90" t="s">
        <v>24</v>
      </c>
      <c r="C45" s="6"/>
      <c r="D45" s="3"/>
      <c r="E45" s="3">
        <v>8</v>
      </c>
      <c r="F45" s="3">
        <v>3</v>
      </c>
      <c r="G45" s="4">
        <v>1093</v>
      </c>
      <c r="H45" s="3">
        <v>950</v>
      </c>
      <c r="I45" s="3">
        <v>310</v>
      </c>
      <c r="J45" s="316">
        <v>1</v>
      </c>
      <c r="K45" s="97">
        <f t="shared" ref="K45:K48" si="21">H45*1.2</f>
        <v>1140</v>
      </c>
      <c r="L45" s="59">
        <f>IF(K45&lt;=G45,K45,G45)</f>
        <v>1093</v>
      </c>
      <c r="M45" s="87">
        <f>N45-I45</f>
        <v>46.663157894736855</v>
      </c>
      <c r="N45" s="67">
        <f>I45/H45*L45</f>
        <v>356.66315789473686</v>
      </c>
      <c r="O45" s="59">
        <f>L45-H45+M45</f>
        <v>189.66315789473686</v>
      </c>
      <c r="P45" s="67">
        <f>O45*J45</f>
        <v>189.66315789473686</v>
      </c>
      <c r="Q45" s="68">
        <f>P45*12</f>
        <v>2275.9578947368423</v>
      </c>
      <c r="R45" s="68">
        <f>Q45*0.2409</f>
        <v>548.27825684210529</v>
      </c>
      <c r="S45" s="69">
        <f>Q45+R45</f>
        <v>2824.2361515789476</v>
      </c>
    </row>
    <row r="46" spans="2:19" x14ac:dyDescent="0.2">
      <c r="B46" s="90" t="s">
        <v>25</v>
      </c>
      <c r="C46" s="6"/>
      <c r="D46" s="3"/>
      <c r="E46" s="3">
        <v>7</v>
      </c>
      <c r="F46" s="3">
        <v>3</v>
      </c>
      <c r="G46" s="4">
        <v>996</v>
      </c>
      <c r="H46" s="3">
        <v>920</v>
      </c>
      <c r="I46" s="3">
        <v>210</v>
      </c>
      <c r="J46" s="316">
        <v>6</v>
      </c>
      <c r="K46" s="97">
        <f t="shared" si="21"/>
        <v>1104</v>
      </c>
      <c r="L46" s="59">
        <f>IF(K46&lt;=G46,K46,G46)</f>
        <v>996</v>
      </c>
      <c r="M46" s="87">
        <f>N46-I46</f>
        <v>17.347826086956502</v>
      </c>
      <c r="N46" s="67">
        <f>I46/H46*L46</f>
        <v>227.3478260869565</v>
      </c>
      <c r="O46" s="59">
        <f>L46-H46+M46</f>
        <v>93.347826086956502</v>
      </c>
      <c r="P46" s="67">
        <f>O46*J46</f>
        <v>560.08695652173901</v>
      </c>
      <c r="Q46" s="68">
        <f>P46*12</f>
        <v>6721.0434782608681</v>
      </c>
      <c r="R46" s="68">
        <f>Q46*0.2409</f>
        <v>1619.0993739130431</v>
      </c>
      <c r="S46" s="69">
        <f>Q46+R46</f>
        <v>8340.1428521739108</v>
      </c>
    </row>
    <row r="47" spans="2:19" x14ac:dyDescent="0.2">
      <c r="B47" s="90" t="s">
        <v>26</v>
      </c>
      <c r="C47" s="6"/>
      <c r="D47" s="3"/>
      <c r="E47" s="3">
        <v>7</v>
      </c>
      <c r="F47" s="3">
        <v>3</v>
      </c>
      <c r="G47" s="4">
        <v>996</v>
      </c>
      <c r="H47" s="3">
        <v>920</v>
      </c>
      <c r="I47" s="3">
        <v>240</v>
      </c>
      <c r="J47" s="316">
        <v>1.5</v>
      </c>
      <c r="K47" s="97">
        <f t="shared" si="21"/>
        <v>1104</v>
      </c>
      <c r="L47" s="59">
        <f>IF(K47&lt;=G47,K47,G47)</f>
        <v>996</v>
      </c>
      <c r="M47" s="87">
        <f>N47-I47</f>
        <v>19.826086956521749</v>
      </c>
      <c r="N47" s="67">
        <f>I47/H47*L47</f>
        <v>259.82608695652175</v>
      </c>
      <c r="O47" s="59">
        <f>L47-H47+M47</f>
        <v>95.826086956521749</v>
      </c>
      <c r="P47" s="67">
        <f>O47*J47</f>
        <v>143.73913043478262</v>
      </c>
      <c r="Q47" s="68">
        <f>P47*12</f>
        <v>1724.8695652173915</v>
      </c>
      <c r="R47" s="68">
        <f>Q47*0.2409</f>
        <v>415.52107826086961</v>
      </c>
      <c r="S47" s="69">
        <f>Q47+R47</f>
        <v>2140.3906434782612</v>
      </c>
    </row>
    <row r="48" spans="2:19" x14ac:dyDescent="0.2">
      <c r="B48" s="90" t="s">
        <v>27</v>
      </c>
      <c r="C48" s="6"/>
      <c r="D48" s="3"/>
      <c r="E48" s="3">
        <v>9</v>
      </c>
      <c r="F48" s="3">
        <v>3</v>
      </c>
      <c r="G48" s="4">
        <v>1190</v>
      </c>
      <c r="H48" s="3">
        <v>920</v>
      </c>
      <c r="I48" s="3">
        <v>210</v>
      </c>
      <c r="J48" s="316">
        <v>2.4</v>
      </c>
      <c r="K48" s="97">
        <f t="shared" si="21"/>
        <v>1104</v>
      </c>
      <c r="L48" s="59">
        <f>IF(K48&lt;=G48,K48,G48)</f>
        <v>1104</v>
      </c>
      <c r="M48" s="87">
        <f>N48-I48</f>
        <v>41.999999999999972</v>
      </c>
      <c r="N48" s="67">
        <f>I48/H48*L48</f>
        <v>251.99999999999997</v>
      </c>
      <c r="O48" s="59">
        <f>L48-H48+M48</f>
        <v>225.99999999999997</v>
      </c>
      <c r="P48" s="67">
        <f>O48*J48</f>
        <v>542.39999999999986</v>
      </c>
      <c r="Q48" s="68">
        <f>P48*12</f>
        <v>6508.7999999999984</v>
      </c>
      <c r="R48" s="68">
        <f>Q48*0.2409</f>
        <v>1567.9699199999995</v>
      </c>
      <c r="S48" s="69">
        <f>Q48+R48</f>
        <v>8076.7699199999979</v>
      </c>
    </row>
    <row r="49" spans="2:19" hidden="1" x14ac:dyDescent="0.2">
      <c r="B49" s="90"/>
      <c r="C49" s="6"/>
      <c r="D49" s="3"/>
      <c r="E49" s="3"/>
      <c r="F49" s="3"/>
      <c r="G49" s="4"/>
      <c r="H49" s="3"/>
      <c r="I49" s="3"/>
      <c r="J49" s="316"/>
      <c r="K49" s="97">
        <f>H49+80</f>
        <v>80</v>
      </c>
      <c r="L49" s="59">
        <f>IF(K49&lt;=G49,K49,G49)</f>
        <v>0</v>
      </c>
      <c r="M49" s="87" t="e">
        <f>N49-I49</f>
        <v>#DIV/0!</v>
      </c>
      <c r="N49" s="67" t="e">
        <f>I49/H49*L49</f>
        <v>#DIV/0!</v>
      </c>
      <c r="O49" s="59" t="e">
        <f>L49-H49+M49</f>
        <v>#DIV/0!</v>
      </c>
      <c r="P49" s="67" t="e">
        <f>O49*J49</f>
        <v>#DIV/0!</v>
      </c>
      <c r="Q49" s="68" t="e">
        <f>P49*12</f>
        <v>#DIV/0!</v>
      </c>
      <c r="R49" s="68" t="e">
        <f>Q49*0.2409</f>
        <v>#DIV/0!</v>
      </c>
      <c r="S49" s="69" t="e">
        <f>Q49+R49</f>
        <v>#DIV/0!</v>
      </c>
    </row>
    <row r="50" spans="2:19" s="101" customFormat="1" x14ac:dyDescent="0.25">
      <c r="B50" s="119" t="s">
        <v>4</v>
      </c>
      <c r="C50" s="103"/>
      <c r="D50" s="103"/>
      <c r="E50" s="103"/>
      <c r="F50" s="104"/>
      <c r="G50" s="105"/>
      <c r="H50" s="106"/>
      <c r="I50" s="76"/>
      <c r="J50" s="123">
        <f>SUM(J45:J48)</f>
        <v>10.9</v>
      </c>
      <c r="K50" s="75"/>
      <c r="L50" s="76"/>
      <c r="M50" s="77"/>
      <c r="N50" s="78"/>
      <c r="O50" s="76"/>
      <c r="P50" s="78"/>
      <c r="Q50" s="79">
        <f>SUM(Q45:Q48)</f>
        <v>17230.670938215102</v>
      </c>
      <c r="R50" s="79">
        <f>SUM(R45:R48)</f>
        <v>4150.8686290160176</v>
      </c>
      <c r="S50" s="80">
        <f>SUM(S45:S48)</f>
        <v>21381.539567231117</v>
      </c>
    </row>
    <row r="51" spans="2:19" x14ac:dyDescent="0.2">
      <c r="B51" s="875" t="s">
        <v>11</v>
      </c>
      <c r="C51" s="876"/>
      <c r="D51" s="876"/>
      <c r="E51" s="876"/>
      <c r="F51" s="11"/>
      <c r="G51" s="11"/>
      <c r="H51" s="11"/>
      <c r="I51" s="11"/>
      <c r="J51" s="204"/>
      <c r="K51" s="96"/>
      <c r="L51" s="11"/>
      <c r="M51" s="11"/>
      <c r="N51" s="11"/>
      <c r="O51" s="11"/>
      <c r="P51" s="11"/>
      <c r="Q51" s="11"/>
      <c r="R51" s="11"/>
      <c r="S51" s="85"/>
    </row>
    <row r="52" spans="2:19" x14ac:dyDescent="0.2">
      <c r="B52" s="90" t="s">
        <v>28</v>
      </c>
      <c r="C52" s="6"/>
      <c r="D52" s="3"/>
      <c r="E52" s="3">
        <v>12</v>
      </c>
      <c r="F52" s="3">
        <v>3</v>
      </c>
      <c r="G52" s="4">
        <v>1647</v>
      </c>
      <c r="H52" s="3">
        <v>1500</v>
      </c>
      <c r="I52" s="3">
        <v>150</v>
      </c>
      <c r="J52" s="316">
        <v>0.7</v>
      </c>
      <c r="K52" s="97">
        <f t="shared" ref="K52:K58" si="22">H52*1.2</f>
        <v>1800</v>
      </c>
      <c r="L52" s="59">
        <f t="shared" ref="L52:L58" si="23">IF(K52&lt;=G52,K52,G52)</f>
        <v>1647</v>
      </c>
      <c r="M52" s="87">
        <f t="shared" ref="M52:M58" si="24">N52-I52</f>
        <v>14.700000000000017</v>
      </c>
      <c r="N52" s="67">
        <f t="shared" ref="N52:N58" si="25">I52/H52*L52</f>
        <v>164.70000000000002</v>
      </c>
      <c r="O52" s="59">
        <f t="shared" ref="O52:O58" si="26">L52-H52+M52</f>
        <v>161.70000000000002</v>
      </c>
      <c r="P52" s="67">
        <f t="shared" ref="P52:P58" si="27">O52*J52</f>
        <v>113.19</v>
      </c>
      <c r="Q52" s="68">
        <f t="shared" ref="Q52:Q58" si="28">P52*12</f>
        <v>1358.28</v>
      </c>
      <c r="R52" s="68">
        <f t="shared" ref="R52:R58" si="29">Q52*0.2409</f>
        <v>327.20965200000001</v>
      </c>
      <c r="S52" s="69">
        <f t="shared" ref="S52:S58" si="30">Q52+R52</f>
        <v>1685.489652</v>
      </c>
    </row>
    <row r="53" spans="2:19" x14ac:dyDescent="0.2">
      <c r="B53" s="90" t="s">
        <v>28</v>
      </c>
      <c r="C53" s="6"/>
      <c r="D53" s="3"/>
      <c r="E53" s="3">
        <v>9</v>
      </c>
      <c r="F53" s="3">
        <v>3</v>
      </c>
      <c r="G53" s="4">
        <v>1190</v>
      </c>
      <c r="H53" s="3">
        <v>1100</v>
      </c>
      <c r="I53" s="3">
        <v>65</v>
      </c>
      <c r="J53" s="316">
        <v>0.3</v>
      </c>
      <c r="K53" s="97">
        <f t="shared" si="22"/>
        <v>1320</v>
      </c>
      <c r="L53" s="59">
        <f t="shared" si="23"/>
        <v>1190</v>
      </c>
      <c r="M53" s="87">
        <f t="shared" si="24"/>
        <v>5.318181818181813</v>
      </c>
      <c r="N53" s="67">
        <f t="shared" si="25"/>
        <v>70.318181818181813</v>
      </c>
      <c r="O53" s="59">
        <f t="shared" si="26"/>
        <v>95.318181818181813</v>
      </c>
      <c r="P53" s="67">
        <f t="shared" si="27"/>
        <v>28.595454545454544</v>
      </c>
      <c r="Q53" s="68">
        <f t="shared" si="28"/>
        <v>343.14545454545453</v>
      </c>
      <c r="R53" s="68">
        <f t="shared" si="29"/>
        <v>82.66373999999999</v>
      </c>
      <c r="S53" s="69">
        <f t="shared" si="30"/>
        <v>425.80919454545449</v>
      </c>
    </row>
    <row r="54" spans="2:19" x14ac:dyDescent="0.2">
      <c r="B54" s="90" t="s">
        <v>29</v>
      </c>
      <c r="C54" s="6"/>
      <c r="D54" s="3"/>
      <c r="E54" s="3">
        <v>9</v>
      </c>
      <c r="F54" s="3">
        <v>3</v>
      </c>
      <c r="G54" s="4">
        <v>1190</v>
      </c>
      <c r="H54" s="3">
        <v>1150</v>
      </c>
      <c r="I54" s="3">
        <v>65</v>
      </c>
      <c r="J54" s="316">
        <v>0.7</v>
      </c>
      <c r="K54" s="97">
        <f t="shared" si="22"/>
        <v>1380</v>
      </c>
      <c r="L54" s="59">
        <f t="shared" si="23"/>
        <v>1190</v>
      </c>
      <c r="M54" s="87">
        <f t="shared" si="24"/>
        <v>2.2608695652173907</v>
      </c>
      <c r="N54" s="67">
        <f t="shared" si="25"/>
        <v>67.260869565217391</v>
      </c>
      <c r="O54" s="59">
        <f t="shared" si="26"/>
        <v>42.260869565217391</v>
      </c>
      <c r="P54" s="67">
        <f t="shared" si="27"/>
        <v>29.582608695652173</v>
      </c>
      <c r="Q54" s="68">
        <f t="shared" si="28"/>
        <v>354.99130434782609</v>
      </c>
      <c r="R54" s="68">
        <f t="shared" si="29"/>
        <v>85.5174052173913</v>
      </c>
      <c r="S54" s="69">
        <f t="shared" si="30"/>
        <v>440.50870956521737</v>
      </c>
    </row>
    <row r="55" spans="2:19" x14ac:dyDescent="0.2">
      <c r="B55" s="90" t="s">
        <v>29</v>
      </c>
      <c r="C55" s="6"/>
      <c r="D55" s="3"/>
      <c r="E55" s="3">
        <v>9</v>
      </c>
      <c r="F55" s="3">
        <v>3</v>
      </c>
      <c r="G55" s="4">
        <v>1190</v>
      </c>
      <c r="H55" s="3">
        <v>1050</v>
      </c>
      <c r="I55" s="3">
        <v>50</v>
      </c>
      <c r="J55" s="316">
        <v>0.8</v>
      </c>
      <c r="K55" s="97">
        <f t="shared" si="22"/>
        <v>1260</v>
      </c>
      <c r="L55" s="59">
        <f t="shared" si="23"/>
        <v>1190</v>
      </c>
      <c r="M55" s="87">
        <f t="shared" si="24"/>
        <v>6.6666666666666643</v>
      </c>
      <c r="N55" s="67">
        <f t="shared" si="25"/>
        <v>56.666666666666664</v>
      </c>
      <c r="O55" s="59">
        <f t="shared" si="26"/>
        <v>146.66666666666666</v>
      </c>
      <c r="P55" s="67">
        <f t="shared" si="27"/>
        <v>117.33333333333333</v>
      </c>
      <c r="Q55" s="68">
        <f t="shared" si="28"/>
        <v>1408</v>
      </c>
      <c r="R55" s="68">
        <f t="shared" si="29"/>
        <v>339.18720000000002</v>
      </c>
      <c r="S55" s="69">
        <f t="shared" si="30"/>
        <v>1747.1872000000001</v>
      </c>
    </row>
    <row r="56" spans="2:19" x14ac:dyDescent="0.2">
      <c r="B56" s="90" t="s">
        <v>30</v>
      </c>
      <c r="C56" s="6"/>
      <c r="D56" s="3"/>
      <c r="E56" s="3">
        <v>4</v>
      </c>
      <c r="F56" s="3">
        <v>3</v>
      </c>
      <c r="G56" s="4">
        <v>705</v>
      </c>
      <c r="H56" s="3">
        <v>640</v>
      </c>
      <c r="I56" s="3">
        <v>50</v>
      </c>
      <c r="J56" s="316">
        <v>2</v>
      </c>
      <c r="K56" s="97">
        <f t="shared" si="22"/>
        <v>768</v>
      </c>
      <c r="L56" s="59">
        <f t="shared" si="23"/>
        <v>705</v>
      </c>
      <c r="M56" s="87">
        <f t="shared" si="24"/>
        <v>5.078125</v>
      </c>
      <c r="N56" s="67">
        <f t="shared" si="25"/>
        <v>55.078125</v>
      </c>
      <c r="O56" s="59">
        <f t="shared" si="26"/>
        <v>70.078125</v>
      </c>
      <c r="P56" s="67">
        <f t="shared" si="27"/>
        <v>140.15625</v>
      </c>
      <c r="Q56" s="68">
        <f t="shared" si="28"/>
        <v>1681.875</v>
      </c>
      <c r="R56" s="68">
        <f t="shared" si="29"/>
        <v>405.16368749999998</v>
      </c>
      <c r="S56" s="69">
        <f t="shared" si="30"/>
        <v>2087.0386874999999</v>
      </c>
    </row>
    <row r="57" spans="2:19" x14ac:dyDescent="0.2">
      <c r="B57" s="90" t="s">
        <v>30</v>
      </c>
      <c r="C57" s="6"/>
      <c r="D57" s="3"/>
      <c r="E57" s="3">
        <v>4</v>
      </c>
      <c r="F57" s="3">
        <v>3</v>
      </c>
      <c r="G57" s="4">
        <v>705</v>
      </c>
      <c r="H57" s="3">
        <v>590</v>
      </c>
      <c r="I57" s="3">
        <v>50</v>
      </c>
      <c r="J57" s="316">
        <v>2</v>
      </c>
      <c r="K57" s="97">
        <f t="shared" si="22"/>
        <v>708</v>
      </c>
      <c r="L57" s="59">
        <f t="shared" si="23"/>
        <v>705</v>
      </c>
      <c r="M57" s="87">
        <f t="shared" si="24"/>
        <v>9.7457627118644012</v>
      </c>
      <c r="N57" s="67">
        <f t="shared" si="25"/>
        <v>59.745762711864401</v>
      </c>
      <c r="O57" s="59">
        <f t="shared" si="26"/>
        <v>124.7457627118644</v>
      </c>
      <c r="P57" s="67">
        <f t="shared" si="27"/>
        <v>249.4915254237288</v>
      </c>
      <c r="Q57" s="68">
        <f t="shared" si="28"/>
        <v>2993.8983050847455</v>
      </c>
      <c r="R57" s="68">
        <f t="shared" si="29"/>
        <v>721.23010169491522</v>
      </c>
      <c r="S57" s="69">
        <f t="shared" si="30"/>
        <v>3715.1284067796605</v>
      </c>
    </row>
    <row r="58" spans="2:19" x14ac:dyDescent="0.2">
      <c r="B58" s="90" t="s">
        <v>31</v>
      </c>
      <c r="C58" s="6"/>
      <c r="D58" s="3"/>
      <c r="E58" s="3">
        <v>2</v>
      </c>
      <c r="F58" s="3">
        <v>3</v>
      </c>
      <c r="G58" s="4">
        <v>511</v>
      </c>
      <c r="H58" s="3">
        <v>460</v>
      </c>
      <c r="I58" s="3">
        <v>25</v>
      </c>
      <c r="J58" s="316">
        <v>1.2</v>
      </c>
      <c r="K58" s="97">
        <f t="shared" si="22"/>
        <v>552</v>
      </c>
      <c r="L58" s="59">
        <f t="shared" si="23"/>
        <v>511</v>
      </c>
      <c r="M58" s="87">
        <f t="shared" si="24"/>
        <v>2.7717391304347814</v>
      </c>
      <c r="N58" s="67">
        <f t="shared" si="25"/>
        <v>27.771739130434781</v>
      </c>
      <c r="O58" s="59">
        <f t="shared" si="26"/>
        <v>53.771739130434781</v>
      </c>
      <c r="P58" s="67">
        <f t="shared" si="27"/>
        <v>64.526086956521738</v>
      </c>
      <c r="Q58" s="68">
        <f t="shared" si="28"/>
        <v>774.31304347826085</v>
      </c>
      <c r="R58" s="68">
        <f t="shared" si="29"/>
        <v>186.53201217391305</v>
      </c>
      <c r="S58" s="69">
        <f t="shared" si="30"/>
        <v>960.84505565217387</v>
      </c>
    </row>
    <row r="59" spans="2:19" hidden="1" x14ac:dyDescent="0.2">
      <c r="B59" s="90"/>
      <c r="C59" s="6"/>
      <c r="D59" s="3"/>
      <c r="E59" s="3"/>
      <c r="F59" s="3"/>
      <c r="G59" s="4"/>
      <c r="H59" s="3"/>
      <c r="I59" s="3"/>
      <c r="J59" s="316"/>
      <c r="K59" s="100"/>
      <c r="L59" s="20"/>
      <c r="M59" s="20"/>
      <c r="N59" s="20"/>
      <c r="O59" s="20"/>
      <c r="P59" s="20"/>
      <c r="Q59" s="20"/>
      <c r="R59" s="20"/>
      <c r="S59" s="95"/>
    </row>
    <row r="60" spans="2:19" s="101" customFormat="1" x14ac:dyDescent="0.25">
      <c r="B60" s="119" t="s">
        <v>4</v>
      </c>
      <c r="C60" s="103"/>
      <c r="D60" s="103"/>
      <c r="E60" s="103"/>
      <c r="F60" s="104"/>
      <c r="G60" s="105"/>
      <c r="H60" s="106"/>
      <c r="I60" s="76"/>
      <c r="J60" s="123">
        <f>SUM(J52:J58)</f>
        <v>7.7</v>
      </c>
      <c r="K60" s="75"/>
      <c r="L60" s="76"/>
      <c r="M60" s="77"/>
      <c r="N60" s="78"/>
      <c r="O60" s="76"/>
      <c r="P60" s="78"/>
      <c r="Q60" s="79">
        <f>SUM(Q52:Q58)</f>
        <v>8914.5031074562867</v>
      </c>
      <c r="R60" s="79">
        <f>SUM(R52:R58)</f>
        <v>2147.5037985862195</v>
      </c>
      <c r="S60" s="80">
        <f>SUM(S52:S58)</f>
        <v>11062.006906042505</v>
      </c>
    </row>
    <row r="61" spans="2:19" x14ac:dyDescent="0.2">
      <c r="B61" s="110" t="s">
        <v>191</v>
      </c>
      <c r="C61" s="111"/>
      <c r="D61" s="111"/>
      <c r="E61" s="111"/>
      <c r="F61" s="111"/>
      <c r="G61" s="111"/>
      <c r="H61" s="111"/>
      <c r="I61" s="111"/>
      <c r="J61" s="320">
        <f>J60+J50+J43</f>
        <v>29.85</v>
      </c>
      <c r="K61" s="112"/>
      <c r="L61" s="113"/>
      <c r="M61" s="113"/>
      <c r="N61" s="114"/>
      <c r="O61" s="115"/>
      <c r="P61" s="114"/>
      <c r="Q61" s="116">
        <f>Q60+Q50+Q43</f>
        <v>52760.625084632426</v>
      </c>
      <c r="R61" s="116">
        <f>R60+R50+R43</f>
        <v>12710.034582887951</v>
      </c>
      <c r="S61" s="117">
        <f>S60+S50+S43</f>
        <v>65470.659667520376</v>
      </c>
    </row>
    <row r="62" spans="2:19" s="101" customFormat="1" x14ac:dyDescent="0.25">
      <c r="B62" s="102" t="s">
        <v>20</v>
      </c>
      <c r="C62" s="103"/>
      <c r="D62" s="103"/>
      <c r="E62" s="103"/>
      <c r="F62" s="103"/>
      <c r="G62" s="105"/>
      <c r="H62" s="106"/>
      <c r="I62" s="76"/>
      <c r="J62" s="123">
        <f>J23+J43</f>
        <v>15.25</v>
      </c>
      <c r="K62" s="118"/>
      <c r="L62" s="76"/>
      <c r="M62" s="77"/>
      <c r="N62" s="78"/>
      <c r="O62" s="76"/>
      <c r="P62" s="78"/>
      <c r="Q62" s="79">
        <f>Q23+Q43</f>
        <v>34797.349205967148</v>
      </c>
      <c r="R62" s="79">
        <f>R23+R43</f>
        <v>8382.6814237174876</v>
      </c>
      <c r="S62" s="80">
        <f>S23+S43</f>
        <v>43180.030629684639</v>
      </c>
    </row>
    <row r="63" spans="2:19" s="101" customFormat="1" x14ac:dyDescent="0.25">
      <c r="B63" s="102" t="s">
        <v>10</v>
      </c>
      <c r="C63" s="103"/>
      <c r="D63" s="103"/>
      <c r="E63" s="103"/>
      <c r="F63" s="103"/>
      <c r="G63" s="105"/>
      <c r="H63" s="106"/>
      <c r="I63" s="76"/>
      <c r="J63" s="123">
        <f>J32+J50</f>
        <v>14.9</v>
      </c>
      <c r="K63" s="118"/>
      <c r="L63" s="76"/>
      <c r="M63" s="77"/>
      <c r="N63" s="78"/>
      <c r="O63" s="76"/>
      <c r="P63" s="78"/>
      <c r="Q63" s="79">
        <f>Q32+Q50</f>
        <v>24931.070938215104</v>
      </c>
      <c r="R63" s="79">
        <f>R32+R50</f>
        <v>6005.8949890160175</v>
      </c>
      <c r="S63" s="80">
        <f>S32+S50</f>
        <v>30936.965927231118</v>
      </c>
    </row>
    <row r="64" spans="2:19" s="101" customFormat="1" x14ac:dyDescent="0.25">
      <c r="B64" s="102" t="s">
        <v>11</v>
      </c>
      <c r="C64" s="103"/>
      <c r="D64" s="103"/>
      <c r="E64" s="103"/>
      <c r="F64" s="103"/>
      <c r="G64" s="105"/>
      <c r="H64" s="106"/>
      <c r="I64" s="76"/>
      <c r="J64" s="123">
        <f>J60</f>
        <v>7.7</v>
      </c>
      <c r="K64" s="118"/>
      <c r="L64" s="76"/>
      <c r="M64" s="77"/>
      <c r="N64" s="78"/>
      <c r="O64" s="76"/>
      <c r="P64" s="78"/>
      <c r="Q64" s="79">
        <f>Q60</f>
        <v>8914.5031074562867</v>
      </c>
      <c r="R64" s="79">
        <f>R60</f>
        <v>2147.5037985862195</v>
      </c>
      <c r="S64" s="80">
        <f>S60</f>
        <v>11062.006906042505</v>
      </c>
    </row>
    <row r="65" spans="2:19" s="58" customFormat="1" ht="13.5" customHeight="1" thickBot="1" x14ac:dyDescent="0.25">
      <c r="B65" s="81" t="s">
        <v>194</v>
      </c>
      <c r="C65" s="82"/>
      <c r="D65" s="82"/>
      <c r="E65" s="82"/>
      <c r="F65" s="82"/>
      <c r="G65" s="108"/>
      <c r="H65" s="109"/>
      <c r="I65" s="109"/>
      <c r="J65" s="134">
        <f>J62+J63+J64</f>
        <v>37.85</v>
      </c>
      <c r="K65" s="81"/>
      <c r="L65" s="82"/>
      <c r="M65" s="82"/>
      <c r="N65" s="82"/>
      <c r="O65" s="82"/>
      <c r="P65" s="82"/>
      <c r="Q65" s="83">
        <f>Q62+Q63+Q64</f>
        <v>68642.923251638538</v>
      </c>
      <c r="R65" s="83">
        <f>R62+R63+R64</f>
        <v>16536.080211319724</v>
      </c>
      <c r="S65" s="84">
        <f>S62+S63+S64</f>
        <v>85179.003462958251</v>
      </c>
    </row>
    <row r="66" spans="2:19" ht="6" customHeight="1" thickBot="1" x14ac:dyDescent="0.25"/>
    <row r="67" spans="2:19" s="2" customFormat="1" ht="13.5" thickBot="1" x14ac:dyDescent="0.25">
      <c r="B67" s="881" t="s">
        <v>180</v>
      </c>
      <c r="C67" s="882"/>
      <c r="D67" s="882"/>
      <c r="E67" s="882"/>
      <c r="F67" s="882"/>
      <c r="G67" s="882"/>
      <c r="H67" s="882"/>
      <c r="I67" s="882"/>
      <c r="J67" s="882"/>
      <c r="K67" s="882"/>
      <c r="L67" s="882"/>
      <c r="M67" s="882"/>
      <c r="N67" s="882"/>
      <c r="O67" s="882"/>
      <c r="P67" s="882"/>
      <c r="Q67" s="882"/>
      <c r="R67" s="882"/>
      <c r="S67" s="883"/>
    </row>
    <row r="68" spans="2:19" s="2" customFormat="1" ht="15.75" customHeight="1" x14ac:dyDescent="0.2">
      <c r="B68" s="895" t="s">
        <v>198</v>
      </c>
      <c r="C68" s="896"/>
      <c r="D68" s="896"/>
      <c r="E68" s="896"/>
      <c r="F68" s="896"/>
      <c r="G68" s="896"/>
      <c r="H68" s="896"/>
      <c r="I68" s="896"/>
      <c r="J68" s="896"/>
      <c r="K68" s="896"/>
      <c r="L68" s="896"/>
      <c r="M68" s="896"/>
      <c r="N68" s="896"/>
      <c r="O68" s="896"/>
      <c r="P68" s="896"/>
      <c r="Q68" s="896"/>
      <c r="R68" s="896"/>
      <c r="S68" s="897"/>
    </row>
    <row r="69" spans="2:19" x14ac:dyDescent="0.2">
      <c r="B69" s="873" t="s">
        <v>20</v>
      </c>
      <c r="C69" s="874"/>
      <c r="D69" s="874"/>
      <c r="E69" s="874"/>
      <c r="F69" s="11"/>
      <c r="G69" s="11"/>
      <c r="H69" s="11"/>
      <c r="I69" s="11"/>
      <c r="J69" s="147"/>
      <c r="K69" s="96"/>
      <c r="L69" s="11"/>
      <c r="M69" s="11"/>
      <c r="N69" s="11"/>
      <c r="O69" s="11"/>
      <c r="P69" s="11"/>
      <c r="Q69" s="11"/>
      <c r="R69" s="11"/>
      <c r="S69" s="85"/>
    </row>
    <row r="70" spans="2:19" ht="15.75" customHeight="1" x14ac:dyDescent="0.2">
      <c r="B70" s="90" t="s">
        <v>32</v>
      </c>
      <c r="C70" s="6" t="s">
        <v>13</v>
      </c>
      <c r="D70" s="3" t="s">
        <v>15</v>
      </c>
      <c r="E70" s="3">
        <v>8</v>
      </c>
      <c r="F70" s="3">
        <v>3</v>
      </c>
      <c r="G70" s="4">
        <v>1093</v>
      </c>
      <c r="H70" s="3">
        <v>1093</v>
      </c>
      <c r="I70" s="3">
        <f t="shared" ref="I70:I77" si="31">ROUND((H70*25%),0)</f>
        <v>273</v>
      </c>
      <c r="J70" s="316">
        <v>20.5</v>
      </c>
      <c r="K70" s="97">
        <f t="shared" ref="K70:K77" si="32">H70*1.2</f>
        <v>1311.6</v>
      </c>
      <c r="L70" s="59">
        <f t="shared" ref="L70:L77" si="33">IF(K70&lt;=G70,K70,G70)</f>
        <v>1093</v>
      </c>
      <c r="M70" s="87">
        <f t="shared" ref="M70:M77" si="34">N70-I70</f>
        <v>0</v>
      </c>
      <c r="N70" s="67">
        <f t="shared" ref="N70:N77" si="35">I70/H70*L70</f>
        <v>273</v>
      </c>
      <c r="O70" s="59">
        <f t="shared" ref="O70:O77" si="36">L70-H70+M70</f>
        <v>0</v>
      </c>
      <c r="P70" s="67">
        <f t="shared" ref="P70:P77" si="37">O70*J70</f>
        <v>0</v>
      </c>
      <c r="Q70" s="68">
        <f t="shared" ref="Q70:Q77" si="38">P70*12</f>
        <v>0</v>
      </c>
      <c r="R70" s="68">
        <f t="shared" ref="R70:R77" si="39">Q70*0.2409</f>
        <v>0</v>
      </c>
      <c r="S70" s="69">
        <f t="shared" ref="S70:S77" si="40">Q70+R70</f>
        <v>0</v>
      </c>
    </row>
    <row r="71" spans="2:19" ht="15.75" customHeight="1" x14ac:dyDescent="0.2">
      <c r="B71" s="90" t="s">
        <v>2</v>
      </c>
      <c r="C71" s="6" t="s">
        <v>13</v>
      </c>
      <c r="D71" s="3" t="s">
        <v>14</v>
      </c>
      <c r="E71" s="3">
        <v>10</v>
      </c>
      <c r="F71" s="3">
        <v>3</v>
      </c>
      <c r="G71" s="4">
        <v>1287</v>
      </c>
      <c r="H71" s="3">
        <v>1287</v>
      </c>
      <c r="I71" s="3">
        <f t="shared" si="31"/>
        <v>322</v>
      </c>
      <c r="J71" s="316">
        <v>36</v>
      </c>
      <c r="K71" s="97">
        <f t="shared" si="32"/>
        <v>1544.3999999999999</v>
      </c>
      <c r="L71" s="59">
        <f t="shared" si="33"/>
        <v>1287</v>
      </c>
      <c r="M71" s="87">
        <f t="shared" si="34"/>
        <v>0</v>
      </c>
      <c r="N71" s="67">
        <f t="shared" si="35"/>
        <v>322</v>
      </c>
      <c r="O71" s="59">
        <f t="shared" si="36"/>
        <v>0</v>
      </c>
      <c r="P71" s="67">
        <f t="shared" si="37"/>
        <v>0</v>
      </c>
      <c r="Q71" s="68">
        <f t="shared" si="38"/>
        <v>0</v>
      </c>
      <c r="R71" s="68">
        <f t="shared" si="39"/>
        <v>0</v>
      </c>
      <c r="S71" s="69">
        <f t="shared" si="40"/>
        <v>0</v>
      </c>
    </row>
    <row r="72" spans="2:19" ht="15.75" customHeight="1" x14ac:dyDescent="0.2">
      <c r="B72" s="90" t="s">
        <v>2</v>
      </c>
      <c r="C72" s="6" t="s">
        <v>13</v>
      </c>
      <c r="D72" s="3" t="s">
        <v>33</v>
      </c>
      <c r="E72" s="3">
        <v>9</v>
      </c>
      <c r="F72" s="3">
        <v>3</v>
      </c>
      <c r="G72" s="4">
        <v>1190</v>
      </c>
      <c r="H72" s="3">
        <v>1190</v>
      </c>
      <c r="I72" s="3">
        <f t="shared" si="31"/>
        <v>298</v>
      </c>
      <c r="J72" s="316">
        <v>5.25</v>
      </c>
      <c r="K72" s="97">
        <f t="shared" si="32"/>
        <v>1428</v>
      </c>
      <c r="L72" s="59">
        <f t="shared" si="33"/>
        <v>1190</v>
      </c>
      <c r="M72" s="87">
        <f t="shared" si="34"/>
        <v>0</v>
      </c>
      <c r="N72" s="67">
        <f t="shared" si="35"/>
        <v>298</v>
      </c>
      <c r="O72" s="59">
        <f t="shared" si="36"/>
        <v>0</v>
      </c>
      <c r="P72" s="67">
        <f t="shared" si="37"/>
        <v>0</v>
      </c>
      <c r="Q72" s="68">
        <f t="shared" si="38"/>
        <v>0</v>
      </c>
      <c r="R72" s="68">
        <f t="shared" si="39"/>
        <v>0</v>
      </c>
      <c r="S72" s="69">
        <f t="shared" si="40"/>
        <v>0</v>
      </c>
    </row>
    <row r="73" spans="2:19" ht="15.75" customHeight="1" x14ac:dyDescent="0.2">
      <c r="B73" s="90" t="s">
        <v>2</v>
      </c>
      <c r="C73" s="6" t="s">
        <v>13</v>
      </c>
      <c r="D73" s="3" t="s">
        <v>14</v>
      </c>
      <c r="E73" s="3">
        <v>10</v>
      </c>
      <c r="F73" s="3">
        <v>2</v>
      </c>
      <c r="G73" s="4">
        <v>1115</v>
      </c>
      <c r="H73" s="3">
        <v>1115</v>
      </c>
      <c r="I73" s="3">
        <f t="shared" si="31"/>
        <v>279</v>
      </c>
      <c r="J73" s="316">
        <v>1</v>
      </c>
      <c r="K73" s="97">
        <f t="shared" si="32"/>
        <v>1338</v>
      </c>
      <c r="L73" s="59">
        <f t="shared" si="33"/>
        <v>1115</v>
      </c>
      <c r="M73" s="87">
        <f t="shared" si="34"/>
        <v>0</v>
      </c>
      <c r="N73" s="67">
        <f t="shared" si="35"/>
        <v>279</v>
      </c>
      <c r="O73" s="59">
        <f t="shared" si="36"/>
        <v>0</v>
      </c>
      <c r="P73" s="67">
        <f t="shared" si="37"/>
        <v>0</v>
      </c>
      <c r="Q73" s="68">
        <f t="shared" si="38"/>
        <v>0</v>
      </c>
      <c r="R73" s="68">
        <f t="shared" si="39"/>
        <v>0</v>
      </c>
      <c r="S73" s="69">
        <f t="shared" si="40"/>
        <v>0</v>
      </c>
    </row>
    <row r="74" spans="2:19" ht="15.75" customHeight="1" x14ac:dyDescent="0.2">
      <c r="B74" s="90" t="s">
        <v>34</v>
      </c>
      <c r="C74" s="6" t="s">
        <v>13</v>
      </c>
      <c r="D74" s="3" t="s">
        <v>35</v>
      </c>
      <c r="E74" s="3">
        <v>12</v>
      </c>
      <c r="F74" s="3">
        <v>3</v>
      </c>
      <c r="G74" s="4">
        <v>1647</v>
      </c>
      <c r="H74" s="3">
        <v>1524</v>
      </c>
      <c r="I74" s="3">
        <f t="shared" si="31"/>
        <v>381</v>
      </c>
      <c r="J74" s="316">
        <v>8</v>
      </c>
      <c r="K74" s="97">
        <f t="shared" si="32"/>
        <v>1828.8</v>
      </c>
      <c r="L74" s="59">
        <f t="shared" si="33"/>
        <v>1647</v>
      </c>
      <c r="M74" s="87">
        <f t="shared" si="34"/>
        <v>30.75</v>
      </c>
      <c r="N74" s="67">
        <f t="shared" si="35"/>
        <v>411.75</v>
      </c>
      <c r="O74" s="59">
        <f t="shared" si="36"/>
        <v>153.75</v>
      </c>
      <c r="P74" s="67">
        <f t="shared" si="37"/>
        <v>1230</v>
      </c>
      <c r="Q74" s="68">
        <f t="shared" si="38"/>
        <v>14760</v>
      </c>
      <c r="R74" s="68">
        <f t="shared" si="39"/>
        <v>3555.6840000000002</v>
      </c>
      <c r="S74" s="69">
        <f t="shared" si="40"/>
        <v>18315.684000000001</v>
      </c>
    </row>
    <row r="75" spans="2:19" ht="15.75" customHeight="1" x14ac:dyDescent="0.2">
      <c r="B75" s="90" t="s">
        <v>36</v>
      </c>
      <c r="C75" s="6" t="s">
        <v>13</v>
      </c>
      <c r="D75" s="3" t="s">
        <v>35</v>
      </c>
      <c r="E75" s="3">
        <v>12</v>
      </c>
      <c r="F75" s="3">
        <v>3</v>
      </c>
      <c r="G75" s="4">
        <v>1647</v>
      </c>
      <c r="H75" s="3">
        <v>1524</v>
      </c>
      <c r="I75" s="3">
        <f t="shared" si="31"/>
        <v>381</v>
      </c>
      <c r="J75" s="316">
        <v>3</v>
      </c>
      <c r="K75" s="97">
        <f t="shared" si="32"/>
        <v>1828.8</v>
      </c>
      <c r="L75" s="59">
        <f t="shared" si="33"/>
        <v>1647</v>
      </c>
      <c r="M75" s="87">
        <f t="shared" si="34"/>
        <v>30.75</v>
      </c>
      <c r="N75" s="67">
        <f t="shared" si="35"/>
        <v>411.75</v>
      </c>
      <c r="O75" s="59">
        <f t="shared" si="36"/>
        <v>153.75</v>
      </c>
      <c r="P75" s="67">
        <f t="shared" si="37"/>
        <v>461.25</v>
      </c>
      <c r="Q75" s="68">
        <f t="shared" si="38"/>
        <v>5535</v>
      </c>
      <c r="R75" s="68">
        <f t="shared" si="39"/>
        <v>1333.3815</v>
      </c>
      <c r="S75" s="69">
        <f t="shared" si="40"/>
        <v>6868.3814999999995</v>
      </c>
    </row>
    <row r="76" spans="2:19" ht="15.75" customHeight="1" x14ac:dyDescent="0.2">
      <c r="B76" s="90" t="s">
        <v>26</v>
      </c>
      <c r="C76" s="6" t="s">
        <v>13</v>
      </c>
      <c r="D76" s="3" t="s">
        <v>37</v>
      </c>
      <c r="E76" s="3">
        <v>8</v>
      </c>
      <c r="F76" s="3">
        <v>3</v>
      </c>
      <c r="G76" s="4">
        <v>1093</v>
      </c>
      <c r="H76" s="3">
        <v>1093</v>
      </c>
      <c r="I76" s="3">
        <f t="shared" si="31"/>
        <v>273</v>
      </c>
      <c r="J76" s="316">
        <v>3.25</v>
      </c>
      <c r="K76" s="97">
        <f t="shared" si="32"/>
        <v>1311.6</v>
      </c>
      <c r="L76" s="59">
        <f t="shared" si="33"/>
        <v>1093</v>
      </c>
      <c r="M76" s="87">
        <f t="shared" si="34"/>
        <v>0</v>
      </c>
      <c r="N76" s="67">
        <f t="shared" si="35"/>
        <v>273</v>
      </c>
      <c r="O76" s="59">
        <f t="shared" si="36"/>
        <v>0</v>
      </c>
      <c r="P76" s="67">
        <f t="shared" si="37"/>
        <v>0</v>
      </c>
      <c r="Q76" s="68">
        <f t="shared" si="38"/>
        <v>0</v>
      </c>
      <c r="R76" s="68">
        <f t="shared" si="39"/>
        <v>0</v>
      </c>
      <c r="S76" s="69">
        <f t="shared" si="40"/>
        <v>0</v>
      </c>
    </row>
    <row r="77" spans="2:19" ht="15.75" customHeight="1" x14ac:dyDescent="0.2">
      <c r="B77" s="90" t="s">
        <v>38</v>
      </c>
      <c r="C77" s="6" t="s">
        <v>13</v>
      </c>
      <c r="D77" s="3" t="s">
        <v>39</v>
      </c>
      <c r="E77" s="3">
        <v>12</v>
      </c>
      <c r="F77" s="3">
        <v>3</v>
      </c>
      <c r="G77" s="4">
        <v>1647</v>
      </c>
      <c r="H77" s="3">
        <v>1647</v>
      </c>
      <c r="I77" s="3">
        <f t="shared" si="31"/>
        <v>412</v>
      </c>
      <c r="J77" s="316">
        <v>1</v>
      </c>
      <c r="K77" s="97">
        <f t="shared" si="32"/>
        <v>1976.3999999999999</v>
      </c>
      <c r="L77" s="59">
        <f t="shared" si="33"/>
        <v>1647</v>
      </c>
      <c r="M77" s="87">
        <f t="shared" si="34"/>
        <v>0</v>
      </c>
      <c r="N77" s="67">
        <f t="shared" si="35"/>
        <v>412</v>
      </c>
      <c r="O77" s="59">
        <f t="shared" si="36"/>
        <v>0</v>
      </c>
      <c r="P77" s="67">
        <f t="shared" si="37"/>
        <v>0</v>
      </c>
      <c r="Q77" s="68">
        <f t="shared" si="38"/>
        <v>0</v>
      </c>
      <c r="R77" s="68">
        <f t="shared" si="39"/>
        <v>0</v>
      </c>
      <c r="S77" s="69">
        <f t="shared" si="40"/>
        <v>0</v>
      </c>
    </row>
    <row r="78" spans="2:19" s="101" customFormat="1" x14ac:dyDescent="0.25">
      <c r="B78" s="119" t="s">
        <v>4</v>
      </c>
      <c r="C78" s="103"/>
      <c r="D78" s="103"/>
      <c r="E78" s="103"/>
      <c r="F78" s="103"/>
      <c r="G78" s="105"/>
      <c r="H78" s="106"/>
      <c r="I78" s="76"/>
      <c r="J78" s="123">
        <f>SUM(J70:J77)</f>
        <v>78</v>
      </c>
      <c r="K78" s="118"/>
      <c r="L78" s="76"/>
      <c r="M78" s="77"/>
      <c r="N78" s="78"/>
      <c r="O78" s="76"/>
      <c r="P78" s="78"/>
      <c r="Q78" s="79">
        <f>SUM(Q70:Q77)</f>
        <v>20295</v>
      </c>
      <c r="R78" s="79">
        <f>SUM(R70:R77)</f>
        <v>4889.0655000000006</v>
      </c>
      <c r="S78" s="80">
        <f>SUM(S70:S77)</f>
        <v>25184.065500000001</v>
      </c>
    </row>
    <row r="79" spans="2:19" x14ac:dyDescent="0.2">
      <c r="B79" s="875" t="s">
        <v>10</v>
      </c>
      <c r="C79" s="876"/>
      <c r="D79" s="876"/>
      <c r="E79" s="876"/>
      <c r="F79" s="11"/>
      <c r="G79" s="11"/>
      <c r="H79" s="11"/>
      <c r="I79" s="11"/>
      <c r="J79" s="147"/>
      <c r="K79" s="96"/>
      <c r="L79" s="11"/>
      <c r="M79" s="11"/>
      <c r="N79" s="11"/>
      <c r="O79" s="11"/>
      <c r="P79" s="11"/>
      <c r="Q79" s="11"/>
      <c r="R79" s="11"/>
      <c r="S79" s="85"/>
    </row>
    <row r="80" spans="2:19" x14ac:dyDescent="0.2">
      <c r="B80" s="90" t="s">
        <v>40</v>
      </c>
      <c r="C80" s="6" t="s">
        <v>41</v>
      </c>
      <c r="D80" s="3" t="s">
        <v>42</v>
      </c>
      <c r="E80" s="3">
        <v>9</v>
      </c>
      <c r="F80" s="3">
        <v>3</v>
      </c>
      <c r="G80" s="4">
        <v>1190</v>
      </c>
      <c r="H80" s="3">
        <v>1190</v>
      </c>
      <c r="I80" s="3">
        <f t="shared" ref="I80:I85" si="41">ROUND((H80*25%),0)</f>
        <v>298</v>
      </c>
      <c r="J80" s="316">
        <v>1</v>
      </c>
      <c r="K80" s="97">
        <f t="shared" ref="K80:K85" si="42">H80*1.2</f>
        <v>1428</v>
      </c>
      <c r="L80" s="59">
        <f t="shared" ref="L80:L85" si="43">IF(K80&lt;=G80,K80,G80)</f>
        <v>1190</v>
      </c>
      <c r="M80" s="87">
        <f t="shared" ref="M80:M85" si="44">N80-I80</f>
        <v>0</v>
      </c>
      <c r="N80" s="67">
        <f t="shared" ref="N80:N85" si="45">I80/H80*L80</f>
        <v>298</v>
      </c>
      <c r="O80" s="59">
        <f t="shared" ref="O80:O85" si="46">L80-H80+M80</f>
        <v>0</v>
      </c>
      <c r="P80" s="67">
        <f t="shared" ref="P80:P85" si="47">O80*J80</f>
        <v>0</v>
      </c>
      <c r="Q80" s="68">
        <f t="shared" ref="Q80:Q85" si="48">P80*12</f>
        <v>0</v>
      </c>
      <c r="R80" s="68">
        <f t="shared" ref="R80:R85" si="49">Q80*0.2409</f>
        <v>0</v>
      </c>
      <c r="S80" s="69">
        <f t="shared" ref="S80:S85" si="50">Q80+R80</f>
        <v>0</v>
      </c>
    </row>
    <row r="81" spans="2:19" x14ac:dyDescent="0.2">
      <c r="B81" s="90" t="s">
        <v>43</v>
      </c>
      <c r="C81" s="6" t="s">
        <v>44</v>
      </c>
      <c r="D81" s="3" t="s">
        <v>14</v>
      </c>
      <c r="E81" s="3">
        <v>7</v>
      </c>
      <c r="F81" s="3">
        <v>3</v>
      </c>
      <c r="G81" s="4">
        <v>996</v>
      </c>
      <c r="H81" s="3">
        <v>996</v>
      </c>
      <c r="I81" s="3">
        <f t="shared" si="41"/>
        <v>249</v>
      </c>
      <c r="J81" s="316">
        <v>36</v>
      </c>
      <c r="K81" s="97">
        <f t="shared" si="42"/>
        <v>1195.2</v>
      </c>
      <c r="L81" s="59">
        <f t="shared" si="43"/>
        <v>996</v>
      </c>
      <c r="M81" s="87">
        <f t="shared" si="44"/>
        <v>0</v>
      </c>
      <c r="N81" s="67">
        <f t="shared" si="45"/>
        <v>249</v>
      </c>
      <c r="O81" s="59">
        <f t="shared" si="46"/>
        <v>0</v>
      </c>
      <c r="P81" s="67">
        <f t="shared" si="47"/>
        <v>0</v>
      </c>
      <c r="Q81" s="68">
        <f t="shared" si="48"/>
        <v>0</v>
      </c>
      <c r="R81" s="68">
        <f t="shared" si="49"/>
        <v>0</v>
      </c>
      <c r="S81" s="69">
        <f t="shared" si="50"/>
        <v>0</v>
      </c>
    </row>
    <row r="82" spans="2:19" x14ac:dyDescent="0.2">
      <c r="B82" s="90" t="s">
        <v>43</v>
      </c>
      <c r="C82" s="6" t="s">
        <v>44</v>
      </c>
      <c r="D82" s="3" t="s">
        <v>45</v>
      </c>
      <c r="E82" s="3">
        <v>6</v>
      </c>
      <c r="F82" s="3">
        <v>3</v>
      </c>
      <c r="G82" s="4">
        <v>899</v>
      </c>
      <c r="H82" s="3">
        <v>899</v>
      </c>
      <c r="I82" s="3">
        <f t="shared" si="41"/>
        <v>225</v>
      </c>
      <c r="J82" s="316">
        <v>2</v>
      </c>
      <c r="K82" s="97">
        <f t="shared" si="42"/>
        <v>1078.8</v>
      </c>
      <c r="L82" s="59">
        <f t="shared" si="43"/>
        <v>899</v>
      </c>
      <c r="M82" s="87">
        <f t="shared" si="44"/>
        <v>0</v>
      </c>
      <c r="N82" s="67">
        <f t="shared" si="45"/>
        <v>225</v>
      </c>
      <c r="O82" s="59">
        <f t="shared" si="46"/>
        <v>0</v>
      </c>
      <c r="P82" s="67">
        <f t="shared" si="47"/>
        <v>0</v>
      </c>
      <c r="Q82" s="68">
        <f t="shared" si="48"/>
        <v>0</v>
      </c>
      <c r="R82" s="68">
        <f t="shared" si="49"/>
        <v>0</v>
      </c>
      <c r="S82" s="69">
        <f t="shared" si="50"/>
        <v>0</v>
      </c>
    </row>
    <row r="83" spans="2:19" x14ac:dyDescent="0.2">
      <c r="B83" s="90" t="s">
        <v>43</v>
      </c>
      <c r="C83" s="6" t="s">
        <v>44</v>
      </c>
      <c r="D83" s="3" t="s">
        <v>14</v>
      </c>
      <c r="E83" s="3">
        <v>7</v>
      </c>
      <c r="F83" s="3">
        <v>2</v>
      </c>
      <c r="G83" s="4">
        <v>835</v>
      </c>
      <c r="H83" s="3">
        <v>835</v>
      </c>
      <c r="I83" s="3">
        <f t="shared" si="41"/>
        <v>209</v>
      </c>
      <c r="J83" s="316">
        <v>1</v>
      </c>
      <c r="K83" s="97">
        <f t="shared" si="42"/>
        <v>1002</v>
      </c>
      <c r="L83" s="59">
        <f t="shared" si="43"/>
        <v>835</v>
      </c>
      <c r="M83" s="87">
        <f t="shared" si="44"/>
        <v>0</v>
      </c>
      <c r="N83" s="67">
        <f t="shared" si="45"/>
        <v>209</v>
      </c>
      <c r="O83" s="59">
        <f t="shared" si="46"/>
        <v>0</v>
      </c>
      <c r="P83" s="67">
        <f t="shared" si="47"/>
        <v>0</v>
      </c>
      <c r="Q83" s="68">
        <f t="shared" si="48"/>
        <v>0</v>
      </c>
      <c r="R83" s="68">
        <f t="shared" si="49"/>
        <v>0</v>
      </c>
      <c r="S83" s="69">
        <f t="shared" si="50"/>
        <v>0</v>
      </c>
    </row>
    <row r="84" spans="2:19" x14ac:dyDescent="0.2">
      <c r="B84" s="90" t="s">
        <v>46</v>
      </c>
      <c r="C84" s="6" t="s">
        <v>44</v>
      </c>
      <c r="D84" s="3" t="s">
        <v>47</v>
      </c>
      <c r="E84" s="3">
        <v>5</v>
      </c>
      <c r="F84" s="3">
        <v>3</v>
      </c>
      <c r="G84" s="4">
        <v>802</v>
      </c>
      <c r="H84" s="3">
        <v>802</v>
      </c>
      <c r="I84" s="3">
        <f t="shared" si="41"/>
        <v>201</v>
      </c>
      <c r="J84" s="316">
        <v>4</v>
      </c>
      <c r="K84" s="97">
        <f t="shared" si="42"/>
        <v>962.4</v>
      </c>
      <c r="L84" s="59">
        <f t="shared" si="43"/>
        <v>802</v>
      </c>
      <c r="M84" s="87">
        <f t="shared" si="44"/>
        <v>0</v>
      </c>
      <c r="N84" s="67">
        <f t="shared" si="45"/>
        <v>201</v>
      </c>
      <c r="O84" s="59">
        <f t="shared" si="46"/>
        <v>0</v>
      </c>
      <c r="P84" s="67">
        <f t="shared" si="47"/>
        <v>0</v>
      </c>
      <c r="Q84" s="68">
        <f t="shared" si="48"/>
        <v>0</v>
      </c>
      <c r="R84" s="68">
        <f t="shared" si="49"/>
        <v>0</v>
      </c>
      <c r="S84" s="69">
        <f t="shared" si="50"/>
        <v>0</v>
      </c>
    </row>
    <row r="85" spans="2:19" x14ac:dyDescent="0.2">
      <c r="B85" s="90" t="s">
        <v>48</v>
      </c>
      <c r="C85" s="6" t="s">
        <v>44</v>
      </c>
      <c r="D85" s="3" t="s">
        <v>49</v>
      </c>
      <c r="E85" s="3">
        <v>8</v>
      </c>
      <c r="F85" s="3">
        <v>3</v>
      </c>
      <c r="G85" s="4">
        <v>1093</v>
      </c>
      <c r="H85" s="3">
        <v>1093</v>
      </c>
      <c r="I85" s="3">
        <f t="shared" si="41"/>
        <v>273</v>
      </c>
      <c r="J85" s="316">
        <v>10</v>
      </c>
      <c r="K85" s="97">
        <f t="shared" si="42"/>
        <v>1311.6</v>
      </c>
      <c r="L85" s="59">
        <f t="shared" si="43"/>
        <v>1093</v>
      </c>
      <c r="M85" s="87">
        <f t="shared" si="44"/>
        <v>0</v>
      </c>
      <c r="N85" s="67">
        <f t="shared" si="45"/>
        <v>273</v>
      </c>
      <c r="O85" s="59">
        <f t="shared" si="46"/>
        <v>0</v>
      </c>
      <c r="P85" s="67">
        <f t="shared" si="47"/>
        <v>0</v>
      </c>
      <c r="Q85" s="68">
        <f t="shared" si="48"/>
        <v>0</v>
      </c>
      <c r="R85" s="68">
        <f t="shared" si="49"/>
        <v>0</v>
      </c>
      <c r="S85" s="69">
        <f t="shared" si="50"/>
        <v>0</v>
      </c>
    </row>
    <row r="86" spans="2:19" s="101" customFormat="1" x14ac:dyDescent="0.25">
      <c r="B86" s="119" t="s">
        <v>4</v>
      </c>
      <c r="C86" s="103"/>
      <c r="D86" s="103"/>
      <c r="E86" s="103"/>
      <c r="F86" s="103"/>
      <c r="G86" s="105"/>
      <c r="H86" s="106"/>
      <c r="I86" s="76"/>
      <c r="J86" s="123">
        <f>SUM(J80:J85)</f>
        <v>54</v>
      </c>
      <c r="K86" s="118"/>
      <c r="L86" s="76"/>
      <c r="M86" s="77"/>
      <c r="N86" s="78"/>
      <c r="O86" s="76"/>
      <c r="P86" s="78"/>
      <c r="Q86" s="79">
        <f>SUM(Q80:Q85)</f>
        <v>0</v>
      </c>
      <c r="R86" s="79">
        <f>SUM(R80:R85)</f>
        <v>0</v>
      </c>
      <c r="S86" s="80">
        <f>SUM(S80:S85)</f>
        <v>0</v>
      </c>
    </row>
    <row r="87" spans="2:19" hidden="1" x14ac:dyDescent="0.2">
      <c r="B87" s="875" t="s">
        <v>11</v>
      </c>
      <c r="C87" s="876"/>
      <c r="D87" s="876"/>
      <c r="E87" s="876"/>
      <c r="F87" s="11"/>
      <c r="G87" s="11"/>
      <c r="H87" s="11"/>
      <c r="I87" s="11"/>
      <c r="J87" s="147">
        <f>SUM(J88:J89)</f>
        <v>0</v>
      </c>
      <c r="K87" s="90"/>
      <c r="L87" s="20"/>
      <c r="M87" s="20"/>
      <c r="N87" s="20"/>
      <c r="O87" s="20"/>
      <c r="P87" s="20"/>
      <c r="Q87" s="20"/>
      <c r="R87" s="20"/>
      <c r="S87" s="95"/>
    </row>
    <row r="88" spans="2:19" hidden="1" x14ac:dyDescent="0.2">
      <c r="B88" s="90"/>
      <c r="C88" s="6"/>
      <c r="D88" s="3"/>
      <c r="E88" s="3"/>
      <c r="F88" s="3"/>
      <c r="G88" s="4"/>
      <c r="H88" s="3"/>
      <c r="I88" s="3"/>
      <c r="J88" s="321"/>
      <c r="K88" s="90"/>
      <c r="L88" s="20"/>
      <c r="M88" s="20"/>
      <c r="N88" s="20"/>
      <c r="O88" s="20"/>
      <c r="P88" s="20"/>
      <c r="Q88" s="20"/>
      <c r="R88" s="20"/>
      <c r="S88" s="95"/>
    </row>
    <row r="89" spans="2:19" hidden="1" x14ac:dyDescent="0.2">
      <c r="B89" s="90"/>
      <c r="C89" s="6"/>
      <c r="D89" s="3"/>
      <c r="E89" s="3"/>
      <c r="F89" s="3"/>
      <c r="G89" s="4"/>
      <c r="H89" s="3"/>
      <c r="I89" s="3"/>
      <c r="J89" s="321"/>
      <c r="K89" s="90"/>
      <c r="L89" s="20"/>
      <c r="M89" s="20"/>
      <c r="N89" s="20"/>
      <c r="O89" s="20"/>
      <c r="P89" s="20"/>
      <c r="Q89" s="20"/>
      <c r="R89" s="20"/>
      <c r="S89" s="95"/>
    </row>
    <row r="90" spans="2:19" s="58" customFormat="1" ht="13.5" customHeight="1" thickBot="1" x14ac:dyDescent="0.25">
      <c r="B90" s="81" t="s">
        <v>195</v>
      </c>
      <c r="C90" s="82"/>
      <c r="D90" s="82"/>
      <c r="E90" s="82"/>
      <c r="F90" s="82"/>
      <c r="G90" s="108"/>
      <c r="H90" s="109"/>
      <c r="I90" s="109"/>
      <c r="J90" s="134">
        <f>J86+J78</f>
        <v>132</v>
      </c>
      <c r="K90" s="81"/>
      <c r="L90" s="82"/>
      <c r="M90" s="82"/>
      <c r="N90" s="82"/>
      <c r="O90" s="82"/>
      <c r="P90" s="82"/>
      <c r="Q90" s="83">
        <f>Q86+Q78</f>
        <v>20295</v>
      </c>
      <c r="R90" s="83">
        <f>R86+R78</f>
        <v>4889.0655000000006</v>
      </c>
      <c r="S90" s="84">
        <f>S86+S78</f>
        <v>25184.065500000001</v>
      </c>
    </row>
    <row r="91" spans="2:19" s="8" customFormat="1" ht="6" customHeight="1" thickBot="1" x14ac:dyDescent="0.3">
      <c r="B91" s="29"/>
      <c r="C91" s="30"/>
      <c r="D91" s="30"/>
      <c r="E91" s="30"/>
      <c r="F91" s="30"/>
      <c r="G91" s="31"/>
      <c r="H91" s="30"/>
      <c r="I91" s="32"/>
      <c r="J91" s="322"/>
    </row>
    <row r="92" spans="2:19" s="2" customFormat="1" ht="15" customHeight="1" thickBot="1" x14ac:dyDescent="0.25">
      <c r="B92" s="859" t="s">
        <v>181</v>
      </c>
      <c r="C92" s="860"/>
      <c r="D92" s="860"/>
      <c r="E92" s="860"/>
      <c r="F92" s="860"/>
      <c r="G92" s="860"/>
      <c r="H92" s="860"/>
      <c r="I92" s="860"/>
      <c r="J92" s="860"/>
      <c r="K92" s="860"/>
      <c r="L92" s="860"/>
      <c r="M92" s="860"/>
      <c r="N92" s="860"/>
      <c r="O92" s="860"/>
      <c r="P92" s="860"/>
      <c r="Q92" s="860"/>
      <c r="R92" s="860"/>
      <c r="S92" s="861"/>
    </row>
    <row r="93" spans="2:19" s="28" customFormat="1" ht="15" customHeight="1" x14ac:dyDescent="0.2">
      <c r="B93" s="856" t="s">
        <v>50</v>
      </c>
      <c r="C93" s="857"/>
      <c r="D93" s="857"/>
      <c r="E93" s="857"/>
      <c r="F93" s="857"/>
      <c r="G93" s="857"/>
      <c r="H93" s="857"/>
      <c r="I93" s="857"/>
      <c r="J93" s="857"/>
      <c r="K93" s="857"/>
      <c r="L93" s="857"/>
      <c r="M93" s="857"/>
      <c r="N93" s="857"/>
      <c r="O93" s="857"/>
      <c r="P93" s="857"/>
      <c r="Q93" s="857"/>
      <c r="R93" s="857"/>
      <c r="S93" s="858"/>
    </row>
    <row r="94" spans="2:19" s="27" customFormat="1" ht="17.25" customHeight="1" x14ac:dyDescent="0.2">
      <c r="B94" s="906" t="s">
        <v>20</v>
      </c>
      <c r="C94" s="907"/>
      <c r="D94" s="907"/>
      <c r="E94" s="907"/>
      <c r="F94" s="908"/>
      <c r="G94" s="198"/>
      <c r="H94" s="199"/>
      <c r="I94" s="199"/>
      <c r="J94" s="323"/>
      <c r="K94" s="255"/>
      <c r="L94" s="256"/>
      <c r="M94" s="256"/>
      <c r="N94" s="256"/>
      <c r="O94" s="256"/>
      <c r="P94" s="256"/>
      <c r="Q94" s="256"/>
      <c r="R94" s="256"/>
      <c r="S94" s="254"/>
    </row>
    <row r="95" spans="2:19" s="27" customFormat="1" ht="15.75" customHeight="1" x14ac:dyDescent="0.2">
      <c r="B95" s="144" t="s">
        <v>248</v>
      </c>
      <c r="C95" s="57">
        <v>10</v>
      </c>
      <c r="D95" s="36" t="s">
        <v>14</v>
      </c>
      <c r="E95" s="759">
        <v>10</v>
      </c>
      <c r="F95" s="36">
        <v>3</v>
      </c>
      <c r="G95" s="37">
        <v>1287</v>
      </c>
      <c r="H95" s="38">
        <v>1030</v>
      </c>
      <c r="I95" s="15">
        <v>0</v>
      </c>
      <c r="J95" s="258">
        <v>0.5</v>
      </c>
      <c r="K95" s="259">
        <f>H95*1.2</f>
        <v>1236</v>
      </c>
      <c r="L95" s="60">
        <f t="shared" ref="L95:L96" si="51">IF(K95&lt;=G95,K95,G95)</f>
        <v>1236</v>
      </c>
      <c r="M95" s="260">
        <f t="shared" ref="M95:M96" si="52">N95-I95</f>
        <v>0</v>
      </c>
      <c r="N95" s="261">
        <f t="shared" ref="N95:N96" si="53">I95/H95*L95</f>
        <v>0</v>
      </c>
      <c r="O95" s="60">
        <f t="shared" ref="O95:O96" si="54">L95-H95+M95</f>
        <v>206</v>
      </c>
      <c r="P95" s="261">
        <f t="shared" ref="P95:P96" si="55">O95*J95</f>
        <v>103</v>
      </c>
      <c r="Q95" s="262">
        <f>P95*12</f>
        <v>1236</v>
      </c>
      <c r="R95" s="262">
        <f t="shared" ref="R95:R96" si="56">Q95*0.2409</f>
        <v>297.75240000000002</v>
      </c>
      <c r="S95" s="263">
        <f t="shared" ref="S95:S96" si="57">Q95+R95</f>
        <v>1533.7524000000001</v>
      </c>
    </row>
    <row r="96" spans="2:19" s="27" customFormat="1" x14ac:dyDescent="0.2">
      <c r="B96" s="157" t="s">
        <v>176</v>
      </c>
      <c r="C96" s="53" t="s">
        <v>124</v>
      </c>
      <c r="D96" s="36" t="s">
        <v>14</v>
      </c>
      <c r="E96" s="13">
        <v>10</v>
      </c>
      <c r="F96" s="13">
        <v>3</v>
      </c>
      <c r="G96" s="49">
        <v>1287</v>
      </c>
      <c r="H96" s="60">
        <v>1287</v>
      </c>
      <c r="I96" s="15">
        <v>0</v>
      </c>
      <c r="J96" s="258">
        <v>1</v>
      </c>
      <c r="K96" s="259">
        <f>H96*1.2</f>
        <v>1544.3999999999999</v>
      </c>
      <c r="L96" s="60">
        <f t="shared" si="51"/>
        <v>1287</v>
      </c>
      <c r="M96" s="260">
        <f t="shared" si="52"/>
        <v>0</v>
      </c>
      <c r="N96" s="261">
        <f t="shared" si="53"/>
        <v>0</v>
      </c>
      <c r="O96" s="60">
        <f t="shared" si="54"/>
        <v>0</v>
      </c>
      <c r="P96" s="261">
        <f t="shared" si="55"/>
        <v>0</v>
      </c>
      <c r="Q96" s="262">
        <f t="shared" ref="Q96" si="58">P96*12</f>
        <v>0</v>
      </c>
      <c r="R96" s="262">
        <f t="shared" si="56"/>
        <v>0</v>
      </c>
      <c r="S96" s="263">
        <f t="shared" si="57"/>
        <v>0</v>
      </c>
    </row>
    <row r="97" spans="2:19" s="257" customFormat="1" x14ac:dyDescent="0.25">
      <c r="B97" s="119" t="s">
        <v>4</v>
      </c>
      <c r="C97" s="103"/>
      <c r="D97" s="103"/>
      <c r="E97" s="103"/>
      <c r="F97" s="103"/>
      <c r="G97" s="105"/>
      <c r="H97" s="106"/>
      <c r="I97" s="76"/>
      <c r="J97" s="123">
        <f>SUM(J95:J96)</f>
        <v>1.5</v>
      </c>
      <c r="K97" s="118"/>
      <c r="L97" s="76"/>
      <c r="M97" s="77"/>
      <c r="N97" s="78"/>
      <c r="O97" s="76"/>
      <c r="P97" s="78"/>
      <c r="Q97" s="79">
        <f>SUM(Q95:Q96)</f>
        <v>1236</v>
      </c>
      <c r="R97" s="79">
        <f>SUM(R95:R96)</f>
        <v>297.75240000000002</v>
      </c>
      <c r="S97" s="80">
        <f>SUM(S95:S96)</f>
        <v>1533.7524000000001</v>
      </c>
    </row>
    <row r="98" spans="2:19" s="27" customFormat="1" ht="13.5" x14ac:dyDescent="0.25">
      <c r="B98" s="890" t="s">
        <v>249</v>
      </c>
      <c r="C98" s="891"/>
      <c r="D98" s="891"/>
      <c r="E98" s="891"/>
      <c r="F98" s="891"/>
      <c r="G98" s="264"/>
      <c r="H98" s="264"/>
      <c r="I98" s="264"/>
      <c r="J98" s="265">
        <f>SUM(J97)</f>
        <v>1.5</v>
      </c>
      <c r="K98" s="266"/>
      <c r="L98" s="264"/>
      <c r="M98" s="264"/>
      <c r="N98" s="264"/>
      <c r="O98" s="264"/>
      <c r="P98" s="264"/>
      <c r="Q98" s="267">
        <f t="shared" ref="Q98:S98" si="59">SUM(Q97)</f>
        <v>1236</v>
      </c>
      <c r="R98" s="267">
        <f t="shared" si="59"/>
        <v>297.75240000000002</v>
      </c>
      <c r="S98" s="268">
        <f t="shared" si="59"/>
        <v>1533.7524000000001</v>
      </c>
    </row>
    <row r="99" spans="2:19" s="2" customFormat="1" ht="13.5" x14ac:dyDescent="0.2">
      <c r="B99" s="903" t="s">
        <v>106</v>
      </c>
      <c r="C99" s="904"/>
      <c r="D99" s="904"/>
      <c r="E99" s="904"/>
      <c r="F99" s="904"/>
      <c r="G99" s="904"/>
      <c r="H99" s="904"/>
      <c r="I99" s="904"/>
      <c r="J99" s="904"/>
      <c r="K99" s="904"/>
      <c r="L99" s="904"/>
      <c r="M99" s="904"/>
      <c r="N99" s="904"/>
      <c r="O99" s="904"/>
      <c r="P99" s="904"/>
      <c r="Q99" s="904"/>
      <c r="R99" s="904"/>
      <c r="S99" s="905"/>
    </row>
    <row r="100" spans="2:19" s="2" customFormat="1" ht="15" customHeight="1" x14ac:dyDescent="0.2">
      <c r="B100" s="900" t="s">
        <v>107</v>
      </c>
      <c r="C100" s="901"/>
      <c r="D100" s="901"/>
      <c r="E100" s="901"/>
      <c r="F100" s="901"/>
      <c r="G100" s="901"/>
      <c r="H100" s="901"/>
      <c r="I100" s="901"/>
      <c r="J100" s="901"/>
      <c r="K100" s="901"/>
      <c r="L100" s="901"/>
      <c r="M100" s="901"/>
      <c r="N100" s="901"/>
      <c r="O100" s="901"/>
      <c r="P100" s="901"/>
      <c r="Q100" s="901"/>
      <c r="R100" s="901"/>
      <c r="S100" s="902"/>
    </row>
    <row r="101" spans="2:19" x14ac:dyDescent="0.2">
      <c r="B101" s="906" t="s">
        <v>20</v>
      </c>
      <c r="C101" s="907"/>
      <c r="D101" s="907"/>
      <c r="E101" s="907"/>
      <c r="F101" s="908"/>
      <c r="G101" s="33"/>
      <c r="H101" s="34"/>
      <c r="I101" s="34"/>
      <c r="J101" s="147"/>
      <c r="K101" s="146"/>
      <c r="L101" s="33"/>
      <c r="M101" s="33"/>
      <c r="N101" s="33"/>
      <c r="O101" s="33"/>
      <c r="P101" s="33"/>
      <c r="Q101" s="33"/>
      <c r="R101" s="33"/>
      <c r="S101" s="147"/>
    </row>
    <row r="102" spans="2:19" s="27" customFormat="1" x14ac:dyDescent="0.2">
      <c r="B102" s="144" t="s">
        <v>64</v>
      </c>
      <c r="C102" s="35" t="s">
        <v>21</v>
      </c>
      <c r="D102" s="36" t="s">
        <v>14</v>
      </c>
      <c r="E102" s="36">
        <v>10</v>
      </c>
      <c r="F102" s="36">
        <v>3</v>
      </c>
      <c r="G102" s="37">
        <v>1287</v>
      </c>
      <c r="H102" s="46">
        <v>1043</v>
      </c>
      <c r="I102" s="38">
        <v>104.3</v>
      </c>
      <c r="J102" s="324">
        <v>1.05</v>
      </c>
      <c r="K102" s="97">
        <f t="shared" ref="K102:K105" si="60">H102*1.2</f>
        <v>1251.5999999999999</v>
      </c>
      <c r="L102" s="59">
        <f t="shared" ref="L102:L105" si="61">IF(K102&lt;=G102,K102,G102)</f>
        <v>1251.5999999999999</v>
      </c>
      <c r="M102" s="87">
        <f t="shared" ref="M102:M105" si="62">N102-I102</f>
        <v>20.859999999999985</v>
      </c>
      <c r="N102" s="67">
        <f t="shared" ref="N102:N105" si="63">I102/H102*L102</f>
        <v>125.15999999999998</v>
      </c>
      <c r="O102" s="59">
        <f t="shared" ref="O102:O105" si="64">L102-H102+M102</f>
        <v>229.45999999999989</v>
      </c>
      <c r="P102" s="67">
        <f t="shared" ref="P102:P105" si="65">O102*J102</f>
        <v>240.93299999999991</v>
      </c>
      <c r="Q102" s="68">
        <f t="shared" ref="Q102:Q105" si="66">P102*12</f>
        <v>2891.195999999999</v>
      </c>
      <c r="R102" s="68">
        <f t="shared" ref="R102:R105" si="67">Q102*0.2409</f>
        <v>696.48911639999972</v>
      </c>
      <c r="S102" s="69">
        <f t="shared" ref="S102:S105" si="68">Q102+R102</f>
        <v>3587.6851163999986</v>
      </c>
    </row>
    <row r="103" spans="2:19" s="27" customFormat="1" x14ac:dyDescent="0.2">
      <c r="B103" s="144" t="s">
        <v>108</v>
      </c>
      <c r="C103" s="35" t="s">
        <v>21</v>
      </c>
      <c r="D103" s="36" t="s">
        <v>14</v>
      </c>
      <c r="E103" s="36">
        <v>10</v>
      </c>
      <c r="F103" s="36">
        <v>3</v>
      </c>
      <c r="G103" s="37">
        <v>1287</v>
      </c>
      <c r="H103" s="46">
        <v>1043</v>
      </c>
      <c r="I103" s="38">
        <v>104.3</v>
      </c>
      <c r="J103" s="324">
        <v>0.5</v>
      </c>
      <c r="K103" s="97">
        <f t="shared" si="60"/>
        <v>1251.5999999999999</v>
      </c>
      <c r="L103" s="59">
        <f t="shared" si="61"/>
        <v>1251.5999999999999</v>
      </c>
      <c r="M103" s="87">
        <f t="shared" si="62"/>
        <v>20.859999999999985</v>
      </c>
      <c r="N103" s="67">
        <f t="shared" si="63"/>
        <v>125.15999999999998</v>
      </c>
      <c r="O103" s="59">
        <f t="shared" si="64"/>
        <v>229.45999999999989</v>
      </c>
      <c r="P103" s="67">
        <f t="shared" si="65"/>
        <v>114.72999999999995</v>
      </c>
      <c r="Q103" s="68">
        <f t="shared" si="66"/>
        <v>1376.7599999999993</v>
      </c>
      <c r="R103" s="68">
        <f t="shared" si="67"/>
        <v>331.66148399999986</v>
      </c>
      <c r="S103" s="69">
        <f t="shared" si="68"/>
        <v>1708.4214839999991</v>
      </c>
    </row>
    <row r="104" spans="2:19" s="27" customFormat="1" x14ac:dyDescent="0.2">
      <c r="B104" s="144" t="s">
        <v>56</v>
      </c>
      <c r="C104" s="35" t="s">
        <v>21</v>
      </c>
      <c r="D104" s="36" t="s">
        <v>14</v>
      </c>
      <c r="E104" s="36">
        <v>10</v>
      </c>
      <c r="F104" s="36">
        <v>3</v>
      </c>
      <c r="G104" s="37">
        <v>1287</v>
      </c>
      <c r="H104" s="46">
        <v>1043</v>
      </c>
      <c r="I104" s="38">
        <v>104.3</v>
      </c>
      <c r="J104" s="324">
        <v>3</v>
      </c>
      <c r="K104" s="97">
        <f t="shared" si="60"/>
        <v>1251.5999999999999</v>
      </c>
      <c r="L104" s="59">
        <f t="shared" si="61"/>
        <v>1251.5999999999999</v>
      </c>
      <c r="M104" s="87">
        <f t="shared" si="62"/>
        <v>20.859999999999985</v>
      </c>
      <c r="N104" s="67">
        <f t="shared" si="63"/>
        <v>125.15999999999998</v>
      </c>
      <c r="O104" s="59">
        <f t="shared" si="64"/>
        <v>229.45999999999989</v>
      </c>
      <c r="P104" s="67">
        <f t="shared" si="65"/>
        <v>688.37999999999965</v>
      </c>
      <c r="Q104" s="68">
        <f t="shared" si="66"/>
        <v>8260.5599999999959</v>
      </c>
      <c r="R104" s="68">
        <f t="shared" si="67"/>
        <v>1989.9689039999989</v>
      </c>
      <c r="S104" s="69">
        <f t="shared" si="68"/>
        <v>10250.528903999995</v>
      </c>
    </row>
    <row r="105" spans="2:19" s="27" customFormat="1" x14ac:dyDescent="0.2">
      <c r="B105" s="144" t="s">
        <v>65</v>
      </c>
      <c r="C105" s="35" t="s">
        <v>21</v>
      </c>
      <c r="D105" s="36" t="s">
        <v>109</v>
      </c>
      <c r="E105" s="36">
        <v>9</v>
      </c>
      <c r="F105" s="36">
        <v>3</v>
      </c>
      <c r="G105" s="37">
        <v>1190</v>
      </c>
      <c r="H105" s="46">
        <v>838</v>
      </c>
      <c r="I105" s="38">
        <v>83.8</v>
      </c>
      <c r="J105" s="324">
        <v>2</v>
      </c>
      <c r="K105" s="97">
        <f t="shared" si="60"/>
        <v>1005.5999999999999</v>
      </c>
      <c r="L105" s="59">
        <f t="shared" si="61"/>
        <v>1005.5999999999999</v>
      </c>
      <c r="M105" s="87">
        <f t="shared" si="62"/>
        <v>16.759999999999991</v>
      </c>
      <c r="N105" s="67">
        <f t="shared" si="63"/>
        <v>100.55999999999999</v>
      </c>
      <c r="O105" s="59">
        <f t="shared" si="64"/>
        <v>184.3599999999999</v>
      </c>
      <c r="P105" s="67">
        <f t="shared" si="65"/>
        <v>368.7199999999998</v>
      </c>
      <c r="Q105" s="68">
        <f t="shared" si="66"/>
        <v>4424.6399999999976</v>
      </c>
      <c r="R105" s="68">
        <f t="shared" si="67"/>
        <v>1065.8957759999994</v>
      </c>
      <c r="S105" s="69">
        <f t="shared" si="68"/>
        <v>5490.535775999997</v>
      </c>
    </row>
    <row r="106" spans="2:19" s="101" customFormat="1" x14ac:dyDescent="0.25">
      <c r="B106" s="119" t="s">
        <v>4</v>
      </c>
      <c r="C106" s="103"/>
      <c r="D106" s="103"/>
      <c r="E106" s="103"/>
      <c r="F106" s="103"/>
      <c r="G106" s="105"/>
      <c r="H106" s="106"/>
      <c r="I106" s="76"/>
      <c r="J106" s="123">
        <f>SUM(J102:J105)</f>
        <v>6.55</v>
      </c>
      <c r="K106" s="118"/>
      <c r="L106" s="76"/>
      <c r="M106" s="77"/>
      <c r="N106" s="78"/>
      <c r="O106" s="76"/>
      <c r="P106" s="78"/>
      <c r="Q106" s="79">
        <f t="shared" ref="Q106:S106" si="69">SUM(Q102:Q105)</f>
        <v>16953.155999999992</v>
      </c>
      <c r="R106" s="79">
        <f t="shared" si="69"/>
        <v>4084.0152803999981</v>
      </c>
      <c r="S106" s="80">
        <f t="shared" si="69"/>
        <v>21037.171280399991</v>
      </c>
    </row>
    <row r="107" spans="2:19" x14ac:dyDescent="0.2">
      <c r="B107" s="892" t="s">
        <v>10</v>
      </c>
      <c r="C107" s="893"/>
      <c r="D107" s="893"/>
      <c r="E107" s="893"/>
      <c r="F107" s="894"/>
      <c r="G107" s="11"/>
      <c r="H107" s="45"/>
      <c r="I107" s="45"/>
      <c r="J107" s="325"/>
      <c r="K107" s="96"/>
      <c r="L107" s="11"/>
      <c r="M107" s="11"/>
      <c r="N107" s="11"/>
      <c r="O107" s="11"/>
      <c r="P107" s="11"/>
      <c r="Q107" s="11"/>
      <c r="R107" s="11"/>
      <c r="S107" s="85"/>
    </row>
    <row r="108" spans="2:19" s="27" customFormat="1" x14ac:dyDescent="0.2">
      <c r="B108" s="144" t="s">
        <v>57</v>
      </c>
      <c r="C108" s="47" t="s">
        <v>110</v>
      </c>
      <c r="D108" s="36" t="s">
        <v>14</v>
      </c>
      <c r="E108" s="36">
        <v>7</v>
      </c>
      <c r="F108" s="36">
        <v>3</v>
      </c>
      <c r="G108" s="37">
        <v>996</v>
      </c>
      <c r="H108" s="38">
        <v>730</v>
      </c>
      <c r="I108" s="38">
        <v>267.72000000000003</v>
      </c>
      <c r="J108" s="324">
        <v>15.5</v>
      </c>
      <c r="K108" s="97">
        <f t="shared" ref="K108:K111" si="70">H108*1.2</f>
        <v>876</v>
      </c>
      <c r="L108" s="59">
        <f t="shared" ref="L108:L111" si="71">IF(K108&lt;=G108,K108,G108)</f>
        <v>876</v>
      </c>
      <c r="M108" s="87">
        <f t="shared" ref="M108:M111" si="72">N108-I108</f>
        <v>53.543999999999983</v>
      </c>
      <c r="N108" s="67">
        <f t="shared" ref="N108:N111" si="73">I108/H108*L108</f>
        <v>321.26400000000001</v>
      </c>
      <c r="O108" s="59">
        <f t="shared" ref="O108:O111" si="74">L108-H108+M108</f>
        <v>199.54399999999998</v>
      </c>
      <c r="P108" s="67">
        <f t="shared" ref="P108:P111" si="75">O108*J108</f>
        <v>3092.9319999999998</v>
      </c>
      <c r="Q108" s="68">
        <f t="shared" ref="Q108:Q111" si="76">P108*12</f>
        <v>37115.183999999994</v>
      </c>
      <c r="R108" s="68">
        <f t="shared" ref="R108:R111" si="77">Q108*0.2409</f>
        <v>8941.0478255999988</v>
      </c>
      <c r="S108" s="69">
        <f t="shared" ref="S108:S111" si="78">Q108+R108</f>
        <v>46056.231825599993</v>
      </c>
    </row>
    <row r="109" spans="2:19" s="27" customFormat="1" x14ac:dyDescent="0.2">
      <c r="B109" s="144" t="s">
        <v>111</v>
      </c>
      <c r="C109" s="47" t="s">
        <v>110</v>
      </c>
      <c r="D109" s="36" t="s">
        <v>14</v>
      </c>
      <c r="E109" s="36">
        <v>7</v>
      </c>
      <c r="F109" s="36">
        <v>3</v>
      </c>
      <c r="G109" s="37">
        <v>996</v>
      </c>
      <c r="H109" s="38">
        <v>730</v>
      </c>
      <c r="I109" s="38">
        <v>73</v>
      </c>
      <c r="J109" s="324">
        <v>3</v>
      </c>
      <c r="K109" s="97">
        <f t="shared" si="70"/>
        <v>876</v>
      </c>
      <c r="L109" s="59">
        <f t="shared" si="71"/>
        <v>876</v>
      </c>
      <c r="M109" s="87">
        <f t="shared" si="72"/>
        <v>14.600000000000009</v>
      </c>
      <c r="N109" s="67">
        <f t="shared" si="73"/>
        <v>87.600000000000009</v>
      </c>
      <c r="O109" s="59">
        <f t="shared" si="74"/>
        <v>160.60000000000002</v>
      </c>
      <c r="P109" s="67">
        <f t="shared" si="75"/>
        <v>481.80000000000007</v>
      </c>
      <c r="Q109" s="68">
        <f t="shared" si="76"/>
        <v>5781.6</v>
      </c>
      <c r="R109" s="68">
        <f t="shared" si="77"/>
        <v>1392.7874400000001</v>
      </c>
      <c r="S109" s="69">
        <f t="shared" si="78"/>
        <v>7174.3874400000004</v>
      </c>
    </row>
    <row r="110" spans="2:19" s="27" customFormat="1" x14ac:dyDescent="0.2">
      <c r="B110" s="144" t="s">
        <v>25</v>
      </c>
      <c r="C110" s="47" t="s">
        <v>110</v>
      </c>
      <c r="D110" s="36" t="s">
        <v>45</v>
      </c>
      <c r="E110" s="36">
        <v>6</v>
      </c>
      <c r="F110" s="36">
        <v>3</v>
      </c>
      <c r="G110" s="37">
        <v>899</v>
      </c>
      <c r="H110" s="38">
        <v>686</v>
      </c>
      <c r="I110" s="38">
        <v>68.599999999999994</v>
      </c>
      <c r="J110" s="324">
        <v>15</v>
      </c>
      <c r="K110" s="97">
        <f t="shared" si="70"/>
        <v>823.19999999999993</v>
      </c>
      <c r="L110" s="59">
        <f t="shared" si="71"/>
        <v>823.19999999999993</v>
      </c>
      <c r="M110" s="87">
        <f t="shared" si="72"/>
        <v>13.719999999999999</v>
      </c>
      <c r="N110" s="67">
        <f t="shared" si="73"/>
        <v>82.32</v>
      </c>
      <c r="O110" s="59">
        <f t="shared" si="74"/>
        <v>150.91999999999993</v>
      </c>
      <c r="P110" s="67">
        <f t="shared" si="75"/>
        <v>2263.7999999999988</v>
      </c>
      <c r="Q110" s="68">
        <f t="shared" si="76"/>
        <v>27165.599999999984</v>
      </c>
      <c r="R110" s="68">
        <f t="shared" si="77"/>
        <v>6544.1930399999965</v>
      </c>
      <c r="S110" s="69">
        <f t="shared" si="78"/>
        <v>33709.793039999982</v>
      </c>
    </row>
    <row r="111" spans="2:19" s="27" customFormat="1" x14ac:dyDescent="0.2">
      <c r="B111" s="144" t="s">
        <v>46</v>
      </c>
      <c r="C111" s="47" t="s">
        <v>110</v>
      </c>
      <c r="D111" s="36" t="s">
        <v>112</v>
      </c>
      <c r="E111" s="36">
        <v>5</v>
      </c>
      <c r="F111" s="36">
        <v>3</v>
      </c>
      <c r="G111" s="37">
        <v>802</v>
      </c>
      <c r="H111" s="38">
        <v>583</v>
      </c>
      <c r="I111" s="38">
        <v>58.3</v>
      </c>
      <c r="J111" s="324">
        <v>4</v>
      </c>
      <c r="K111" s="97">
        <f t="shared" si="70"/>
        <v>699.6</v>
      </c>
      <c r="L111" s="59">
        <f t="shared" si="71"/>
        <v>699.6</v>
      </c>
      <c r="M111" s="87">
        <f t="shared" si="72"/>
        <v>11.659999999999997</v>
      </c>
      <c r="N111" s="67">
        <f t="shared" si="73"/>
        <v>69.959999999999994</v>
      </c>
      <c r="O111" s="59">
        <f t="shared" si="74"/>
        <v>128.26000000000002</v>
      </c>
      <c r="P111" s="67">
        <f t="shared" si="75"/>
        <v>513.04000000000008</v>
      </c>
      <c r="Q111" s="68">
        <f t="shared" si="76"/>
        <v>6156.4800000000014</v>
      </c>
      <c r="R111" s="68">
        <f t="shared" si="77"/>
        <v>1483.0960320000004</v>
      </c>
      <c r="S111" s="69">
        <f t="shared" si="78"/>
        <v>7639.5760320000018</v>
      </c>
    </row>
    <row r="112" spans="2:19" s="101" customFormat="1" x14ac:dyDescent="0.25">
      <c r="B112" s="119" t="s">
        <v>4</v>
      </c>
      <c r="C112" s="103"/>
      <c r="D112" s="103"/>
      <c r="E112" s="103"/>
      <c r="F112" s="103"/>
      <c r="G112" s="105"/>
      <c r="H112" s="106"/>
      <c r="I112" s="76"/>
      <c r="J112" s="123">
        <f>SUM(J108:J111)</f>
        <v>37.5</v>
      </c>
      <c r="K112" s="118"/>
      <c r="L112" s="76"/>
      <c r="M112" s="77"/>
      <c r="N112" s="78"/>
      <c r="O112" s="76"/>
      <c r="P112" s="78"/>
      <c r="Q112" s="79">
        <f t="shared" ref="Q112:S112" si="79">SUM(Q108:Q111)</f>
        <v>76218.863999999972</v>
      </c>
      <c r="R112" s="79">
        <f t="shared" si="79"/>
        <v>18361.124337599998</v>
      </c>
      <c r="S112" s="80">
        <f t="shared" si="79"/>
        <v>94579.988337599978</v>
      </c>
    </row>
    <row r="113" spans="2:19" x14ac:dyDescent="0.2">
      <c r="B113" s="892" t="s">
        <v>11</v>
      </c>
      <c r="C113" s="893"/>
      <c r="D113" s="893"/>
      <c r="E113" s="893"/>
      <c r="F113" s="894"/>
      <c r="G113" s="33"/>
      <c r="H113" s="34"/>
      <c r="I113" s="34"/>
      <c r="J113" s="326"/>
      <c r="K113" s="96"/>
      <c r="L113" s="11"/>
      <c r="M113" s="11"/>
      <c r="N113" s="11"/>
      <c r="O113" s="11"/>
      <c r="P113" s="11"/>
      <c r="Q113" s="11"/>
      <c r="R113" s="11"/>
      <c r="S113" s="85"/>
    </row>
    <row r="114" spans="2:19" s="27" customFormat="1" ht="25.5" x14ac:dyDescent="0.2">
      <c r="B114" s="145" t="s">
        <v>113</v>
      </c>
      <c r="C114" s="48" t="s">
        <v>114</v>
      </c>
      <c r="D114" s="13" t="s">
        <v>115</v>
      </c>
      <c r="E114" s="13">
        <v>9</v>
      </c>
      <c r="F114" s="13">
        <v>3</v>
      </c>
      <c r="G114" s="49">
        <v>1190</v>
      </c>
      <c r="H114" s="50">
        <v>994</v>
      </c>
      <c r="I114" s="50">
        <v>0</v>
      </c>
      <c r="J114" s="327">
        <v>1</v>
      </c>
      <c r="K114" s="97">
        <f t="shared" ref="K114:K119" si="80">H114*1.2</f>
        <v>1192.8</v>
      </c>
      <c r="L114" s="59">
        <f t="shared" ref="L114:L119" si="81">IF(K114&lt;=G114,K114,G114)</f>
        <v>1190</v>
      </c>
      <c r="M114" s="87">
        <f t="shared" ref="M114:M119" si="82">N114-I114</f>
        <v>0</v>
      </c>
      <c r="N114" s="67">
        <f t="shared" ref="N114:N119" si="83">I114/H114*L114</f>
        <v>0</v>
      </c>
      <c r="O114" s="59">
        <f t="shared" ref="O114:O119" si="84">L114-H114+M114</f>
        <v>196</v>
      </c>
      <c r="P114" s="67">
        <f t="shared" ref="P114:P119" si="85">O114*J114</f>
        <v>196</v>
      </c>
      <c r="Q114" s="68">
        <f t="shared" ref="Q114:Q119" si="86">P114*12</f>
        <v>2352</v>
      </c>
      <c r="R114" s="68">
        <f t="shared" ref="R114:R119" si="87">Q114*0.2409</f>
        <v>566.59680000000003</v>
      </c>
      <c r="S114" s="69">
        <f t="shared" ref="S114:S119" si="88">Q114+R114</f>
        <v>2918.5968000000003</v>
      </c>
    </row>
    <row r="115" spans="2:19" s="27" customFormat="1" x14ac:dyDescent="0.2">
      <c r="B115" s="144" t="s">
        <v>116</v>
      </c>
      <c r="C115" s="47" t="s">
        <v>44</v>
      </c>
      <c r="D115" s="36" t="s">
        <v>67</v>
      </c>
      <c r="E115" s="36">
        <v>11</v>
      </c>
      <c r="F115" s="36">
        <v>3</v>
      </c>
      <c r="G115" s="37">
        <v>1382</v>
      </c>
      <c r="H115" s="38">
        <v>912</v>
      </c>
      <c r="I115" s="38">
        <v>0</v>
      </c>
      <c r="J115" s="324">
        <v>1</v>
      </c>
      <c r="K115" s="97">
        <f t="shared" si="80"/>
        <v>1094.3999999999999</v>
      </c>
      <c r="L115" s="59">
        <f t="shared" si="81"/>
        <v>1094.3999999999999</v>
      </c>
      <c r="M115" s="87">
        <f t="shared" si="82"/>
        <v>0</v>
      </c>
      <c r="N115" s="67">
        <f t="shared" si="83"/>
        <v>0</v>
      </c>
      <c r="O115" s="59">
        <f t="shared" si="84"/>
        <v>182.39999999999986</v>
      </c>
      <c r="P115" s="67">
        <f t="shared" si="85"/>
        <v>182.39999999999986</v>
      </c>
      <c r="Q115" s="68">
        <f t="shared" si="86"/>
        <v>2188.7999999999984</v>
      </c>
      <c r="R115" s="68">
        <f t="shared" si="87"/>
        <v>527.28191999999956</v>
      </c>
      <c r="S115" s="69">
        <f t="shared" si="88"/>
        <v>2716.0819199999978</v>
      </c>
    </row>
    <row r="116" spans="2:19" s="27" customFormat="1" x14ac:dyDescent="0.2">
      <c r="B116" s="144" t="s">
        <v>116</v>
      </c>
      <c r="C116" s="47" t="s">
        <v>44</v>
      </c>
      <c r="D116" s="36" t="s">
        <v>67</v>
      </c>
      <c r="E116" s="36">
        <v>11</v>
      </c>
      <c r="F116" s="36">
        <v>1</v>
      </c>
      <c r="G116" s="37">
        <v>1052</v>
      </c>
      <c r="H116" s="38">
        <v>775</v>
      </c>
      <c r="I116" s="38">
        <v>0</v>
      </c>
      <c r="J116" s="324">
        <v>1</v>
      </c>
      <c r="K116" s="97">
        <f t="shared" si="80"/>
        <v>930</v>
      </c>
      <c r="L116" s="59">
        <f t="shared" si="81"/>
        <v>930</v>
      </c>
      <c r="M116" s="87">
        <f t="shared" si="82"/>
        <v>0</v>
      </c>
      <c r="N116" s="67">
        <f t="shared" si="83"/>
        <v>0</v>
      </c>
      <c r="O116" s="59">
        <f t="shared" si="84"/>
        <v>155</v>
      </c>
      <c r="P116" s="67">
        <f t="shared" si="85"/>
        <v>155</v>
      </c>
      <c r="Q116" s="68">
        <f t="shared" si="86"/>
        <v>1860</v>
      </c>
      <c r="R116" s="68">
        <f t="shared" si="87"/>
        <v>448.07400000000001</v>
      </c>
      <c r="S116" s="69">
        <f t="shared" si="88"/>
        <v>2308.0740000000001</v>
      </c>
    </row>
    <row r="117" spans="2:19" s="27" customFormat="1" x14ac:dyDescent="0.2">
      <c r="B117" s="144" t="s">
        <v>116</v>
      </c>
      <c r="C117" s="47" t="s">
        <v>44</v>
      </c>
      <c r="D117" s="36" t="s">
        <v>67</v>
      </c>
      <c r="E117" s="36">
        <v>11</v>
      </c>
      <c r="F117" s="36">
        <v>3</v>
      </c>
      <c r="G117" s="37">
        <v>1382</v>
      </c>
      <c r="H117" s="38">
        <v>828</v>
      </c>
      <c r="I117" s="38">
        <v>0</v>
      </c>
      <c r="J117" s="324">
        <v>1</v>
      </c>
      <c r="K117" s="97">
        <f t="shared" si="80"/>
        <v>993.59999999999991</v>
      </c>
      <c r="L117" s="59">
        <f t="shared" si="81"/>
        <v>993.59999999999991</v>
      </c>
      <c r="M117" s="87">
        <f t="shared" si="82"/>
        <v>0</v>
      </c>
      <c r="N117" s="67">
        <f t="shared" si="83"/>
        <v>0</v>
      </c>
      <c r="O117" s="59">
        <f t="shared" si="84"/>
        <v>165.59999999999991</v>
      </c>
      <c r="P117" s="67">
        <f t="shared" si="85"/>
        <v>165.59999999999991</v>
      </c>
      <c r="Q117" s="68">
        <f t="shared" si="86"/>
        <v>1987.1999999999989</v>
      </c>
      <c r="R117" s="68">
        <f t="shared" si="87"/>
        <v>478.71647999999976</v>
      </c>
      <c r="S117" s="69">
        <f t="shared" si="88"/>
        <v>2465.9164799999985</v>
      </c>
    </row>
    <row r="118" spans="2:19" s="27" customFormat="1" x14ac:dyDescent="0.2">
      <c r="B118" s="144" t="s">
        <v>59</v>
      </c>
      <c r="C118" s="47" t="s">
        <v>44</v>
      </c>
      <c r="D118" s="36" t="s">
        <v>49</v>
      </c>
      <c r="E118" s="36">
        <v>8</v>
      </c>
      <c r="F118" s="36">
        <v>3</v>
      </c>
      <c r="G118" s="37">
        <v>1093</v>
      </c>
      <c r="H118" s="38">
        <v>838</v>
      </c>
      <c r="I118" s="38">
        <v>83.8</v>
      </c>
      <c r="J118" s="324">
        <v>2</v>
      </c>
      <c r="K118" s="97">
        <f t="shared" si="80"/>
        <v>1005.5999999999999</v>
      </c>
      <c r="L118" s="59">
        <f t="shared" si="81"/>
        <v>1005.5999999999999</v>
      </c>
      <c r="M118" s="87">
        <f t="shared" si="82"/>
        <v>16.759999999999991</v>
      </c>
      <c r="N118" s="67">
        <f t="shared" si="83"/>
        <v>100.55999999999999</v>
      </c>
      <c r="O118" s="59">
        <f t="shared" si="84"/>
        <v>184.3599999999999</v>
      </c>
      <c r="P118" s="67">
        <f t="shared" si="85"/>
        <v>368.7199999999998</v>
      </c>
      <c r="Q118" s="68">
        <f t="shared" si="86"/>
        <v>4424.6399999999976</v>
      </c>
      <c r="R118" s="68">
        <f t="shared" si="87"/>
        <v>1065.8957759999994</v>
      </c>
      <c r="S118" s="69">
        <f t="shared" si="88"/>
        <v>5490.535775999997</v>
      </c>
    </row>
    <row r="119" spans="2:19" s="27" customFormat="1" x14ac:dyDescent="0.2">
      <c r="B119" s="144" t="s">
        <v>117</v>
      </c>
      <c r="C119" s="47" t="s">
        <v>44</v>
      </c>
      <c r="D119" s="36" t="s">
        <v>15</v>
      </c>
      <c r="E119" s="36">
        <v>3</v>
      </c>
      <c r="F119" s="36">
        <v>3</v>
      </c>
      <c r="G119" s="37">
        <v>608</v>
      </c>
      <c r="H119" s="38">
        <v>498</v>
      </c>
      <c r="I119" s="38">
        <v>49.8</v>
      </c>
      <c r="J119" s="324">
        <v>3</v>
      </c>
      <c r="K119" s="97">
        <f t="shared" si="80"/>
        <v>597.6</v>
      </c>
      <c r="L119" s="59">
        <f t="shared" si="81"/>
        <v>597.6</v>
      </c>
      <c r="M119" s="87">
        <f t="shared" si="82"/>
        <v>9.9600000000000009</v>
      </c>
      <c r="N119" s="67">
        <f t="shared" si="83"/>
        <v>59.76</v>
      </c>
      <c r="O119" s="59">
        <f t="shared" si="84"/>
        <v>109.56000000000003</v>
      </c>
      <c r="P119" s="67">
        <f t="shared" si="85"/>
        <v>328.68000000000006</v>
      </c>
      <c r="Q119" s="68">
        <f t="shared" si="86"/>
        <v>3944.1600000000008</v>
      </c>
      <c r="R119" s="68">
        <f t="shared" si="87"/>
        <v>950.14814400000023</v>
      </c>
      <c r="S119" s="69">
        <f t="shared" si="88"/>
        <v>4894.3081440000005</v>
      </c>
    </row>
    <row r="120" spans="2:19" s="101" customFormat="1" x14ac:dyDescent="0.25">
      <c r="B120" s="119" t="s">
        <v>4</v>
      </c>
      <c r="C120" s="103"/>
      <c r="D120" s="103"/>
      <c r="E120" s="103"/>
      <c r="F120" s="103"/>
      <c r="G120" s="105"/>
      <c r="H120" s="106"/>
      <c r="I120" s="76"/>
      <c r="J120" s="123">
        <f>SUM(J114:J119)</f>
        <v>9</v>
      </c>
      <c r="K120" s="118"/>
      <c r="L120" s="76"/>
      <c r="M120" s="77"/>
      <c r="N120" s="78"/>
      <c r="O120" s="76"/>
      <c r="P120" s="78"/>
      <c r="Q120" s="79">
        <f t="shared" ref="Q120:R120" si="89">SUM(Q114:Q119)</f>
        <v>16756.799999999996</v>
      </c>
      <c r="R120" s="79">
        <f t="shared" si="89"/>
        <v>4036.713119999999</v>
      </c>
      <c r="S120" s="80">
        <f>SUM(S114:S119)</f>
        <v>20793.513119999996</v>
      </c>
    </row>
    <row r="121" spans="2:19" ht="13.5" x14ac:dyDescent="0.25">
      <c r="B121" s="898" t="s">
        <v>199</v>
      </c>
      <c r="C121" s="899"/>
      <c r="D121" s="899"/>
      <c r="E121" s="899"/>
      <c r="F121" s="899"/>
      <c r="G121" s="44"/>
      <c r="H121" s="44"/>
      <c r="I121" s="44"/>
      <c r="J121" s="328">
        <f>J106+J112+J120</f>
        <v>53.05</v>
      </c>
      <c r="K121" s="118"/>
      <c r="L121" s="76"/>
      <c r="M121" s="77"/>
      <c r="N121" s="78"/>
      <c r="O121" s="76"/>
      <c r="P121" s="78"/>
      <c r="Q121" s="79">
        <f t="shared" ref="Q121:S121" si="90">Q106+Q112+Q120</f>
        <v>109928.81999999995</v>
      </c>
      <c r="R121" s="79">
        <f t="shared" si="90"/>
        <v>26481.852737999998</v>
      </c>
      <c r="S121" s="80">
        <f t="shared" si="90"/>
        <v>136410.67273799996</v>
      </c>
    </row>
    <row r="122" spans="2:19" s="2" customFormat="1" ht="15" customHeight="1" x14ac:dyDescent="0.2">
      <c r="B122" s="850" t="s">
        <v>118</v>
      </c>
      <c r="C122" s="851"/>
      <c r="D122" s="851"/>
      <c r="E122" s="851"/>
      <c r="F122" s="851"/>
      <c r="G122" s="851"/>
      <c r="H122" s="851"/>
      <c r="I122" s="851"/>
      <c r="J122" s="851"/>
      <c r="K122" s="851"/>
      <c r="L122" s="851"/>
      <c r="M122" s="851"/>
      <c r="N122" s="851"/>
      <c r="O122" s="851"/>
      <c r="P122" s="851"/>
      <c r="Q122" s="851"/>
      <c r="R122" s="851"/>
      <c r="S122" s="852"/>
    </row>
    <row r="123" spans="2:19" x14ac:dyDescent="0.2">
      <c r="B123" s="837" t="s">
        <v>20</v>
      </c>
      <c r="C123" s="838"/>
      <c r="D123" s="838"/>
      <c r="E123" s="838"/>
      <c r="F123" s="839"/>
      <c r="G123" s="33"/>
      <c r="H123" s="34"/>
      <c r="I123" s="34"/>
      <c r="J123" s="147"/>
      <c r="K123" s="146"/>
      <c r="L123" s="33"/>
      <c r="M123" s="33"/>
      <c r="N123" s="33"/>
      <c r="O123" s="33"/>
      <c r="P123" s="33"/>
      <c r="Q123" s="33"/>
      <c r="R123" s="33"/>
      <c r="S123" s="147"/>
    </row>
    <row r="124" spans="2:19" s="27" customFormat="1" x14ac:dyDescent="0.2">
      <c r="B124" s="144" t="s">
        <v>119</v>
      </c>
      <c r="C124" s="48">
        <v>5.0999999999999996</v>
      </c>
      <c r="D124" s="13" t="s">
        <v>63</v>
      </c>
      <c r="E124" s="36" t="s">
        <v>120</v>
      </c>
      <c r="F124" s="36" t="s">
        <v>77</v>
      </c>
      <c r="G124" s="37">
        <v>835</v>
      </c>
      <c r="H124" s="38">
        <v>662</v>
      </c>
      <c r="I124" s="38">
        <v>66.2</v>
      </c>
      <c r="J124" s="324">
        <v>3</v>
      </c>
      <c r="K124" s="97">
        <f t="shared" ref="K124:K133" si="91">H124*1.2</f>
        <v>794.4</v>
      </c>
      <c r="L124" s="59">
        <f t="shared" ref="L124:L133" si="92">IF(K124&lt;=G124,K124,G124)</f>
        <v>794.4</v>
      </c>
      <c r="M124" s="87">
        <f t="shared" ref="M124:M133" si="93">N124-I124</f>
        <v>13.239999999999995</v>
      </c>
      <c r="N124" s="67">
        <f t="shared" ref="N124:N133" si="94">I124/H124*L124</f>
        <v>79.44</v>
      </c>
      <c r="O124" s="59">
        <f t="shared" ref="O124:O133" si="95">L124-H124+M124</f>
        <v>145.63999999999999</v>
      </c>
      <c r="P124" s="67">
        <f t="shared" ref="P124:P133" si="96">O124*J124</f>
        <v>436.91999999999996</v>
      </c>
      <c r="Q124" s="68">
        <f t="shared" ref="Q124:Q133" si="97">P124*12</f>
        <v>5243.0399999999991</v>
      </c>
      <c r="R124" s="68">
        <f t="shared" ref="R124:R133" si="98">Q124*0.2409</f>
        <v>1263.0483359999998</v>
      </c>
      <c r="S124" s="69">
        <f t="shared" ref="S124:S133" si="99">Q124+R124</f>
        <v>6506.0883359999989</v>
      </c>
    </row>
    <row r="125" spans="2:19" s="27" customFormat="1" x14ac:dyDescent="0.2">
      <c r="B125" s="144" t="s">
        <v>65</v>
      </c>
      <c r="C125" s="48">
        <v>5.0999999999999996</v>
      </c>
      <c r="D125" s="13" t="s">
        <v>63</v>
      </c>
      <c r="E125" s="36" t="s">
        <v>120</v>
      </c>
      <c r="F125" s="36" t="s">
        <v>79</v>
      </c>
      <c r="G125" s="37">
        <v>1015</v>
      </c>
      <c r="H125" s="38">
        <v>761</v>
      </c>
      <c r="I125" s="38">
        <v>76.099999999999994</v>
      </c>
      <c r="J125" s="324">
        <v>2</v>
      </c>
      <c r="K125" s="97">
        <f t="shared" si="91"/>
        <v>913.19999999999993</v>
      </c>
      <c r="L125" s="59">
        <f t="shared" si="92"/>
        <v>913.19999999999993</v>
      </c>
      <c r="M125" s="87">
        <f t="shared" si="93"/>
        <v>15.219999999999985</v>
      </c>
      <c r="N125" s="67">
        <f t="shared" si="94"/>
        <v>91.319999999999979</v>
      </c>
      <c r="O125" s="59">
        <f t="shared" si="95"/>
        <v>167.4199999999999</v>
      </c>
      <c r="P125" s="67">
        <f t="shared" si="96"/>
        <v>334.8399999999998</v>
      </c>
      <c r="Q125" s="68">
        <f t="shared" si="97"/>
        <v>4018.0799999999977</v>
      </c>
      <c r="R125" s="68">
        <f t="shared" si="98"/>
        <v>967.95547199999942</v>
      </c>
      <c r="S125" s="69">
        <f t="shared" si="99"/>
        <v>4986.0354719999968</v>
      </c>
    </row>
    <row r="126" spans="2:19" s="27" customFormat="1" x14ac:dyDescent="0.2">
      <c r="B126" s="144" t="s">
        <v>65</v>
      </c>
      <c r="C126" s="48">
        <v>5.0999999999999996</v>
      </c>
      <c r="D126" s="13" t="s">
        <v>63</v>
      </c>
      <c r="E126" s="36" t="s">
        <v>120</v>
      </c>
      <c r="F126" s="36" t="s">
        <v>75</v>
      </c>
      <c r="G126" s="37">
        <v>1190</v>
      </c>
      <c r="H126" s="38">
        <v>868</v>
      </c>
      <c r="I126" s="38">
        <v>86.8</v>
      </c>
      <c r="J126" s="324">
        <v>5</v>
      </c>
      <c r="K126" s="97">
        <f t="shared" si="91"/>
        <v>1041.5999999999999</v>
      </c>
      <c r="L126" s="59">
        <f t="shared" si="92"/>
        <v>1041.5999999999999</v>
      </c>
      <c r="M126" s="87">
        <f t="shared" si="93"/>
        <v>17.359999999999985</v>
      </c>
      <c r="N126" s="67">
        <f t="shared" si="94"/>
        <v>104.15999999999998</v>
      </c>
      <c r="O126" s="59">
        <f t="shared" si="95"/>
        <v>190.95999999999989</v>
      </c>
      <c r="P126" s="67">
        <f t="shared" si="96"/>
        <v>954.7999999999995</v>
      </c>
      <c r="Q126" s="68">
        <f t="shared" si="97"/>
        <v>11457.599999999995</v>
      </c>
      <c r="R126" s="68">
        <f t="shared" si="98"/>
        <v>2760.135839999999</v>
      </c>
      <c r="S126" s="69">
        <f t="shared" si="99"/>
        <v>14217.735839999994</v>
      </c>
    </row>
    <row r="127" spans="2:19" s="27" customFormat="1" x14ac:dyDescent="0.2">
      <c r="B127" s="144" t="s">
        <v>56</v>
      </c>
      <c r="C127" s="48">
        <v>5.0999999999999996</v>
      </c>
      <c r="D127" s="13" t="s">
        <v>121</v>
      </c>
      <c r="E127" s="36">
        <v>10</v>
      </c>
      <c r="F127" s="36" t="s">
        <v>75</v>
      </c>
      <c r="G127" s="37">
        <v>1287</v>
      </c>
      <c r="H127" s="38">
        <v>1261</v>
      </c>
      <c r="I127" s="38">
        <v>0</v>
      </c>
      <c r="J127" s="324">
        <v>1</v>
      </c>
      <c r="K127" s="97">
        <f t="shared" si="91"/>
        <v>1513.2</v>
      </c>
      <c r="L127" s="59">
        <f t="shared" si="92"/>
        <v>1287</v>
      </c>
      <c r="M127" s="87">
        <f t="shared" si="93"/>
        <v>0</v>
      </c>
      <c r="N127" s="67">
        <f t="shared" si="94"/>
        <v>0</v>
      </c>
      <c r="O127" s="59">
        <f t="shared" si="95"/>
        <v>26</v>
      </c>
      <c r="P127" s="67">
        <f t="shared" si="96"/>
        <v>26</v>
      </c>
      <c r="Q127" s="68">
        <f t="shared" si="97"/>
        <v>312</v>
      </c>
      <c r="R127" s="68">
        <f t="shared" si="98"/>
        <v>75.160799999999995</v>
      </c>
      <c r="S127" s="69">
        <f t="shared" si="99"/>
        <v>387.16079999999999</v>
      </c>
    </row>
    <row r="128" spans="2:19" s="27" customFormat="1" x14ac:dyDescent="0.2">
      <c r="B128" s="144" t="s">
        <v>56</v>
      </c>
      <c r="C128" s="48">
        <v>5.0999999999999996</v>
      </c>
      <c r="D128" s="13" t="s">
        <v>121</v>
      </c>
      <c r="E128" s="36">
        <v>10</v>
      </c>
      <c r="F128" s="36" t="s">
        <v>75</v>
      </c>
      <c r="G128" s="37">
        <v>1287</v>
      </c>
      <c r="H128" s="38">
        <v>1278</v>
      </c>
      <c r="I128" s="38">
        <v>0</v>
      </c>
      <c r="J128" s="324">
        <v>1</v>
      </c>
      <c r="K128" s="97">
        <f t="shared" si="91"/>
        <v>1533.6</v>
      </c>
      <c r="L128" s="59">
        <f t="shared" si="92"/>
        <v>1287</v>
      </c>
      <c r="M128" s="87">
        <f t="shared" si="93"/>
        <v>0</v>
      </c>
      <c r="N128" s="67">
        <f t="shared" si="94"/>
        <v>0</v>
      </c>
      <c r="O128" s="59">
        <f t="shared" si="95"/>
        <v>9</v>
      </c>
      <c r="P128" s="67">
        <f t="shared" si="96"/>
        <v>9</v>
      </c>
      <c r="Q128" s="68">
        <f t="shared" si="97"/>
        <v>108</v>
      </c>
      <c r="R128" s="68">
        <f t="shared" si="98"/>
        <v>26.017199999999999</v>
      </c>
      <c r="S128" s="69">
        <f t="shared" si="99"/>
        <v>134.0172</v>
      </c>
    </row>
    <row r="129" spans="2:21" s="27" customFormat="1" x14ac:dyDescent="0.2">
      <c r="B129" s="144" t="s">
        <v>56</v>
      </c>
      <c r="C129" s="48">
        <v>5.0999999999999996</v>
      </c>
      <c r="D129" s="13" t="s">
        <v>121</v>
      </c>
      <c r="E129" s="36">
        <v>10</v>
      </c>
      <c r="F129" s="36" t="s">
        <v>75</v>
      </c>
      <c r="G129" s="37">
        <v>1287</v>
      </c>
      <c r="H129" s="38">
        <v>1279</v>
      </c>
      <c r="I129" s="38">
        <v>0</v>
      </c>
      <c r="J129" s="324">
        <v>1</v>
      </c>
      <c r="K129" s="97">
        <f t="shared" si="91"/>
        <v>1534.8</v>
      </c>
      <c r="L129" s="59">
        <f t="shared" si="92"/>
        <v>1287</v>
      </c>
      <c r="M129" s="87">
        <f t="shared" si="93"/>
        <v>0</v>
      </c>
      <c r="N129" s="67">
        <f t="shared" si="94"/>
        <v>0</v>
      </c>
      <c r="O129" s="59">
        <f t="shared" si="95"/>
        <v>8</v>
      </c>
      <c r="P129" s="67">
        <f t="shared" si="96"/>
        <v>8</v>
      </c>
      <c r="Q129" s="68">
        <f t="shared" si="97"/>
        <v>96</v>
      </c>
      <c r="R129" s="68">
        <f t="shared" si="98"/>
        <v>23.1264</v>
      </c>
      <c r="S129" s="69">
        <f t="shared" si="99"/>
        <v>119.1264</v>
      </c>
    </row>
    <row r="130" spans="2:21" s="27" customFormat="1" x14ac:dyDescent="0.2">
      <c r="B130" s="144" t="s">
        <v>56</v>
      </c>
      <c r="C130" s="48" t="s">
        <v>122</v>
      </c>
      <c r="D130" s="13" t="s">
        <v>121</v>
      </c>
      <c r="E130" s="36">
        <v>10</v>
      </c>
      <c r="F130" s="36" t="s">
        <v>75</v>
      </c>
      <c r="G130" s="37">
        <v>1287</v>
      </c>
      <c r="H130" s="38">
        <v>1031</v>
      </c>
      <c r="I130" s="38">
        <v>0</v>
      </c>
      <c r="J130" s="324">
        <v>0.7</v>
      </c>
      <c r="K130" s="97">
        <f t="shared" si="91"/>
        <v>1237.2</v>
      </c>
      <c r="L130" s="59">
        <f t="shared" si="92"/>
        <v>1237.2</v>
      </c>
      <c r="M130" s="87">
        <f t="shared" si="93"/>
        <v>0</v>
      </c>
      <c r="N130" s="67">
        <f t="shared" si="94"/>
        <v>0</v>
      </c>
      <c r="O130" s="59">
        <f t="shared" si="95"/>
        <v>206.20000000000005</v>
      </c>
      <c r="P130" s="67">
        <f t="shared" si="96"/>
        <v>144.34000000000003</v>
      </c>
      <c r="Q130" s="68">
        <f t="shared" si="97"/>
        <v>1732.0800000000004</v>
      </c>
      <c r="R130" s="68">
        <f t="shared" si="98"/>
        <v>417.25807200000008</v>
      </c>
      <c r="S130" s="69">
        <f t="shared" si="99"/>
        <v>2149.3380720000005</v>
      </c>
    </row>
    <row r="131" spans="2:21" s="27" customFormat="1" x14ac:dyDescent="0.2">
      <c r="B131" s="144" t="s">
        <v>62</v>
      </c>
      <c r="C131" s="48">
        <v>5.0999999999999996</v>
      </c>
      <c r="D131" s="13" t="s">
        <v>109</v>
      </c>
      <c r="E131" s="36">
        <v>9</v>
      </c>
      <c r="F131" s="36" t="s">
        <v>75</v>
      </c>
      <c r="G131" s="37">
        <v>1190</v>
      </c>
      <c r="H131" s="38">
        <v>868</v>
      </c>
      <c r="I131" s="38">
        <v>66.2</v>
      </c>
      <c r="J131" s="324">
        <v>1</v>
      </c>
      <c r="K131" s="97">
        <f t="shared" si="91"/>
        <v>1041.5999999999999</v>
      </c>
      <c r="L131" s="59">
        <f t="shared" si="92"/>
        <v>1041.5999999999999</v>
      </c>
      <c r="M131" s="87">
        <f t="shared" si="93"/>
        <v>13.239999999999995</v>
      </c>
      <c r="N131" s="67">
        <f t="shared" si="94"/>
        <v>79.44</v>
      </c>
      <c r="O131" s="59">
        <f t="shared" si="95"/>
        <v>186.83999999999992</v>
      </c>
      <c r="P131" s="67">
        <f t="shared" si="96"/>
        <v>186.83999999999992</v>
      </c>
      <c r="Q131" s="68">
        <f t="shared" si="97"/>
        <v>2242.079999999999</v>
      </c>
      <c r="R131" s="68">
        <f t="shared" si="98"/>
        <v>540.11707199999978</v>
      </c>
      <c r="S131" s="69">
        <f t="shared" si="99"/>
        <v>2782.197071999999</v>
      </c>
    </row>
    <row r="132" spans="2:21" s="27" customFormat="1" x14ac:dyDescent="0.2">
      <c r="B132" s="144" t="s">
        <v>123</v>
      </c>
      <c r="C132" s="48">
        <v>5.0999999999999996</v>
      </c>
      <c r="D132" s="13" t="s">
        <v>121</v>
      </c>
      <c r="E132" s="36">
        <v>10</v>
      </c>
      <c r="F132" s="36" t="s">
        <v>75</v>
      </c>
      <c r="G132" s="37">
        <v>1287</v>
      </c>
      <c r="H132" s="38">
        <v>1031</v>
      </c>
      <c r="I132" s="38">
        <v>103.1</v>
      </c>
      <c r="J132" s="324">
        <v>0.5</v>
      </c>
      <c r="K132" s="97">
        <f t="shared" si="91"/>
        <v>1237.2</v>
      </c>
      <c r="L132" s="59">
        <f t="shared" si="92"/>
        <v>1237.2</v>
      </c>
      <c r="M132" s="87">
        <f t="shared" si="93"/>
        <v>20.620000000000005</v>
      </c>
      <c r="N132" s="67">
        <f t="shared" si="94"/>
        <v>123.72</v>
      </c>
      <c r="O132" s="59">
        <f t="shared" si="95"/>
        <v>226.82000000000005</v>
      </c>
      <c r="P132" s="67">
        <f t="shared" si="96"/>
        <v>113.41000000000003</v>
      </c>
      <c r="Q132" s="68">
        <f t="shared" si="97"/>
        <v>1360.9200000000003</v>
      </c>
      <c r="R132" s="68">
        <f t="shared" si="98"/>
        <v>327.84562800000009</v>
      </c>
      <c r="S132" s="69">
        <f t="shared" si="99"/>
        <v>1688.7656280000003</v>
      </c>
    </row>
    <row r="133" spans="2:21" s="27" customFormat="1" x14ac:dyDescent="0.2">
      <c r="B133" s="144" t="s">
        <v>108</v>
      </c>
      <c r="C133" s="48">
        <v>5.0999999999999996</v>
      </c>
      <c r="D133" s="13" t="s">
        <v>121</v>
      </c>
      <c r="E133" s="36" t="s">
        <v>124</v>
      </c>
      <c r="F133" s="36" t="s">
        <v>75</v>
      </c>
      <c r="G133" s="37">
        <v>1287</v>
      </c>
      <c r="H133" s="38">
        <v>1031</v>
      </c>
      <c r="I133" s="38">
        <v>0</v>
      </c>
      <c r="J133" s="324">
        <v>1.35</v>
      </c>
      <c r="K133" s="97">
        <f t="shared" si="91"/>
        <v>1237.2</v>
      </c>
      <c r="L133" s="59">
        <f t="shared" si="92"/>
        <v>1237.2</v>
      </c>
      <c r="M133" s="87">
        <f t="shared" si="93"/>
        <v>0</v>
      </c>
      <c r="N133" s="67">
        <f t="shared" si="94"/>
        <v>0</v>
      </c>
      <c r="O133" s="59">
        <f t="shared" si="95"/>
        <v>206.20000000000005</v>
      </c>
      <c r="P133" s="67">
        <f t="shared" si="96"/>
        <v>278.37000000000006</v>
      </c>
      <c r="Q133" s="68">
        <f t="shared" si="97"/>
        <v>3340.4400000000005</v>
      </c>
      <c r="R133" s="68">
        <f t="shared" si="98"/>
        <v>804.71199600000011</v>
      </c>
      <c r="S133" s="69">
        <f t="shared" si="99"/>
        <v>4145.1519960000005</v>
      </c>
    </row>
    <row r="134" spans="2:21" s="101" customFormat="1" x14ac:dyDescent="0.2">
      <c r="B134" s="119" t="s">
        <v>4</v>
      </c>
      <c r="C134" s="103"/>
      <c r="D134" s="103"/>
      <c r="E134" s="103"/>
      <c r="F134" s="103"/>
      <c r="G134" s="105"/>
      <c r="H134" s="106"/>
      <c r="I134" s="76"/>
      <c r="J134" s="123">
        <f>SUM(J124:J133)</f>
        <v>16.55</v>
      </c>
      <c r="K134" s="118"/>
      <c r="L134" s="76"/>
      <c r="M134" s="77"/>
      <c r="N134" s="78"/>
      <c r="O134" s="76"/>
      <c r="P134" s="78"/>
      <c r="Q134" s="79">
        <f t="shared" ref="Q134:R134" si="100">SUM(Q124:Q133)</f>
        <v>29910.239999999998</v>
      </c>
      <c r="R134" s="79">
        <f t="shared" si="100"/>
        <v>7205.3768159999981</v>
      </c>
      <c r="S134" s="80">
        <f>SUM(S124:S133)</f>
        <v>37115.616815999987</v>
      </c>
      <c r="U134" s="27"/>
    </row>
    <row r="135" spans="2:21" x14ac:dyDescent="0.2">
      <c r="B135" s="892" t="s">
        <v>10</v>
      </c>
      <c r="C135" s="893"/>
      <c r="D135" s="893"/>
      <c r="E135" s="893"/>
      <c r="F135" s="894"/>
      <c r="G135" s="11"/>
      <c r="H135" s="45"/>
      <c r="I135" s="45"/>
      <c r="J135" s="326"/>
      <c r="K135" s="149"/>
      <c r="L135" s="62"/>
      <c r="M135" s="62"/>
      <c r="N135" s="62"/>
      <c r="O135" s="62"/>
      <c r="P135" s="62"/>
      <c r="Q135" s="62"/>
      <c r="R135" s="62"/>
      <c r="S135" s="148"/>
      <c r="U135" s="27"/>
    </row>
    <row r="136" spans="2:21" s="27" customFormat="1" x14ac:dyDescent="0.2">
      <c r="B136" s="144" t="s">
        <v>32</v>
      </c>
      <c r="C136" s="47" t="s">
        <v>122</v>
      </c>
      <c r="D136" s="36" t="s">
        <v>15</v>
      </c>
      <c r="E136" s="36" t="s">
        <v>78</v>
      </c>
      <c r="F136" s="36" t="s">
        <v>75</v>
      </c>
      <c r="G136" s="37">
        <v>1093</v>
      </c>
      <c r="H136" s="38">
        <v>765</v>
      </c>
      <c r="I136" s="38">
        <v>76.5</v>
      </c>
      <c r="J136" s="324">
        <v>3</v>
      </c>
      <c r="K136" s="97">
        <f t="shared" ref="K136:K146" si="101">H136*1.2</f>
        <v>918</v>
      </c>
      <c r="L136" s="59">
        <f t="shared" ref="L136:L146" si="102">IF(K136&lt;=G136,K136,G136)</f>
        <v>918</v>
      </c>
      <c r="M136" s="87">
        <f t="shared" ref="M136:M146" si="103">N136-I136</f>
        <v>15.300000000000011</v>
      </c>
      <c r="N136" s="67">
        <f t="shared" ref="N136:N146" si="104">I136/H136*L136</f>
        <v>91.800000000000011</v>
      </c>
      <c r="O136" s="59">
        <f t="shared" ref="O136:O146" si="105">L136-H136+M136</f>
        <v>168.3</v>
      </c>
      <c r="P136" s="67">
        <f t="shared" ref="P136:P146" si="106">O136*J136</f>
        <v>504.90000000000003</v>
      </c>
      <c r="Q136" s="68">
        <f t="shared" ref="Q136:Q146" si="107">P136*12</f>
        <v>6058.8</v>
      </c>
      <c r="R136" s="68">
        <f t="shared" ref="R136:R146" si="108">Q136*0.2409</f>
        <v>1459.56492</v>
      </c>
      <c r="S136" s="69">
        <f t="shared" ref="S136:S146" si="109">Q136+R136</f>
        <v>7518.36492</v>
      </c>
    </row>
    <row r="137" spans="2:21" s="27" customFormat="1" x14ac:dyDescent="0.2">
      <c r="B137" s="144" t="s">
        <v>32</v>
      </c>
      <c r="C137" s="47" t="s">
        <v>122</v>
      </c>
      <c r="D137" s="36" t="s">
        <v>15</v>
      </c>
      <c r="E137" s="36" t="s">
        <v>78</v>
      </c>
      <c r="F137" s="36" t="s">
        <v>77</v>
      </c>
      <c r="G137" s="37">
        <v>745</v>
      </c>
      <c r="H137" s="38">
        <v>605</v>
      </c>
      <c r="I137" s="38">
        <v>60.5</v>
      </c>
      <c r="J137" s="324">
        <v>1</v>
      </c>
      <c r="K137" s="97">
        <f t="shared" si="101"/>
        <v>726</v>
      </c>
      <c r="L137" s="59">
        <f t="shared" si="102"/>
        <v>726</v>
      </c>
      <c r="M137" s="87">
        <f t="shared" si="103"/>
        <v>12.100000000000009</v>
      </c>
      <c r="N137" s="67">
        <f t="shared" si="104"/>
        <v>72.600000000000009</v>
      </c>
      <c r="O137" s="59">
        <f t="shared" si="105"/>
        <v>133.10000000000002</v>
      </c>
      <c r="P137" s="67">
        <f t="shared" si="106"/>
        <v>133.10000000000002</v>
      </c>
      <c r="Q137" s="68">
        <f t="shared" si="107"/>
        <v>1597.2000000000003</v>
      </c>
      <c r="R137" s="68">
        <f t="shared" si="108"/>
        <v>384.76548000000008</v>
      </c>
      <c r="S137" s="69">
        <f t="shared" si="109"/>
        <v>1981.9654800000003</v>
      </c>
    </row>
    <row r="138" spans="2:21" s="27" customFormat="1" x14ac:dyDescent="0.2">
      <c r="B138" s="144" t="s">
        <v>25</v>
      </c>
      <c r="C138" s="47" t="s">
        <v>22</v>
      </c>
      <c r="D138" s="36" t="s">
        <v>14</v>
      </c>
      <c r="E138" s="36" t="s">
        <v>125</v>
      </c>
      <c r="F138" s="36" t="s">
        <v>75</v>
      </c>
      <c r="G138" s="37">
        <v>996</v>
      </c>
      <c r="H138" s="38">
        <v>712</v>
      </c>
      <c r="I138" s="38">
        <v>178</v>
      </c>
      <c r="J138" s="324">
        <v>20</v>
      </c>
      <c r="K138" s="97">
        <f t="shared" si="101"/>
        <v>854.4</v>
      </c>
      <c r="L138" s="59">
        <f t="shared" si="102"/>
        <v>854.4</v>
      </c>
      <c r="M138" s="87">
        <f t="shared" si="103"/>
        <v>35.599999999999994</v>
      </c>
      <c r="N138" s="67">
        <f t="shared" si="104"/>
        <v>213.6</v>
      </c>
      <c r="O138" s="59">
        <f t="shared" si="105"/>
        <v>177.99999999999997</v>
      </c>
      <c r="P138" s="67">
        <f t="shared" si="106"/>
        <v>3559.9999999999995</v>
      </c>
      <c r="Q138" s="68">
        <f t="shared" si="107"/>
        <v>42719.999999999993</v>
      </c>
      <c r="R138" s="68">
        <f t="shared" si="108"/>
        <v>10291.247999999998</v>
      </c>
      <c r="S138" s="69">
        <f t="shared" si="109"/>
        <v>53011.247999999992</v>
      </c>
    </row>
    <row r="139" spans="2:21" s="27" customFormat="1" x14ac:dyDescent="0.2">
      <c r="B139" s="144" t="s">
        <v>126</v>
      </c>
      <c r="C139" s="47" t="s">
        <v>22</v>
      </c>
      <c r="D139" s="36" t="s">
        <v>14</v>
      </c>
      <c r="E139" s="36" t="s">
        <v>125</v>
      </c>
      <c r="F139" s="36" t="s">
        <v>79</v>
      </c>
      <c r="G139" s="37">
        <v>835</v>
      </c>
      <c r="H139" s="38">
        <v>678</v>
      </c>
      <c r="I139" s="38">
        <v>169.5</v>
      </c>
      <c r="J139" s="324">
        <v>2</v>
      </c>
      <c r="K139" s="97">
        <f t="shared" si="101"/>
        <v>813.6</v>
      </c>
      <c r="L139" s="59">
        <f t="shared" si="102"/>
        <v>813.6</v>
      </c>
      <c r="M139" s="87">
        <f t="shared" si="103"/>
        <v>33.900000000000006</v>
      </c>
      <c r="N139" s="67">
        <f t="shared" si="104"/>
        <v>203.4</v>
      </c>
      <c r="O139" s="59">
        <f t="shared" si="105"/>
        <v>169.50000000000003</v>
      </c>
      <c r="P139" s="67">
        <f t="shared" si="106"/>
        <v>339.00000000000006</v>
      </c>
      <c r="Q139" s="68">
        <f t="shared" si="107"/>
        <v>4068.0000000000009</v>
      </c>
      <c r="R139" s="68">
        <f t="shared" si="108"/>
        <v>979.98120000000029</v>
      </c>
      <c r="S139" s="69">
        <f t="shared" si="109"/>
        <v>5047.9812000000011</v>
      </c>
    </row>
    <row r="140" spans="2:21" s="27" customFormat="1" x14ac:dyDescent="0.2">
      <c r="B140" s="144" t="s">
        <v>68</v>
      </c>
      <c r="C140" s="47" t="s">
        <v>22</v>
      </c>
      <c r="D140" s="36" t="s">
        <v>45</v>
      </c>
      <c r="E140" s="36" t="s">
        <v>76</v>
      </c>
      <c r="F140" s="36" t="s">
        <v>79</v>
      </c>
      <c r="G140" s="37">
        <v>740</v>
      </c>
      <c r="H140" s="38">
        <v>606</v>
      </c>
      <c r="I140" s="38">
        <v>151.5</v>
      </c>
      <c r="J140" s="324">
        <v>1</v>
      </c>
      <c r="K140" s="97">
        <f t="shared" si="101"/>
        <v>727.19999999999993</v>
      </c>
      <c r="L140" s="59">
        <f t="shared" si="102"/>
        <v>727.19999999999993</v>
      </c>
      <c r="M140" s="87">
        <f t="shared" si="103"/>
        <v>30.299999999999983</v>
      </c>
      <c r="N140" s="67">
        <f t="shared" si="104"/>
        <v>181.79999999999998</v>
      </c>
      <c r="O140" s="59">
        <f t="shared" si="105"/>
        <v>151.49999999999991</v>
      </c>
      <c r="P140" s="67">
        <f t="shared" si="106"/>
        <v>151.49999999999991</v>
      </c>
      <c r="Q140" s="68">
        <f t="shared" si="107"/>
        <v>1817.9999999999991</v>
      </c>
      <c r="R140" s="68">
        <f t="shared" si="108"/>
        <v>437.9561999999998</v>
      </c>
      <c r="S140" s="69">
        <f t="shared" si="109"/>
        <v>2255.9561999999987</v>
      </c>
    </row>
    <row r="141" spans="2:21" s="27" customFormat="1" x14ac:dyDescent="0.2">
      <c r="B141" s="144" t="s">
        <v>68</v>
      </c>
      <c r="C141" s="47" t="s">
        <v>22</v>
      </c>
      <c r="D141" s="36" t="s">
        <v>45</v>
      </c>
      <c r="E141" s="36" t="s">
        <v>76</v>
      </c>
      <c r="F141" s="36" t="s">
        <v>75</v>
      </c>
      <c r="G141" s="37">
        <v>899</v>
      </c>
      <c r="H141" s="38">
        <v>675</v>
      </c>
      <c r="I141" s="38">
        <v>168.75</v>
      </c>
      <c r="J141" s="324">
        <v>10</v>
      </c>
      <c r="K141" s="97">
        <f t="shared" si="101"/>
        <v>810</v>
      </c>
      <c r="L141" s="59">
        <f t="shared" si="102"/>
        <v>810</v>
      </c>
      <c r="M141" s="87">
        <f t="shared" si="103"/>
        <v>33.75</v>
      </c>
      <c r="N141" s="67">
        <f t="shared" si="104"/>
        <v>202.5</v>
      </c>
      <c r="O141" s="59">
        <f t="shared" si="105"/>
        <v>168.75</v>
      </c>
      <c r="P141" s="67">
        <f t="shared" si="106"/>
        <v>1687.5</v>
      </c>
      <c r="Q141" s="68">
        <f t="shared" si="107"/>
        <v>20250</v>
      </c>
      <c r="R141" s="68">
        <f t="shared" si="108"/>
        <v>4878.2250000000004</v>
      </c>
      <c r="S141" s="69">
        <f t="shared" si="109"/>
        <v>25128.224999999999</v>
      </c>
    </row>
    <row r="142" spans="2:21" s="27" customFormat="1" x14ac:dyDescent="0.2">
      <c r="B142" s="144" t="s">
        <v>127</v>
      </c>
      <c r="C142" s="47" t="s">
        <v>22</v>
      </c>
      <c r="D142" s="36" t="s">
        <v>14</v>
      </c>
      <c r="E142" s="36" t="s">
        <v>125</v>
      </c>
      <c r="F142" s="36" t="s">
        <v>75</v>
      </c>
      <c r="G142" s="37">
        <v>996</v>
      </c>
      <c r="H142" s="38">
        <v>712</v>
      </c>
      <c r="I142" s="38">
        <v>71.2</v>
      </c>
      <c r="J142" s="324">
        <v>2</v>
      </c>
      <c r="K142" s="97">
        <f t="shared" si="101"/>
        <v>854.4</v>
      </c>
      <c r="L142" s="59">
        <f t="shared" si="102"/>
        <v>854.4</v>
      </c>
      <c r="M142" s="87">
        <f t="shared" si="103"/>
        <v>14.239999999999995</v>
      </c>
      <c r="N142" s="67">
        <f t="shared" si="104"/>
        <v>85.44</v>
      </c>
      <c r="O142" s="59">
        <f t="shared" si="105"/>
        <v>156.63999999999999</v>
      </c>
      <c r="P142" s="67">
        <f t="shared" si="106"/>
        <v>313.27999999999997</v>
      </c>
      <c r="Q142" s="68">
        <f t="shared" si="107"/>
        <v>3759.3599999999997</v>
      </c>
      <c r="R142" s="68">
        <f t="shared" si="108"/>
        <v>905.62982399999999</v>
      </c>
      <c r="S142" s="69">
        <f t="shared" si="109"/>
        <v>4664.9898239999993</v>
      </c>
    </row>
    <row r="143" spans="2:21" s="27" customFormat="1" ht="25.5" x14ac:dyDescent="0.2">
      <c r="B143" s="145" t="s">
        <v>128</v>
      </c>
      <c r="C143" s="48" t="s">
        <v>22</v>
      </c>
      <c r="D143" s="13" t="s">
        <v>49</v>
      </c>
      <c r="E143" s="13" t="s">
        <v>78</v>
      </c>
      <c r="F143" s="13" t="s">
        <v>75</v>
      </c>
      <c r="G143" s="49">
        <v>1093</v>
      </c>
      <c r="H143" s="50">
        <v>785</v>
      </c>
      <c r="I143" s="50">
        <v>0</v>
      </c>
      <c r="J143" s="327">
        <v>2</v>
      </c>
      <c r="K143" s="97">
        <f t="shared" si="101"/>
        <v>942</v>
      </c>
      <c r="L143" s="59">
        <f t="shared" si="102"/>
        <v>942</v>
      </c>
      <c r="M143" s="87">
        <f t="shared" si="103"/>
        <v>0</v>
      </c>
      <c r="N143" s="67">
        <f t="shared" si="104"/>
        <v>0</v>
      </c>
      <c r="O143" s="59">
        <f t="shared" si="105"/>
        <v>157</v>
      </c>
      <c r="P143" s="67">
        <f t="shared" si="106"/>
        <v>314</v>
      </c>
      <c r="Q143" s="68">
        <f t="shared" si="107"/>
        <v>3768</v>
      </c>
      <c r="R143" s="68">
        <f t="shared" si="108"/>
        <v>907.71119999999996</v>
      </c>
      <c r="S143" s="69">
        <f t="shared" si="109"/>
        <v>4675.7111999999997</v>
      </c>
    </row>
    <row r="144" spans="2:21" s="27" customFormat="1" ht="25.5" x14ac:dyDescent="0.2">
      <c r="B144" s="145" t="s">
        <v>129</v>
      </c>
      <c r="C144" s="48" t="s">
        <v>22</v>
      </c>
      <c r="D144" s="13" t="s">
        <v>49</v>
      </c>
      <c r="E144" s="13" t="s">
        <v>78</v>
      </c>
      <c r="F144" s="13" t="s">
        <v>75</v>
      </c>
      <c r="G144" s="49">
        <v>1093</v>
      </c>
      <c r="H144" s="50">
        <v>873</v>
      </c>
      <c r="I144" s="50">
        <v>0</v>
      </c>
      <c r="J144" s="327">
        <v>3</v>
      </c>
      <c r="K144" s="97">
        <f t="shared" si="101"/>
        <v>1047.5999999999999</v>
      </c>
      <c r="L144" s="59">
        <f t="shared" si="102"/>
        <v>1047.5999999999999</v>
      </c>
      <c r="M144" s="87">
        <f t="shared" si="103"/>
        <v>0</v>
      </c>
      <c r="N144" s="67">
        <f t="shared" si="104"/>
        <v>0</v>
      </c>
      <c r="O144" s="59">
        <f t="shared" si="105"/>
        <v>174.59999999999991</v>
      </c>
      <c r="P144" s="67">
        <f t="shared" si="106"/>
        <v>523.79999999999973</v>
      </c>
      <c r="Q144" s="68">
        <f t="shared" si="107"/>
        <v>6285.5999999999967</v>
      </c>
      <c r="R144" s="68">
        <f t="shared" si="108"/>
        <v>1514.2010399999992</v>
      </c>
      <c r="S144" s="69">
        <f t="shared" si="109"/>
        <v>7799.8010399999957</v>
      </c>
    </row>
    <row r="145" spans="2:19" s="27" customFormat="1" x14ac:dyDescent="0.2">
      <c r="B145" s="144" t="s">
        <v>130</v>
      </c>
      <c r="C145" s="47" t="s">
        <v>22</v>
      </c>
      <c r="D145" s="36" t="s">
        <v>14</v>
      </c>
      <c r="E145" s="36" t="s">
        <v>125</v>
      </c>
      <c r="F145" s="36" t="s">
        <v>75</v>
      </c>
      <c r="G145" s="37">
        <v>996</v>
      </c>
      <c r="H145" s="38">
        <v>765</v>
      </c>
      <c r="I145" s="38">
        <v>76.5</v>
      </c>
      <c r="J145" s="324">
        <v>2</v>
      </c>
      <c r="K145" s="97">
        <f t="shared" si="101"/>
        <v>918</v>
      </c>
      <c r="L145" s="59">
        <f t="shared" si="102"/>
        <v>918</v>
      </c>
      <c r="M145" s="87">
        <f t="shared" si="103"/>
        <v>15.300000000000011</v>
      </c>
      <c r="N145" s="67">
        <f t="shared" si="104"/>
        <v>91.800000000000011</v>
      </c>
      <c r="O145" s="59">
        <f t="shared" si="105"/>
        <v>168.3</v>
      </c>
      <c r="P145" s="67">
        <f t="shared" si="106"/>
        <v>336.6</v>
      </c>
      <c r="Q145" s="68">
        <f t="shared" si="107"/>
        <v>4039.2000000000003</v>
      </c>
      <c r="R145" s="68">
        <f t="shared" si="108"/>
        <v>973.0432800000001</v>
      </c>
      <c r="S145" s="69">
        <f t="shared" si="109"/>
        <v>5012.2432800000006</v>
      </c>
    </row>
    <row r="146" spans="2:19" s="27" customFormat="1" x14ac:dyDescent="0.2">
      <c r="B146" s="144" t="s">
        <v>82</v>
      </c>
      <c r="C146" s="47" t="s">
        <v>21</v>
      </c>
      <c r="D146" s="36" t="s">
        <v>63</v>
      </c>
      <c r="E146" s="36" t="s">
        <v>120</v>
      </c>
      <c r="F146" s="36" t="s">
        <v>75</v>
      </c>
      <c r="G146" s="37">
        <v>1190</v>
      </c>
      <c r="H146" s="38">
        <v>868</v>
      </c>
      <c r="I146" s="38">
        <v>86.8</v>
      </c>
      <c r="J146" s="324">
        <v>1</v>
      </c>
      <c r="K146" s="97">
        <f t="shared" si="101"/>
        <v>1041.5999999999999</v>
      </c>
      <c r="L146" s="59">
        <f t="shared" si="102"/>
        <v>1041.5999999999999</v>
      </c>
      <c r="M146" s="87">
        <f t="shared" si="103"/>
        <v>17.359999999999985</v>
      </c>
      <c r="N146" s="67">
        <f t="shared" si="104"/>
        <v>104.15999999999998</v>
      </c>
      <c r="O146" s="59">
        <f t="shared" si="105"/>
        <v>190.95999999999989</v>
      </c>
      <c r="P146" s="67">
        <f t="shared" si="106"/>
        <v>190.95999999999989</v>
      </c>
      <c r="Q146" s="68">
        <f t="shared" si="107"/>
        <v>2291.5199999999986</v>
      </c>
      <c r="R146" s="68">
        <f t="shared" si="108"/>
        <v>552.02716799999962</v>
      </c>
      <c r="S146" s="69">
        <f t="shared" si="109"/>
        <v>2843.5471679999982</v>
      </c>
    </row>
    <row r="147" spans="2:19" s="101" customFormat="1" x14ac:dyDescent="0.25">
      <c r="B147" s="119" t="s">
        <v>4</v>
      </c>
      <c r="C147" s="103"/>
      <c r="D147" s="103"/>
      <c r="E147" s="103"/>
      <c r="F147" s="103"/>
      <c r="G147" s="105"/>
      <c r="H147" s="106"/>
      <c r="I147" s="76"/>
      <c r="J147" s="123">
        <f>SUM(J136:J146)</f>
        <v>47</v>
      </c>
      <c r="K147" s="118"/>
      <c r="L147" s="76"/>
      <c r="M147" s="77"/>
      <c r="N147" s="78"/>
      <c r="O147" s="76"/>
      <c r="P147" s="78"/>
      <c r="Q147" s="79">
        <f t="shared" ref="Q147:S147" si="110">SUM(Q136:Q146)</f>
        <v>96655.679999999993</v>
      </c>
      <c r="R147" s="79">
        <f t="shared" si="110"/>
        <v>23284.353312000003</v>
      </c>
      <c r="S147" s="80">
        <f t="shared" si="110"/>
        <v>119940.033312</v>
      </c>
    </row>
    <row r="148" spans="2:19" ht="13.5" x14ac:dyDescent="0.25">
      <c r="B148" s="898" t="s">
        <v>200</v>
      </c>
      <c r="C148" s="899"/>
      <c r="D148" s="899"/>
      <c r="E148" s="899"/>
      <c r="F148" s="899"/>
      <c r="G148" s="44"/>
      <c r="H148" s="44"/>
      <c r="I148" s="44"/>
      <c r="J148" s="328">
        <f>J147+J134</f>
        <v>63.55</v>
      </c>
      <c r="K148" s="118"/>
      <c r="L148" s="76"/>
      <c r="M148" s="77"/>
      <c r="N148" s="78"/>
      <c r="O148" s="76"/>
      <c r="P148" s="78"/>
      <c r="Q148" s="79">
        <f>Q147+Q134</f>
        <v>126565.91999999998</v>
      </c>
      <c r="R148" s="79">
        <f t="shared" ref="R148" si="111">R147+R134</f>
        <v>30489.730128000003</v>
      </c>
      <c r="S148" s="80">
        <f>S147+S134</f>
        <v>157055.65012799998</v>
      </c>
    </row>
    <row r="149" spans="2:19" s="2" customFormat="1" ht="15" customHeight="1" x14ac:dyDescent="0.2">
      <c r="B149" s="850" t="s">
        <v>131</v>
      </c>
      <c r="C149" s="851"/>
      <c r="D149" s="851"/>
      <c r="E149" s="851"/>
      <c r="F149" s="851"/>
      <c r="G149" s="851"/>
      <c r="H149" s="851"/>
      <c r="I149" s="851"/>
      <c r="J149" s="851"/>
      <c r="K149" s="851"/>
      <c r="L149" s="851"/>
      <c r="M149" s="851"/>
      <c r="N149" s="851"/>
      <c r="O149" s="851"/>
      <c r="P149" s="851"/>
      <c r="Q149" s="851"/>
      <c r="R149" s="851"/>
      <c r="S149" s="852"/>
    </row>
    <row r="150" spans="2:19" x14ac:dyDescent="0.2">
      <c r="B150" s="837" t="s">
        <v>20</v>
      </c>
      <c r="C150" s="838"/>
      <c r="D150" s="838"/>
      <c r="E150" s="838"/>
      <c r="F150" s="839"/>
      <c r="G150" s="33"/>
      <c r="H150" s="34"/>
      <c r="I150" s="34"/>
      <c r="J150" s="323"/>
      <c r="K150" s="146"/>
      <c r="L150" s="33"/>
      <c r="M150" s="33"/>
      <c r="N150" s="33"/>
      <c r="O150" s="33"/>
      <c r="P150" s="33"/>
      <c r="Q150" s="33"/>
      <c r="R150" s="33"/>
      <c r="S150" s="147"/>
    </row>
    <row r="151" spans="2:19" s="27" customFormat="1" x14ac:dyDescent="0.2">
      <c r="B151" s="144" t="s">
        <v>56</v>
      </c>
      <c r="C151" s="47">
        <v>5.0999999999999996</v>
      </c>
      <c r="D151" s="36" t="s">
        <v>14</v>
      </c>
      <c r="E151" s="36">
        <v>10</v>
      </c>
      <c r="F151" s="36">
        <v>3</v>
      </c>
      <c r="G151" s="37">
        <v>1287</v>
      </c>
      <c r="H151" s="38">
        <v>1060</v>
      </c>
      <c r="I151" s="38">
        <v>106</v>
      </c>
      <c r="J151" s="324">
        <v>3</v>
      </c>
      <c r="K151" s="97">
        <f t="shared" ref="K151:K154" si="112">H151*1.2</f>
        <v>1272</v>
      </c>
      <c r="L151" s="59">
        <f t="shared" ref="L151:L154" si="113">IF(K151&lt;=G151,K151,G151)</f>
        <v>1272</v>
      </c>
      <c r="M151" s="87">
        <f t="shared" ref="M151:M154" si="114">N151-I151</f>
        <v>21.200000000000003</v>
      </c>
      <c r="N151" s="67">
        <f t="shared" ref="N151:N154" si="115">I151/H151*L151</f>
        <v>127.2</v>
      </c>
      <c r="O151" s="59">
        <f t="shared" ref="O151:O154" si="116">L151-H151+M151</f>
        <v>233.2</v>
      </c>
      <c r="P151" s="67">
        <f t="shared" ref="P151:P154" si="117">O151*J151</f>
        <v>699.59999999999991</v>
      </c>
      <c r="Q151" s="68">
        <f t="shared" ref="Q151:Q154" si="118">P151*12</f>
        <v>8395.1999999999989</v>
      </c>
      <c r="R151" s="68">
        <f t="shared" ref="R151:R154" si="119">Q151*0.2409</f>
        <v>2022.4036799999997</v>
      </c>
      <c r="S151" s="69">
        <f t="shared" ref="S151:S154" si="120">Q151+R151</f>
        <v>10417.603679999998</v>
      </c>
    </row>
    <row r="152" spans="2:19" s="27" customFormat="1" x14ac:dyDescent="0.2">
      <c r="B152" s="144" t="s">
        <v>123</v>
      </c>
      <c r="C152" s="47">
        <v>5.0999999999999996</v>
      </c>
      <c r="D152" s="36" t="s">
        <v>14</v>
      </c>
      <c r="E152" s="36">
        <v>10</v>
      </c>
      <c r="F152" s="36">
        <v>3</v>
      </c>
      <c r="G152" s="37">
        <v>1287</v>
      </c>
      <c r="H152" s="38">
        <v>1060</v>
      </c>
      <c r="I152" s="38">
        <v>106</v>
      </c>
      <c r="J152" s="324">
        <v>0.5</v>
      </c>
      <c r="K152" s="97">
        <f t="shared" si="112"/>
        <v>1272</v>
      </c>
      <c r="L152" s="59">
        <f t="shared" si="113"/>
        <v>1272</v>
      </c>
      <c r="M152" s="87">
        <f t="shared" si="114"/>
        <v>21.200000000000003</v>
      </c>
      <c r="N152" s="67">
        <f t="shared" si="115"/>
        <v>127.2</v>
      </c>
      <c r="O152" s="59">
        <f t="shared" si="116"/>
        <v>233.2</v>
      </c>
      <c r="P152" s="67">
        <f t="shared" si="117"/>
        <v>116.6</v>
      </c>
      <c r="Q152" s="68">
        <f t="shared" si="118"/>
        <v>1399.1999999999998</v>
      </c>
      <c r="R152" s="68">
        <f t="shared" si="119"/>
        <v>337.06727999999998</v>
      </c>
      <c r="S152" s="69">
        <f t="shared" si="120"/>
        <v>1736.2672799999998</v>
      </c>
    </row>
    <row r="153" spans="2:19" s="27" customFormat="1" x14ac:dyDescent="0.2">
      <c r="B153" s="144" t="s">
        <v>65</v>
      </c>
      <c r="C153" s="47">
        <v>5.0999999999999996</v>
      </c>
      <c r="D153" s="36" t="s">
        <v>63</v>
      </c>
      <c r="E153" s="36">
        <v>9</v>
      </c>
      <c r="F153" s="36">
        <v>3</v>
      </c>
      <c r="G153" s="37">
        <v>1190</v>
      </c>
      <c r="H153" s="38">
        <v>899</v>
      </c>
      <c r="I153" s="38">
        <v>89.9</v>
      </c>
      <c r="J153" s="324">
        <v>1.75</v>
      </c>
      <c r="K153" s="97">
        <f t="shared" si="112"/>
        <v>1078.8</v>
      </c>
      <c r="L153" s="59">
        <f t="shared" si="113"/>
        <v>1078.8</v>
      </c>
      <c r="M153" s="87">
        <f t="shared" si="114"/>
        <v>17.97999999999999</v>
      </c>
      <c r="N153" s="67">
        <f t="shared" si="115"/>
        <v>107.88</v>
      </c>
      <c r="O153" s="59">
        <f t="shared" si="116"/>
        <v>197.77999999999994</v>
      </c>
      <c r="P153" s="67">
        <f t="shared" si="117"/>
        <v>346.1149999999999</v>
      </c>
      <c r="Q153" s="68">
        <f t="shared" si="118"/>
        <v>4153.3799999999992</v>
      </c>
      <c r="R153" s="68">
        <f t="shared" si="119"/>
        <v>1000.5492419999998</v>
      </c>
      <c r="S153" s="69">
        <f t="shared" si="120"/>
        <v>5153.9292419999992</v>
      </c>
    </row>
    <row r="154" spans="2:19" s="27" customFormat="1" x14ac:dyDescent="0.2">
      <c r="B154" s="144" t="s">
        <v>62</v>
      </c>
      <c r="C154" s="47">
        <v>5.0999999999999996</v>
      </c>
      <c r="D154" s="36" t="s">
        <v>63</v>
      </c>
      <c r="E154" s="36">
        <v>9</v>
      </c>
      <c r="F154" s="36">
        <v>3</v>
      </c>
      <c r="G154" s="37">
        <v>1190</v>
      </c>
      <c r="H154" s="38">
        <v>899</v>
      </c>
      <c r="I154" s="38">
        <v>89.9</v>
      </c>
      <c r="J154" s="324">
        <v>0.25</v>
      </c>
      <c r="K154" s="97">
        <f t="shared" si="112"/>
        <v>1078.8</v>
      </c>
      <c r="L154" s="59">
        <f t="shared" si="113"/>
        <v>1078.8</v>
      </c>
      <c r="M154" s="87">
        <f t="shared" si="114"/>
        <v>17.97999999999999</v>
      </c>
      <c r="N154" s="67">
        <f t="shared" si="115"/>
        <v>107.88</v>
      </c>
      <c r="O154" s="59">
        <f t="shared" si="116"/>
        <v>197.77999999999994</v>
      </c>
      <c r="P154" s="67">
        <f t="shared" si="117"/>
        <v>49.444999999999986</v>
      </c>
      <c r="Q154" s="68">
        <f t="shared" si="118"/>
        <v>593.3399999999998</v>
      </c>
      <c r="R154" s="68">
        <f t="shared" si="119"/>
        <v>142.93560599999995</v>
      </c>
      <c r="S154" s="69">
        <f t="shared" si="120"/>
        <v>736.2756059999997</v>
      </c>
    </row>
    <row r="155" spans="2:19" s="101" customFormat="1" x14ac:dyDescent="0.25">
      <c r="B155" s="119" t="s">
        <v>4</v>
      </c>
      <c r="C155" s="103"/>
      <c r="D155" s="103"/>
      <c r="E155" s="103"/>
      <c r="F155" s="103"/>
      <c r="G155" s="105"/>
      <c r="H155" s="106"/>
      <c r="I155" s="76"/>
      <c r="J155" s="123">
        <f>SUM(J151:J154)</f>
        <v>5.5</v>
      </c>
      <c r="K155" s="118"/>
      <c r="L155" s="76"/>
      <c r="M155" s="77"/>
      <c r="N155" s="78"/>
      <c r="O155" s="76"/>
      <c r="P155" s="78"/>
      <c r="Q155" s="79">
        <f t="shared" ref="Q155:S155" si="121">SUM(Q151:Q154)</f>
        <v>14541.119999999997</v>
      </c>
      <c r="R155" s="79">
        <f t="shared" si="121"/>
        <v>3502.9558079999997</v>
      </c>
      <c r="S155" s="80">
        <f t="shared" si="121"/>
        <v>18044.075807999998</v>
      </c>
    </row>
    <row r="156" spans="2:19" x14ac:dyDescent="0.2">
      <c r="B156" s="892" t="s">
        <v>10</v>
      </c>
      <c r="C156" s="893"/>
      <c r="D156" s="893"/>
      <c r="E156" s="893"/>
      <c r="F156" s="894"/>
      <c r="G156" s="11"/>
      <c r="H156" s="45"/>
      <c r="I156" s="45"/>
      <c r="J156" s="326"/>
      <c r="K156" s="152"/>
      <c r="L156" s="63"/>
      <c r="M156" s="63"/>
      <c r="N156" s="63"/>
      <c r="O156" s="63"/>
      <c r="P156" s="63"/>
      <c r="Q156" s="63"/>
      <c r="R156" s="63"/>
      <c r="S156" s="151"/>
    </row>
    <row r="157" spans="2:19" s="27" customFormat="1" x14ac:dyDescent="0.2">
      <c r="B157" s="144" t="s">
        <v>32</v>
      </c>
      <c r="C157" s="47">
        <v>5.0999999999999996</v>
      </c>
      <c r="D157" s="36" t="s">
        <v>15</v>
      </c>
      <c r="E157" s="36">
        <v>8</v>
      </c>
      <c r="F157" s="36">
        <v>3</v>
      </c>
      <c r="G157" s="37">
        <v>1093</v>
      </c>
      <c r="H157" s="38">
        <v>795</v>
      </c>
      <c r="I157" s="38">
        <f t="shared" ref="I157:I165" si="122">H157*0.1</f>
        <v>79.5</v>
      </c>
      <c r="J157" s="324">
        <v>3</v>
      </c>
      <c r="K157" s="97">
        <f t="shared" ref="K157:K164" si="123">H157*1.2</f>
        <v>954</v>
      </c>
      <c r="L157" s="59">
        <f t="shared" ref="L157:L165" si="124">IF(K157&lt;=G157,K157,G157)</f>
        <v>954</v>
      </c>
      <c r="M157" s="87">
        <f t="shared" ref="M157:M165" si="125">N157-I157</f>
        <v>15.900000000000006</v>
      </c>
      <c r="N157" s="67">
        <f t="shared" ref="N157:N165" si="126">I157/H157*L157</f>
        <v>95.4</v>
      </c>
      <c r="O157" s="59">
        <f t="shared" ref="O157:O165" si="127">L157-H157+M157</f>
        <v>174.9</v>
      </c>
      <c r="P157" s="67">
        <f t="shared" ref="P157:P165" si="128">O157*J157</f>
        <v>524.70000000000005</v>
      </c>
      <c r="Q157" s="68">
        <f t="shared" ref="Q157:Q165" si="129">P157*12</f>
        <v>6296.4000000000005</v>
      </c>
      <c r="R157" s="68">
        <f t="shared" ref="R157:R165" si="130">Q157*0.2409</f>
        <v>1516.8027600000003</v>
      </c>
      <c r="S157" s="69">
        <f t="shared" ref="S157:S165" si="131">Q157+R157</f>
        <v>7813.202760000001</v>
      </c>
    </row>
    <row r="158" spans="2:19" s="27" customFormat="1" x14ac:dyDescent="0.2">
      <c r="B158" s="144" t="s">
        <v>59</v>
      </c>
      <c r="C158" s="47">
        <v>5.2</v>
      </c>
      <c r="D158" s="36" t="s">
        <v>49</v>
      </c>
      <c r="E158" s="36">
        <v>8</v>
      </c>
      <c r="F158" s="36">
        <v>3</v>
      </c>
      <c r="G158" s="37">
        <v>1093</v>
      </c>
      <c r="H158" s="38">
        <v>795</v>
      </c>
      <c r="I158" s="38">
        <f t="shared" si="122"/>
        <v>79.5</v>
      </c>
      <c r="J158" s="324">
        <v>6</v>
      </c>
      <c r="K158" s="97">
        <f t="shared" si="123"/>
        <v>954</v>
      </c>
      <c r="L158" s="59">
        <f t="shared" si="124"/>
        <v>954</v>
      </c>
      <c r="M158" s="87">
        <f t="shared" si="125"/>
        <v>15.900000000000006</v>
      </c>
      <c r="N158" s="67">
        <f t="shared" si="126"/>
        <v>95.4</v>
      </c>
      <c r="O158" s="59">
        <f t="shared" si="127"/>
        <v>174.9</v>
      </c>
      <c r="P158" s="67">
        <f t="shared" si="128"/>
        <v>1049.4000000000001</v>
      </c>
      <c r="Q158" s="68">
        <f t="shared" si="129"/>
        <v>12592.800000000001</v>
      </c>
      <c r="R158" s="68">
        <f t="shared" si="130"/>
        <v>3033.6055200000005</v>
      </c>
      <c r="S158" s="69">
        <f t="shared" si="131"/>
        <v>15626.405520000002</v>
      </c>
    </row>
    <row r="159" spans="2:19" s="27" customFormat="1" x14ac:dyDescent="0.2">
      <c r="B159" s="144" t="s">
        <v>132</v>
      </c>
      <c r="C159" s="47">
        <v>5.2</v>
      </c>
      <c r="D159" s="36" t="s">
        <v>14</v>
      </c>
      <c r="E159" s="36">
        <v>7</v>
      </c>
      <c r="F159" s="36">
        <v>3</v>
      </c>
      <c r="G159" s="37">
        <v>996</v>
      </c>
      <c r="H159" s="38">
        <v>735</v>
      </c>
      <c r="I159" s="38">
        <v>194.78</v>
      </c>
      <c r="J159" s="324">
        <v>6</v>
      </c>
      <c r="K159" s="97">
        <f t="shared" si="123"/>
        <v>882</v>
      </c>
      <c r="L159" s="59">
        <f t="shared" si="124"/>
        <v>882</v>
      </c>
      <c r="M159" s="87">
        <f t="shared" si="125"/>
        <v>38.956000000000017</v>
      </c>
      <c r="N159" s="67">
        <f t="shared" si="126"/>
        <v>233.73600000000002</v>
      </c>
      <c r="O159" s="59">
        <f t="shared" si="127"/>
        <v>185.95600000000002</v>
      </c>
      <c r="P159" s="67">
        <f t="shared" si="128"/>
        <v>1115.7360000000001</v>
      </c>
      <c r="Q159" s="68">
        <f t="shared" si="129"/>
        <v>13388.832000000002</v>
      </c>
      <c r="R159" s="68">
        <f t="shared" si="130"/>
        <v>3225.3696288000006</v>
      </c>
      <c r="S159" s="69">
        <f t="shared" si="131"/>
        <v>16614.201628800001</v>
      </c>
    </row>
    <row r="160" spans="2:19" s="27" customFormat="1" x14ac:dyDescent="0.2">
      <c r="B160" s="144" t="s">
        <v>133</v>
      </c>
      <c r="C160" s="47">
        <v>5.2</v>
      </c>
      <c r="D160" s="36" t="s">
        <v>14</v>
      </c>
      <c r="E160" s="36">
        <v>7</v>
      </c>
      <c r="F160" s="36">
        <v>3</v>
      </c>
      <c r="G160" s="37">
        <v>996</v>
      </c>
      <c r="H160" s="38">
        <v>735</v>
      </c>
      <c r="I160" s="38">
        <v>194.78</v>
      </c>
      <c r="J160" s="324">
        <v>9.5</v>
      </c>
      <c r="K160" s="97">
        <f t="shared" si="123"/>
        <v>882</v>
      </c>
      <c r="L160" s="59">
        <f t="shared" si="124"/>
        <v>882</v>
      </c>
      <c r="M160" s="87">
        <f t="shared" si="125"/>
        <v>38.956000000000017</v>
      </c>
      <c r="N160" s="67">
        <f t="shared" si="126"/>
        <v>233.73600000000002</v>
      </c>
      <c r="O160" s="59">
        <f t="shared" si="127"/>
        <v>185.95600000000002</v>
      </c>
      <c r="P160" s="67">
        <f t="shared" si="128"/>
        <v>1766.5820000000001</v>
      </c>
      <c r="Q160" s="68">
        <f t="shared" si="129"/>
        <v>21198.984</v>
      </c>
      <c r="R160" s="68">
        <f t="shared" si="130"/>
        <v>5106.8352456000002</v>
      </c>
      <c r="S160" s="69">
        <f t="shared" si="131"/>
        <v>26305.8192456</v>
      </c>
    </row>
    <row r="161" spans="2:19" s="27" customFormat="1" x14ac:dyDescent="0.2">
      <c r="B161" s="144" t="s">
        <v>25</v>
      </c>
      <c r="C161" s="47">
        <v>5.2</v>
      </c>
      <c r="D161" s="36" t="s">
        <v>45</v>
      </c>
      <c r="E161" s="36">
        <v>6</v>
      </c>
      <c r="F161" s="36">
        <v>3</v>
      </c>
      <c r="G161" s="37">
        <v>899</v>
      </c>
      <c r="H161" s="38">
        <v>654</v>
      </c>
      <c r="I161" s="38">
        <v>173.31</v>
      </c>
      <c r="J161" s="324">
        <v>17.2</v>
      </c>
      <c r="K161" s="97">
        <f t="shared" si="123"/>
        <v>784.8</v>
      </c>
      <c r="L161" s="59">
        <f t="shared" si="124"/>
        <v>784.8</v>
      </c>
      <c r="M161" s="87">
        <f t="shared" si="125"/>
        <v>34.662000000000006</v>
      </c>
      <c r="N161" s="67">
        <f t="shared" si="126"/>
        <v>207.97200000000001</v>
      </c>
      <c r="O161" s="59">
        <f t="shared" si="127"/>
        <v>165.46199999999996</v>
      </c>
      <c r="P161" s="67">
        <f t="shared" si="128"/>
        <v>2845.9463999999994</v>
      </c>
      <c r="Q161" s="68">
        <f t="shared" si="129"/>
        <v>34151.356799999994</v>
      </c>
      <c r="R161" s="68">
        <f t="shared" si="130"/>
        <v>8227.061853119998</v>
      </c>
      <c r="S161" s="69">
        <f t="shared" si="131"/>
        <v>42378.418653119996</v>
      </c>
    </row>
    <row r="162" spans="2:19" s="27" customFormat="1" x14ac:dyDescent="0.2">
      <c r="B162" s="144" t="s">
        <v>25</v>
      </c>
      <c r="C162" s="47">
        <v>5.2</v>
      </c>
      <c r="D162" s="36" t="s">
        <v>45</v>
      </c>
      <c r="E162" s="36">
        <v>6</v>
      </c>
      <c r="F162" s="36">
        <v>2</v>
      </c>
      <c r="G162" s="37">
        <v>740</v>
      </c>
      <c r="H162" s="38">
        <v>561</v>
      </c>
      <c r="I162" s="38">
        <v>148.66999999999999</v>
      </c>
      <c r="J162" s="324">
        <v>1.5</v>
      </c>
      <c r="K162" s="97">
        <f t="shared" si="123"/>
        <v>673.19999999999993</v>
      </c>
      <c r="L162" s="59">
        <f t="shared" si="124"/>
        <v>673.19999999999993</v>
      </c>
      <c r="M162" s="87">
        <f t="shared" si="125"/>
        <v>29.734000000000009</v>
      </c>
      <c r="N162" s="67">
        <f t="shared" si="126"/>
        <v>178.404</v>
      </c>
      <c r="O162" s="59">
        <f t="shared" si="127"/>
        <v>141.93399999999994</v>
      </c>
      <c r="P162" s="67">
        <f t="shared" si="128"/>
        <v>212.9009999999999</v>
      </c>
      <c r="Q162" s="68">
        <f t="shared" si="129"/>
        <v>2554.811999999999</v>
      </c>
      <c r="R162" s="68">
        <f t="shared" si="130"/>
        <v>615.45421079999971</v>
      </c>
      <c r="S162" s="69">
        <f t="shared" si="131"/>
        <v>3170.2662107999986</v>
      </c>
    </row>
    <row r="163" spans="2:19" s="27" customFormat="1" x14ac:dyDescent="0.2">
      <c r="B163" s="144" t="s">
        <v>25</v>
      </c>
      <c r="C163" s="47">
        <v>5.2</v>
      </c>
      <c r="D163" s="36" t="s">
        <v>45</v>
      </c>
      <c r="E163" s="36">
        <v>6</v>
      </c>
      <c r="F163" s="36">
        <v>1</v>
      </c>
      <c r="G163" s="37">
        <v>601</v>
      </c>
      <c r="H163" s="38">
        <v>546</v>
      </c>
      <c r="I163" s="38">
        <v>144.69</v>
      </c>
      <c r="J163" s="324">
        <v>1</v>
      </c>
      <c r="K163" s="97">
        <f t="shared" si="123"/>
        <v>655.19999999999993</v>
      </c>
      <c r="L163" s="59">
        <f t="shared" si="124"/>
        <v>601</v>
      </c>
      <c r="M163" s="87">
        <f t="shared" si="125"/>
        <v>14.575000000000017</v>
      </c>
      <c r="N163" s="67">
        <f t="shared" si="126"/>
        <v>159.26500000000001</v>
      </c>
      <c r="O163" s="59">
        <f t="shared" si="127"/>
        <v>69.575000000000017</v>
      </c>
      <c r="P163" s="67">
        <f t="shared" si="128"/>
        <v>69.575000000000017</v>
      </c>
      <c r="Q163" s="68">
        <f t="shared" si="129"/>
        <v>834.9000000000002</v>
      </c>
      <c r="R163" s="68">
        <f t="shared" si="130"/>
        <v>201.12741000000005</v>
      </c>
      <c r="S163" s="69">
        <f t="shared" si="131"/>
        <v>1036.0274100000001</v>
      </c>
    </row>
    <row r="164" spans="2:19" s="27" customFormat="1" x14ac:dyDescent="0.2">
      <c r="B164" s="144" t="s">
        <v>117</v>
      </c>
      <c r="C164" s="47">
        <v>5.2</v>
      </c>
      <c r="D164" s="36" t="s">
        <v>15</v>
      </c>
      <c r="E164" s="36">
        <v>3</v>
      </c>
      <c r="F164" s="36">
        <v>3</v>
      </c>
      <c r="G164" s="37">
        <v>608</v>
      </c>
      <c r="H164" s="38">
        <v>430</v>
      </c>
      <c r="I164" s="38">
        <f t="shared" si="122"/>
        <v>43</v>
      </c>
      <c r="J164" s="324">
        <v>1</v>
      </c>
      <c r="K164" s="97">
        <f t="shared" si="123"/>
        <v>516</v>
      </c>
      <c r="L164" s="59">
        <f t="shared" si="124"/>
        <v>516</v>
      </c>
      <c r="M164" s="87">
        <f t="shared" si="125"/>
        <v>8.6000000000000014</v>
      </c>
      <c r="N164" s="67">
        <f t="shared" si="126"/>
        <v>51.6</v>
      </c>
      <c r="O164" s="59">
        <f t="shared" si="127"/>
        <v>94.6</v>
      </c>
      <c r="P164" s="67">
        <f t="shared" si="128"/>
        <v>94.6</v>
      </c>
      <c r="Q164" s="68">
        <f t="shared" si="129"/>
        <v>1135.1999999999998</v>
      </c>
      <c r="R164" s="68">
        <f t="shared" si="130"/>
        <v>273.46967999999998</v>
      </c>
      <c r="S164" s="69">
        <f t="shared" si="131"/>
        <v>1408.6696799999997</v>
      </c>
    </row>
    <row r="165" spans="2:19" s="27" customFormat="1" x14ac:dyDescent="0.2">
      <c r="B165" s="144" t="s">
        <v>130</v>
      </c>
      <c r="C165" s="47">
        <v>5.0999999999999996</v>
      </c>
      <c r="D165" s="36" t="s">
        <v>15</v>
      </c>
      <c r="E165" s="36">
        <v>8</v>
      </c>
      <c r="F165" s="36">
        <v>3</v>
      </c>
      <c r="G165" s="37">
        <v>1093</v>
      </c>
      <c r="H165" s="38">
        <v>795</v>
      </c>
      <c r="I165" s="38">
        <f t="shared" si="122"/>
        <v>79.5</v>
      </c>
      <c r="J165" s="324">
        <v>1</v>
      </c>
      <c r="K165" s="97">
        <f>H165*1.2</f>
        <v>954</v>
      </c>
      <c r="L165" s="59">
        <f t="shared" si="124"/>
        <v>954</v>
      </c>
      <c r="M165" s="87">
        <f t="shared" si="125"/>
        <v>15.900000000000006</v>
      </c>
      <c r="N165" s="67">
        <f t="shared" si="126"/>
        <v>95.4</v>
      </c>
      <c r="O165" s="59">
        <f t="shared" si="127"/>
        <v>174.9</v>
      </c>
      <c r="P165" s="67">
        <f t="shared" si="128"/>
        <v>174.9</v>
      </c>
      <c r="Q165" s="68">
        <f t="shared" si="129"/>
        <v>2098.8000000000002</v>
      </c>
      <c r="R165" s="68">
        <f t="shared" si="130"/>
        <v>505.60092000000003</v>
      </c>
      <c r="S165" s="69">
        <f t="shared" si="131"/>
        <v>2604.40092</v>
      </c>
    </row>
    <row r="166" spans="2:19" s="101" customFormat="1" x14ac:dyDescent="0.25">
      <c r="B166" s="119" t="s">
        <v>4</v>
      </c>
      <c r="C166" s="103"/>
      <c r="D166" s="103"/>
      <c r="E166" s="103"/>
      <c r="F166" s="103"/>
      <c r="G166" s="105"/>
      <c r="H166" s="106"/>
      <c r="I166" s="76"/>
      <c r="J166" s="123">
        <f>SUM(J157:J165)</f>
        <v>46.2</v>
      </c>
      <c r="K166" s="118"/>
      <c r="L166" s="76"/>
      <c r="M166" s="77"/>
      <c r="N166" s="78"/>
      <c r="O166" s="76"/>
      <c r="P166" s="78"/>
      <c r="Q166" s="79">
        <f t="shared" ref="Q166:S166" si="132">SUM(Q157:Q165)</f>
        <v>94252.084799999997</v>
      </c>
      <c r="R166" s="79">
        <f t="shared" si="132"/>
        <v>22705.327228319999</v>
      </c>
      <c r="S166" s="80">
        <f t="shared" si="132"/>
        <v>116957.41202831999</v>
      </c>
    </row>
    <row r="167" spans="2:19" ht="13.5" x14ac:dyDescent="0.25">
      <c r="B167" s="898" t="s">
        <v>201</v>
      </c>
      <c r="C167" s="899"/>
      <c r="D167" s="899"/>
      <c r="E167" s="899"/>
      <c r="F167" s="899"/>
      <c r="G167" s="44"/>
      <c r="H167" s="44"/>
      <c r="I167" s="44"/>
      <c r="J167" s="328">
        <f>J166+J155</f>
        <v>51.7</v>
      </c>
      <c r="K167" s="118"/>
      <c r="L167" s="76"/>
      <c r="M167" s="77"/>
      <c r="N167" s="78"/>
      <c r="O167" s="76"/>
      <c r="P167" s="78"/>
      <c r="Q167" s="79">
        <f>Q166+Q155</f>
        <v>108793.20479999999</v>
      </c>
      <c r="R167" s="79">
        <f t="shared" ref="R167:S167" si="133">R166+R155</f>
        <v>26208.283036319997</v>
      </c>
      <c r="S167" s="80">
        <f t="shared" si="133"/>
        <v>135001.48783631998</v>
      </c>
    </row>
    <row r="168" spans="2:19" s="2" customFormat="1" ht="15" customHeight="1" x14ac:dyDescent="0.2">
      <c r="B168" s="850" t="s">
        <v>134</v>
      </c>
      <c r="C168" s="851"/>
      <c r="D168" s="851"/>
      <c r="E168" s="851"/>
      <c r="F168" s="851"/>
      <c r="G168" s="851"/>
      <c r="H168" s="851"/>
      <c r="I168" s="851"/>
      <c r="J168" s="851"/>
      <c r="K168" s="851"/>
      <c r="L168" s="851"/>
      <c r="M168" s="851"/>
      <c r="N168" s="851"/>
      <c r="O168" s="851"/>
      <c r="P168" s="851"/>
      <c r="Q168" s="851"/>
      <c r="R168" s="851"/>
      <c r="S168" s="852"/>
    </row>
    <row r="169" spans="2:19" x14ac:dyDescent="0.2">
      <c r="B169" s="909" t="s">
        <v>20</v>
      </c>
      <c r="C169" s="910"/>
      <c r="D169" s="910"/>
      <c r="E169" s="910"/>
      <c r="F169" s="910"/>
      <c r="G169" s="33"/>
      <c r="H169" s="34"/>
      <c r="I169" s="34"/>
      <c r="J169" s="323"/>
      <c r="K169" s="153"/>
      <c r="L169" s="61"/>
      <c r="M169" s="61"/>
      <c r="N169" s="61"/>
      <c r="O169" s="61"/>
      <c r="P169" s="61"/>
      <c r="Q169" s="61"/>
      <c r="R169" s="61"/>
      <c r="S169" s="150"/>
    </row>
    <row r="170" spans="2:19" s="27" customFormat="1" x14ac:dyDescent="0.2">
      <c r="B170" s="144" t="s">
        <v>2</v>
      </c>
      <c r="C170" s="47" t="s">
        <v>21</v>
      </c>
      <c r="D170" s="36" t="s">
        <v>14</v>
      </c>
      <c r="E170" s="36">
        <v>10</v>
      </c>
      <c r="F170" s="36">
        <v>3</v>
      </c>
      <c r="G170" s="37">
        <v>1287</v>
      </c>
      <c r="H170" s="38">
        <v>1067</v>
      </c>
      <c r="I170" s="38">
        <v>106.7</v>
      </c>
      <c r="J170" s="324">
        <v>1</v>
      </c>
      <c r="K170" s="97">
        <f t="shared" ref="K170:K185" si="134">H170*1.2</f>
        <v>1280.3999999999999</v>
      </c>
      <c r="L170" s="59">
        <f t="shared" ref="L170:L185" si="135">IF(K170&lt;=G170,K170,G170)</f>
        <v>1280.3999999999999</v>
      </c>
      <c r="M170" s="87">
        <f t="shared" ref="M170:M185" si="136">N170-I170</f>
        <v>21.339999999999989</v>
      </c>
      <c r="N170" s="67">
        <f t="shared" ref="N170:N185" si="137">I170/H170*L170</f>
        <v>128.04</v>
      </c>
      <c r="O170" s="59">
        <f t="shared" ref="O170:O185" si="138">L170-H170+M170</f>
        <v>234.73999999999984</v>
      </c>
      <c r="P170" s="67">
        <f t="shared" ref="P170:P185" si="139">O170*J170</f>
        <v>234.73999999999984</v>
      </c>
      <c r="Q170" s="68">
        <f t="shared" ref="Q170:Q185" si="140">P170*12</f>
        <v>2816.8799999999983</v>
      </c>
      <c r="R170" s="68">
        <f t="shared" ref="R170:R198" si="141">Q170*0.2409</f>
        <v>678.58639199999959</v>
      </c>
      <c r="S170" s="69">
        <f t="shared" ref="S170:S185" si="142">Q170+R170</f>
        <v>3495.466391999998</v>
      </c>
    </row>
    <row r="171" spans="2:19" s="27" customFormat="1" x14ac:dyDescent="0.2">
      <c r="B171" s="144" t="s">
        <v>135</v>
      </c>
      <c r="C171" s="47" t="s">
        <v>21</v>
      </c>
      <c r="D171" s="36" t="s">
        <v>14</v>
      </c>
      <c r="E171" s="36">
        <v>10</v>
      </c>
      <c r="F171" s="36">
        <v>3</v>
      </c>
      <c r="G171" s="37">
        <v>1287</v>
      </c>
      <c r="H171" s="38">
        <v>1067</v>
      </c>
      <c r="I171" s="38">
        <v>106.7</v>
      </c>
      <c r="J171" s="324">
        <v>5.5</v>
      </c>
      <c r="K171" s="97">
        <f t="shared" si="134"/>
        <v>1280.3999999999999</v>
      </c>
      <c r="L171" s="59">
        <f t="shared" si="135"/>
        <v>1280.3999999999999</v>
      </c>
      <c r="M171" s="87">
        <f t="shared" si="136"/>
        <v>21.339999999999989</v>
      </c>
      <c r="N171" s="67">
        <f t="shared" si="137"/>
        <v>128.04</v>
      </c>
      <c r="O171" s="59">
        <f t="shared" si="138"/>
        <v>234.73999999999984</v>
      </c>
      <c r="P171" s="67">
        <f t="shared" si="139"/>
        <v>1291.069999999999</v>
      </c>
      <c r="Q171" s="68">
        <f t="shared" si="140"/>
        <v>15492.839999999989</v>
      </c>
      <c r="R171" s="68">
        <f t="shared" si="141"/>
        <v>3732.2251559999972</v>
      </c>
      <c r="S171" s="69">
        <f t="shared" si="142"/>
        <v>19225.065155999986</v>
      </c>
    </row>
    <row r="172" spans="2:19" s="27" customFormat="1" x14ac:dyDescent="0.2">
      <c r="B172" s="144" t="s">
        <v>136</v>
      </c>
      <c r="C172" s="47" t="s">
        <v>21</v>
      </c>
      <c r="D172" s="36" t="s">
        <v>14</v>
      </c>
      <c r="E172" s="36">
        <v>10</v>
      </c>
      <c r="F172" s="36">
        <v>3</v>
      </c>
      <c r="G172" s="37">
        <v>1287</v>
      </c>
      <c r="H172" s="38">
        <v>1067</v>
      </c>
      <c r="I172" s="38">
        <v>106.7</v>
      </c>
      <c r="J172" s="324">
        <v>2</v>
      </c>
      <c r="K172" s="97">
        <f t="shared" si="134"/>
        <v>1280.3999999999999</v>
      </c>
      <c r="L172" s="59">
        <f t="shared" si="135"/>
        <v>1280.3999999999999</v>
      </c>
      <c r="M172" s="87">
        <f t="shared" si="136"/>
        <v>21.339999999999989</v>
      </c>
      <c r="N172" s="67">
        <f t="shared" si="137"/>
        <v>128.04</v>
      </c>
      <c r="O172" s="59">
        <f t="shared" si="138"/>
        <v>234.73999999999984</v>
      </c>
      <c r="P172" s="67">
        <f t="shared" si="139"/>
        <v>469.47999999999968</v>
      </c>
      <c r="Q172" s="68">
        <f t="shared" si="140"/>
        <v>5633.7599999999966</v>
      </c>
      <c r="R172" s="68">
        <f t="shared" si="141"/>
        <v>1357.1727839999992</v>
      </c>
      <c r="S172" s="69">
        <f t="shared" si="142"/>
        <v>6990.932783999996</v>
      </c>
    </row>
    <row r="173" spans="2:19" s="27" customFormat="1" x14ac:dyDescent="0.2">
      <c r="B173" s="144" t="s">
        <v>136</v>
      </c>
      <c r="C173" s="47" t="s">
        <v>21</v>
      </c>
      <c r="D173" s="36" t="s">
        <v>14</v>
      </c>
      <c r="E173" s="36">
        <v>10</v>
      </c>
      <c r="F173" s="36">
        <v>1</v>
      </c>
      <c r="G173" s="37">
        <v>940</v>
      </c>
      <c r="H173" s="38">
        <v>826</v>
      </c>
      <c r="I173" s="38">
        <v>82.6</v>
      </c>
      <c r="J173" s="324">
        <v>0.5</v>
      </c>
      <c r="K173" s="97">
        <f t="shared" si="134"/>
        <v>991.19999999999993</v>
      </c>
      <c r="L173" s="59">
        <f t="shared" si="135"/>
        <v>940</v>
      </c>
      <c r="M173" s="87">
        <f t="shared" si="136"/>
        <v>11.399999999999991</v>
      </c>
      <c r="N173" s="67">
        <f t="shared" si="137"/>
        <v>93.999999999999986</v>
      </c>
      <c r="O173" s="59">
        <f t="shared" si="138"/>
        <v>125.39999999999999</v>
      </c>
      <c r="P173" s="67">
        <f t="shared" si="139"/>
        <v>62.699999999999996</v>
      </c>
      <c r="Q173" s="68">
        <f t="shared" si="140"/>
        <v>752.4</v>
      </c>
      <c r="R173" s="68">
        <f t="shared" si="141"/>
        <v>181.25316000000001</v>
      </c>
      <c r="S173" s="69">
        <f t="shared" si="142"/>
        <v>933.65315999999996</v>
      </c>
    </row>
    <row r="174" spans="2:19" s="27" customFormat="1" x14ac:dyDescent="0.2">
      <c r="B174" s="144" t="s">
        <v>137</v>
      </c>
      <c r="C174" s="47" t="s">
        <v>21</v>
      </c>
      <c r="D174" s="36" t="s">
        <v>14</v>
      </c>
      <c r="E174" s="36">
        <v>10</v>
      </c>
      <c r="F174" s="36">
        <v>3</v>
      </c>
      <c r="G174" s="37">
        <v>1287</v>
      </c>
      <c r="H174" s="38">
        <v>1067</v>
      </c>
      <c r="I174" s="38">
        <v>106.7</v>
      </c>
      <c r="J174" s="324">
        <v>0.75</v>
      </c>
      <c r="K174" s="97">
        <f t="shared" si="134"/>
        <v>1280.3999999999999</v>
      </c>
      <c r="L174" s="59">
        <f t="shared" si="135"/>
        <v>1280.3999999999999</v>
      </c>
      <c r="M174" s="87">
        <f t="shared" si="136"/>
        <v>21.339999999999989</v>
      </c>
      <c r="N174" s="67">
        <f t="shared" si="137"/>
        <v>128.04</v>
      </c>
      <c r="O174" s="59">
        <f t="shared" si="138"/>
        <v>234.73999999999984</v>
      </c>
      <c r="P174" s="67">
        <f t="shared" si="139"/>
        <v>176.05499999999989</v>
      </c>
      <c r="Q174" s="68">
        <f t="shared" si="140"/>
        <v>2112.6599999999989</v>
      </c>
      <c r="R174" s="68">
        <f t="shared" si="141"/>
        <v>508.93979399999978</v>
      </c>
      <c r="S174" s="69">
        <f t="shared" si="142"/>
        <v>2621.5997939999988</v>
      </c>
    </row>
    <row r="175" spans="2:19" s="27" customFormat="1" x14ac:dyDescent="0.2">
      <c r="B175" s="144" t="s">
        <v>138</v>
      </c>
      <c r="C175" s="47" t="s">
        <v>21</v>
      </c>
      <c r="D175" s="36" t="s">
        <v>14</v>
      </c>
      <c r="E175" s="36">
        <v>10</v>
      </c>
      <c r="F175" s="36">
        <v>3</v>
      </c>
      <c r="G175" s="37">
        <v>1287</v>
      </c>
      <c r="H175" s="38">
        <v>1067</v>
      </c>
      <c r="I175" s="38">
        <v>106.7</v>
      </c>
      <c r="J175" s="324">
        <v>2.5</v>
      </c>
      <c r="K175" s="97">
        <f t="shared" si="134"/>
        <v>1280.3999999999999</v>
      </c>
      <c r="L175" s="59">
        <f t="shared" si="135"/>
        <v>1280.3999999999999</v>
      </c>
      <c r="M175" s="87">
        <f t="shared" si="136"/>
        <v>21.339999999999989</v>
      </c>
      <c r="N175" s="67">
        <f t="shared" si="137"/>
        <v>128.04</v>
      </c>
      <c r="O175" s="59">
        <f t="shared" si="138"/>
        <v>234.73999999999984</v>
      </c>
      <c r="P175" s="67">
        <f t="shared" si="139"/>
        <v>586.84999999999957</v>
      </c>
      <c r="Q175" s="68">
        <f t="shared" si="140"/>
        <v>7042.1999999999953</v>
      </c>
      <c r="R175" s="68">
        <f t="shared" si="141"/>
        <v>1696.4659799999988</v>
      </c>
      <c r="S175" s="69">
        <f t="shared" si="142"/>
        <v>8738.6659799999943</v>
      </c>
    </row>
    <row r="176" spans="2:19" s="27" customFormat="1" x14ac:dyDescent="0.2">
      <c r="B176" s="144" t="s">
        <v>139</v>
      </c>
      <c r="C176" s="47" t="s">
        <v>21</v>
      </c>
      <c r="D176" s="36" t="s">
        <v>63</v>
      </c>
      <c r="E176" s="36">
        <v>9</v>
      </c>
      <c r="F176" s="36">
        <v>3</v>
      </c>
      <c r="G176" s="37">
        <v>1190</v>
      </c>
      <c r="H176" s="38">
        <v>889</v>
      </c>
      <c r="I176" s="38">
        <v>88.9</v>
      </c>
      <c r="J176" s="324">
        <v>6.25</v>
      </c>
      <c r="K176" s="97">
        <f t="shared" si="134"/>
        <v>1066.8</v>
      </c>
      <c r="L176" s="59">
        <f t="shared" si="135"/>
        <v>1066.8</v>
      </c>
      <c r="M176" s="87">
        <f t="shared" si="136"/>
        <v>17.78</v>
      </c>
      <c r="N176" s="67">
        <f t="shared" si="137"/>
        <v>106.68</v>
      </c>
      <c r="O176" s="59">
        <f t="shared" si="138"/>
        <v>195.57999999999996</v>
      </c>
      <c r="P176" s="67">
        <f t="shared" si="139"/>
        <v>1222.3749999999998</v>
      </c>
      <c r="Q176" s="68">
        <f t="shared" si="140"/>
        <v>14668.499999999996</v>
      </c>
      <c r="R176" s="68">
        <f t="shared" si="141"/>
        <v>3533.6416499999991</v>
      </c>
      <c r="S176" s="69">
        <f t="shared" si="142"/>
        <v>18202.141649999994</v>
      </c>
    </row>
    <row r="177" spans="2:19" s="27" customFormat="1" x14ac:dyDescent="0.2">
      <c r="B177" s="144" t="s">
        <v>139</v>
      </c>
      <c r="C177" s="47" t="s">
        <v>21</v>
      </c>
      <c r="D177" s="36" t="s">
        <v>63</v>
      </c>
      <c r="E177" s="36">
        <v>9</v>
      </c>
      <c r="F177" s="36">
        <v>2</v>
      </c>
      <c r="G177" s="37">
        <v>1015</v>
      </c>
      <c r="H177" s="38">
        <v>782</v>
      </c>
      <c r="I177" s="38">
        <v>78.2</v>
      </c>
      <c r="J177" s="324">
        <v>3</v>
      </c>
      <c r="K177" s="97">
        <f t="shared" si="134"/>
        <v>938.4</v>
      </c>
      <c r="L177" s="59">
        <f t="shared" si="135"/>
        <v>938.4</v>
      </c>
      <c r="M177" s="87">
        <f t="shared" si="136"/>
        <v>15.64</v>
      </c>
      <c r="N177" s="67">
        <f t="shared" si="137"/>
        <v>93.84</v>
      </c>
      <c r="O177" s="59">
        <f t="shared" si="138"/>
        <v>172.03999999999996</v>
      </c>
      <c r="P177" s="67">
        <f t="shared" si="139"/>
        <v>516.11999999999989</v>
      </c>
      <c r="Q177" s="68">
        <f t="shared" si="140"/>
        <v>6193.4399999999987</v>
      </c>
      <c r="R177" s="68">
        <f t="shared" si="141"/>
        <v>1491.9996959999996</v>
      </c>
      <c r="S177" s="69">
        <f t="shared" si="142"/>
        <v>7685.4396959999985</v>
      </c>
    </row>
    <row r="178" spans="2:19" s="27" customFormat="1" x14ac:dyDescent="0.2">
      <c r="B178" s="144" t="s">
        <v>139</v>
      </c>
      <c r="C178" s="47" t="s">
        <v>21</v>
      </c>
      <c r="D178" s="36" t="s">
        <v>63</v>
      </c>
      <c r="E178" s="36">
        <v>9</v>
      </c>
      <c r="F178" s="36">
        <v>1</v>
      </c>
      <c r="G178" s="37">
        <v>835</v>
      </c>
      <c r="H178" s="38">
        <v>686</v>
      </c>
      <c r="I178" s="38">
        <v>68.599999999999994</v>
      </c>
      <c r="J178" s="324">
        <v>0.5</v>
      </c>
      <c r="K178" s="97">
        <f t="shared" si="134"/>
        <v>823.19999999999993</v>
      </c>
      <c r="L178" s="59">
        <f t="shared" si="135"/>
        <v>823.19999999999993</v>
      </c>
      <c r="M178" s="87">
        <f t="shared" si="136"/>
        <v>13.719999999999999</v>
      </c>
      <c r="N178" s="67">
        <f t="shared" si="137"/>
        <v>82.32</v>
      </c>
      <c r="O178" s="59">
        <f t="shared" si="138"/>
        <v>150.91999999999993</v>
      </c>
      <c r="P178" s="67">
        <f t="shared" si="139"/>
        <v>75.459999999999965</v>
      </c>
      <c r="Q178" s="68">
        <f t="shared" si="140"/>
        <v>905.51999999999953</v>
      </c>
      <c r="R178" s="68">
        <f t="shared" si="141"/>
        <v>218.13976799999989</v>
      </c>
      <c r="S178" s="69">
        <f t="shared" si="142"/>
        <v>1123.6597679999995</v>
      </c>
    </row>
    <row r="179" spans="2:19" s="27" customFormat="1" x14ac:dyDescent="0.2">
      <c r="B179" s="144" t="s">
        <v>140</v>
      </c>
      <c r="C179" s="47" t="s">
        <v>22</v>
      </c>
      <c r="D179" s="36" t="s">
        <v>14</v>
      </c>
      <c r="E179" s="36">
        <v>7</v>
      </c>
      <c r="F179" s="36">
        <v>3</v>
      </c>
      <c r="G179" s="37">
        <v>996</v>
      </c>
      <c r="H179" s="38">
        <v>728</v>
      </c>
      <c r="I179" s="38">
        <v>72.8</v>
      </c>
      <c r="J179" s="324">
        <v>1</v>
      </c>
      <c r="K179" s="97">
        <f t="shared" si="134"/>
        <v>873.6</v>
      </c>
      <c r="L179" s="59">
        <f t="shared" si="135"/>
        <v>873.6</v>
      </c>
      <c r="M179" s="87">
        <f t="shared" si="136"/>
        <v>14.560000000000002</v>
      </c>
      <c r="N179" s="67">
        <f t="shared" si="137"/>
        <v>87.36</v>
      </c>
      <c r="O179" s="59">
        <f t="shared" si="138"/>
        <v>160.16000000000003</v>
      </c>
      <c r="P179" s="67">
        <f t="shared" si="139"/>
        <v>160.16000000000003</v>
      </c>
      <c r="Q179" s="68">
        <f t="shared" si="140"/>
        <v>1921.9200000000003</v>
      </c>
      <c r="R179" s="68">
        <f t="shared" si="141"/>
        <v>462.9905280000001</v>
      </c>
      <c r="S179" s="69">
        <f t="shared" si="142"/>
        <v>2384.9105280000003</v>
      </c>
    </row>
    <row r="180" spans="2:19" s="27" customFormat="1" x14ac:dyDescent="0.2">
      <c r="B180" s="144" t="s">
        <v>140</v>
      </c>
      <c r="C180" s="47" t="s">
        <v>22</v>
      </c>
      <c r="D180" s="36" t="s">
        <v>14</v>
      </c>
      <c r="E180" s="36">
        <v>7</v>
      </c>
      <c r="F180" s="36">
        <v>2</v>
      </c>
      <c r="G180" s="37">
        <v>835</v>
      </c>
      <c r="H180" s="38">
        <v>690</v>
      </c>
      <c r="I180" s="38">
        <v>69</v>
      </c>
      <c r="J180" s="324">
        <v>2</v>
      </c>
      <c r="K180" s="97">
        <f t="shared" si="134"/>
        <v>828</v>
      </c>
      <c r="L180" s="59">
        <f t="shared" si="135"/>
        <v>828</v>
      </c>
      <c r="M180" s="87">
        <f t="shared" si="136"/>
        <v>13.800000000000011</v>
      </c>
      <c r="N180" s="67">
        <f t="shared" si="137"/>
        <v>82.800000000000011</v>
      </c>
      <c r="O180" s="59">
        <f t="shared" si="138"/>
        <v>151.80000000000001</v>
      </c>
      <c r="P180" s="67">
        <f t="shared" si="139"/>
        <v>303.60000000000002</v>
      </c>
      <c r="Q180" s="68">
        <f t="shared" si="140"/>
        <v>3643.2000000000003</v>
      </c>
      <c r="R180" s="68">
        <f t="shared" si="141"/>
        <v>877.64688000000012</v>
      </c>
      <c r="S180" s="69">
        <f t="shared" si="142"/>
        <v>4520.8468800000001</v>
      </c>
    </row>
    <row r="181" spans="2:19" s="27" customFormat="1" x14ac:dyDescent="0.2">
      <c r="B181" s="144" t="s">
        <v>140</v>
      </c>
      <c r="C181" s="47" t="s">
        <v>22</v>
      </c>
      <c r="D181" s="36" t="s">
        <v>14</v>
      </c>
      <c r="E181" s="36">
        <v>7</v>
      </c>
      <c r="F181" s="36">
        <v>1</v>
      </c>
      <c r="G181" s="37">
        <v>675</v>
      </c>
      <c r="H181" s="38">
        <v>590</v>
      </c>
      <c r="I181" s="38">
        <v>59</v>
      </c>
      <c r="J181" s="324">
        <v>1</v>
      </c>
      <c r="K181" s="97">
        <f t="shared" si="134"/>
        <v>708</v>
      </c>
      <c r="L181" s="59">
        <f t="shared" si="135"/>
        <v>675</v>
      </c>
      <c r="M181" s="87">
        <f t="shared" si="136"/>
        <v>8.5</v>
      </c>
      <c r="N181" s="67">
        <f t="shared" si="137"/>
        <v>67.5</v>
      </c>
      <c r="O181" s="59">
        <f t="shared" si="138"/>
        <v>93.5</v>
      </c>
      <c r="P181" s="67">
        <f t="shared" si="139"/>
        <v>93.5</v>
      </c>
      <c r="Q181" s="68">
        <f t="shared" si="140"/>
        <v>1122</v>
      </c>
      <c r="R181" s="68">
        <f t="shared" si="141"/>
        <v>270.28980000000001</v>
      </c>
      <c r="S181" s="69">
        <f t="shared" si="142"/>
        <v>1392.2898</v>
      </c>
    </row>
    <row r="182" spans="2:19" s="27" customFormat="1" x14ac:dyDescent="0.2">
      <c r="B182" s="144" t="s">
        <v>141</v>
      </c>
      <c r="C182" s="47" t="s">
        <v>21</v>
      </c>
      <c r="D182" s="36" t="s">
        <v>63</v>
      </c>
      <c r="E182" s="36">
        <v>9</v>
      </c>
      <c r="F182" s="36">
        <v>3</v>
      </c>
      <c r="G182" s="37">
        <v>1190</v>
      </c>
      <c r="H182" s="38">
        <v>889</v>
      </c>
      <c r="I182" s="38">
        <v>88.9</v>
      </c>
      <c r="J182" s="324">
        <v>5.5</v>
      </c>
      <c r="K182" s="97">
        <f t="shared" si="134"/>
        <v>1066.8</v>
      </c>
      <c r="L182" s="59">
        <f t="shared" si="135"/>
        <v>1066.8</v>
      </c>
      <c r="M182" s="87">
        <f t="shared" si="136"/>
        <v>17.78</v>
      </c>
      <c r="N182" s="67">
        <f t="shared" si="137"/>
        <v>106.68</v>
      </c>
      <c r="O182" s="59">
        <f t="shared" si="138"/>
        <v>195.57999999999996</v>
      </c>
      <c r="P182" s="67">
        <f t="shared" si="139"/>
        <v>1075.6899999999998</v>
      </c>
      <c r="Q182" s="68">
        <f t="shared" si="140"/>
        <v>12908.279999999999</v>
      </c>
      <c r="R182" s="68">
        <f t="shared" si="141"/>
        <v>3109.6046519999995</v>
      </c>
      <c r="S182" s="69">
        <f t="shared" si="142"/>
        <v>16017.884651999999</v>
      </c>
    </row>
    <row r="183" spans="2:19" s="27" customFormat="1" x14ac:dyDescent="0.2">
      <c r="B183" s="144" t="s">
        <v>141</v>
      </c>
      <c r="C183" s="47" t="s">
        <v>21</v>
      </c>
      <c r="D183" s="36" t="s">
        <v>63</v>
      </c>
      <c r="E183" s="36">
        <v>9</v>
      </c>
      <c r="F183" s="36">
        <v>2</v>
      </c>
      <c r="G183" s="37">
        <v>1015</v>
      </c>
      <c r="H183" s="38">
        <v>782</v>
      </c>
      <c r="I183" s="38">
        <v>78.2</v>
      </c>
      <c r="J183" s="324">
        <v>0.5</v>
      </c>
      <c r="K183" s="97">
        <f t="shared" si="134"/>
        <v>938.4</v>
      </c>
      <c r="L183" s="59">
        <f t="shared" si="135"/>
        <v>938.4</v>
      </c>
      <c r="M183" s="87">
        <f t="shared" si="136"/>
        <v>15.64</v>
      </c>
      <c r="N183" s="67">
        <f t="shared" si="137"/>
        <v>93.84</v>
      </c>
      <c r="O183" s="59">
        <f t="shared" si="138"/>
        <v>172.03999999999996</v>
      </c>
      <c r="P183" s="67">
        <f t="shared" si="139"/>
        <v>86.019999999999982</v>
      </c>
      <c r="Q183" s="68">
        <f t="shared" si="140"/>
        <v>1032.2399999999998</v>
      </c>
      <c r="R183" s="68">
        <f t="shared" si="141"/>
        <v>248.66661599999995</v>
      </c>
      <c r="S183" s="69">
        <f t="shared" si="142"/>
        <v>1280.9066159999998</v>
      </c>
    </row>
    <row r="184" spans="2:19" s="27" customFormat="1" x14ac:dyDescent="0.2">
      <c r="B184" s="144" t="s">
        <v>142</v>
      </c>
      <c r="C184" s="47" t="s">
        <v>21</v>
      </c>
      <c r="D184" s="36" t="s">
        <v>63</v>
      </c>
      <c r="E184" s="36">
        <v>9</v>
      </c>
      <c r="F184" s="36">
        <v>3</v>
      </c>
      <c r="G184" s="37">
        <v>1190</v>
      </c>
      <c r="H184" s="38">
        <v>889</v>
      </c>
      <c r="I184" s="38">
        <v>88.9</v>
      </c>
      <c r="J184" s="324">
        <v>1.5</v>
      </c>
      <c r="K184" s="97">
        <f t="shared" si="134"/>
        <v>1066.8</v>
      </c>
      <c r="L184" s="59">
        <f t="shared" si="135"/>
        <v>1066.8</v>
      </c>
      <c r="M184" s="87">
        <f t="shared" si="136"/>
        <v>17.78</v>
      </c>
      <c r="N184" s="67">
        <f t="shared" si="137"/>
        <v>106.68</v>
      </c>
      <c r="O184" s="59">
        <f t="shared" si="138"/>
        <v>195.57999999999996</v>
      </c>
      <c r="P184" s="67">
        <f t="shared" si="139"/>
        <v>293.36999999999995</v>
      </c>
      <c r="Q184" s="68">
        <f t="shared" si="140"/>
        <v>3520.4399999999996</v>
      </c>
      <c r="R184" s="68">
        <f t="shared" si="141"/>
        <v>848.07399599999997</v>
      </c>
      <c r="S184" s="69">
        <f t="shared" si="142"/>
        <v>4368.5139959999997</v>
      </c>
    </row>
    <row r="185" spans="2:19" s="27" customFormat="1" ht="25.5" x14ac:dyDescent="0.2">
      <c r="B185" s="145" t="s">
        <v>143</v>
      </c>
      <c r="C185" s="48" t="s">
        <v>21</v>
      </c>
      <c r="D185" s="13" t="s">
        <v>63</v>
      </c>
      <c r="E185" s="13">
        <v>9</v>
      </c>
      <c r="F185" s="13">
        <v>3</v>
      </c>
      <c r="G185" s="49">
        <v>1190</v>
      </c>
      <c r="H185" s="50">
        <v>889</v>
      </c>
      <c r="I185" s="50">
        <v>88.9</v>
      </c>
      <c r="J185" s="327">
        <v>0.5</v>
      </c>
      <c r="K185" s="97">
        <f t="shared" si="134"/>
        <v>1066.8</v>
      </c>
      <c r="L185" s="59">
        <f t="shared" si="135"/>
        <v>1066.8</v>
      </c>
      <c r="M185" s="87">
        <f t="shared" si="136"/>
        <v>17.78</v>
      </c>
      <c r="N185" s="67">
        <f t="shared" si="137"/>
        <v>106.68</v>
      </c>
      <c r="O185" s="59">
        <f t="shared" si="138"/>
        <v>195.57999999999996</v>
      </c>
      <c r="P185" s="67">
        <f t="shared" si="139"/>
        <v>97.789999999999978</v>
      </c>
      <c r="Q185" s="68">
        <f t="shared" si="140"/>
        <v>1173.4799999999998</v>
      </c>
      <c r="R185" s="68">
        <f t="shared" si="141"/>
        <v>282.69133199999993</v>
      </c>
      <c r="S185" s="69">
        <f t="shared" si="142"/>
        <v>1456.1713319999997</v>
      </c>
    </row>
    <row r="186" spans="2:19" s="101" customFormat="1" x14ac:dyDescent="0.25">
      <c r="B186" s="119" t="s">
        <v>4</v>
      </c>
      <c r="C186" s="103"/>
      <c r="D186" s="103"/>
      <c r="E186" s="103"/>
      <c r="F186" s="103"/>
      <c r="G186" s="105"/>
      <c r="H186" s="106"/>
      <c r="I186" s="76"/>
      <c r="J186" s="123">
        <f>SUM(J170:J185)</f>
        <v>34</v>
      </c>
      <c r="K186" s="118"/>
      <c r="L186" s="76"/>
      <c r="M186" s="77"/>
      <c r="N186" s="78"/>
      <c r="O186" s="76"/>
      <c r="P186" s="78"/>
      <c r="Q186" s="79">
        <f t="shared" ref="Q186:S186" si="143">SUM(Q170:Q185)</f>
        <v>80939.75999999998</v>
      </c>
      <c r="R186" s="79">
        <f t="shared" si="143"/>
        <v>19498.388183999989</v>
      </c>
      <c r="S186" s="80">
        <f t="shared" si="143"/>
        <v>100438.14818399995</v>
      </c>
    </row>
    <row r="187" spans="2:19" x14ac:dyDescent="0.2">
      <c r="B187" s="911" t="s">
        <v>10</v>
      </c>
      <c r="C187" s="912"/>
      <c r="D187" s="912"/>
      <c r="E187" s="912"/>
      <c r="F187" s="912"/>
      <c r="G187" s="51"/>
      <c r="H187" s="52"/>
      <c r="I187" s="52"/>
      <c r="J187" s="326"/>
      <c r="K187" s="152"/>
      <c r="L187" s="63"/>
      <c r="M187" s="63"/>
      <c r="N187" s="63"/>
      <c r="O187" s="63"/>
      <c r="P187" s="63"/>
      <c r="Q187" s="63"/>
      <c r="R187" s="63"/>
      <c r="S187" s="151"/>
    </row>
    <row r="188" spans="2:19" s="27" customFormat="1" x14ac:dyDescent="0.2">
      <c r="B188" s="145" t="s">
        <v>144</v>
      </c>
      <c r="C188" s="47" t="s">
        <v>22</v>
      </c>
      <c r="D188" s="36" t="s">
        <v>14</v>
      </c>
      <c r="E188" s="36">
        <v>7</v>
      </c>
      <c r="F188" s="36">
        <v>3</v>
      </c>
      <c r="G188" s="37">
        <v>996</v>
      </c>
      <c r="H188" s="38">
        <v>728</v>
      </c>
      <c r="I188" s="38">
        <v>149.97</v>
      </c>
      <c r="J188" s="324">
        <v>65</v>
      </c>
      <c r="K188" s="97">
        <f t="shared" ref="K188:K198" si="144">H188*1.2</f>
        <v>873.6</v>
      </c>
      <c r="L188" s="59">
        <f t="shared" ref="L188:L198" si="145">IF(K188&lt;=G188,K188,G188)</f>
        <v>873.6</v>
      </c>
      <c r="M188" s="87">
        <f t="shared" ref="M188:M198" si="146">N188-I188</f>
        <v>29.994</v>
      </c>
      <c r="N188" s="67">
        <f t="shared" ref="N188:N198" si="147">I188/H188*L188</f>
        <v>179.964</v>
      </c>
      <c r="O188" s="59">
        <f t="shared" ref="O188:O198" si="148">L188-H188+M188</f>
        <v>175.59400000000002</v>
      </c>
      <c r="P188" s="67">
        <f t="shared" ref="P188:P198" si="149">O188*J188</f>
        <v>11413.61</v>
      </c>
      <c r="Q188" s="68">
        <f t="shared" ref="Q188:Q198" si="150">P188*12</f>
        <v>136963.32</v>
      </c>
      <c r="R188" s="68">
        <f t="shared" si="141"/>
        <v>32994.463788000001</v>
      </c>
      <c r="S188" s="69">
        <f t="shared" ref="S188:S198" si="151">Q188+R188</f>
        <v>169957.783788</v>
      </c>
    </row>
    <row r="189" spans="2:19" s="27" customFormat="1" ht="14.25" customHeight="1" x14ac:dyDescent="0.2">
      <c r="B189" s="145" t="s">
        <v>145</v>
      </c>
      <c r="C189" s="47" t="s">
        <v>22</v>
      </c>
      <c r="D189" s="36" t="s">
        <v>45</v>
      </c>
      <c r="E189" s="36">
        <v>6</v>
      </c>
      <c r="F189" s="36">
        <v>3</v>
      </c>
      <c r="G189" s="37">
        <v>899</v>
      </c>
      <c r="H189" s="38">
        <v>655</v>
      </c>
      <c r="I189" s="38">
        <v>134.96</v>
      </c>
      <c r="J189" s="324">
        <v>7.5</v>
      </c>
      <c r="K189" s="97">
        <f t="shared" si="144"/>
        <v>786</v>
      </c>
      <c r="L189" s="59">
        <f t="shared" si="145"/>
        <v>786</v>
      </c>
      <c r="M189" s="87">
        <f t="shared" si="146"/>
        <v>26.99199999999999</v>
      </c>
      <c r="N189" s="67">
        <f t="shared" si="147"/>
        <v>161.952</v>
      </c>
      <c r="O189" s="59">
        <f t="shared" si="148"/>
        <v>157.99199999999999</v>
      </c>
      <c r="P189" s="67">
        <f t="shared" si="149"/>
        <v>1184.9399999999998</v>
      </c>
      <c r="Q189" s="68">
        <f t="shared" si="150"/>
        <v>14219.279999999999</v>
      </c>
      <c r="R189" s="68">
        <f t="shared" si="141"/>
        <v>3425.4245519999999</v>
      </c>
      <c r="S189" s="69">
        <f t="shared" si="151"/>
        <v>17644.704551999999</v>
      </c>
    </row>
    <row r="190" spans="2:19" s="27" customFormat="1" x14ac:dyDescent="0.2">
      <c r="B190" s="145" t="s">
        <v>146</v>
      </c>
      <c r="C190" s="47" t="s">
        <v>22</v>
      </c>
      <c r="D190" s="36" t="s">
        <v>49</v>
      </c>
      <c r="E190" s="36">
        <v>8</v>
      </c>
      <c r="F190" s="36">
        <v>3</v>
      </c>
      <c r="G190" s="37">
        <v>1093</v>
      </c>
      <c r="H190" s="38">
        <v>778</v>
      </c>
      <c r="I190" s="38">
        <v>160.27000000000001</v>
      </c>
      <c r="J190" s="324">
        <v>3</v>
      </c>
      <c r="K190" s="97">
        <f t="shared" si="144"/>
        <v>933.59999999999991</v>
      </c>
      <c r="L190" s="59">
        <f t="shared" si="145"/>
        <v>933.59999999999991</v>
      </c>
      <c r="M190" s="87">
        <f t="shared" si="146"/>
        <v>32.054000000000002</v>
      </c>
      <c r="N190" s="67">
        <f t="shared" si="147"/>
        <v>192.32400000000001</v>
      </c>
      <c r="O190" s="59">
        <f t="shared" si="148"/>
        <v>187.65399999999991</v>
      </c>
      <c r="P190" s="67">
        <f t="shared" si="149"/>
        <v>562.96199999999976</v>
      </c>
      <c r="Q190" s="68">
        <f t="shared" si="150"/>
        <v>6755.5439999999971</v>
      </c>
      <c r="R190" s="68">
        <f t="shared" si="141"/>
        <v>1627.4105495999993</v>
      </c>
      <c r="S190" s="69">
        <f t="shared" si="151"/>
        <v>8382.9545495999955</v>
      </c>
    </row>
    <row r="191" spans="2:19" s="27" customFormat="1" x14ac:dyDescent="0.2">
      <c r="B191" s="145" t="s">
        <v>147</v>
      </c>
      <c r="C191" s="47" t="s">
        <v>22</v>
      </c>
      <c r="D191" s="36" t="s">
        <v>14</v>
      </c>
      <c r="E191" s="36">
        <v>7</v>
      </c>
      <c r="F191" s="36">
        <v>3</v>
      </c>
      <c r="G191" s="37">
        <v>996</v>
      </c>
      <c r="H191" s="38">
        <v>728</v>
      </c>
      <c r="I191" s="38">
        <v>72.8</v>
      </c>
      <c r="J191" s="324">
        <v>3.75</v>
      </c>
      <c r="K191" s="97">
        <f t="shared" si="144"/>
        <v>873.6</v>
      </c>
      <c r="L191" s="59">
        <f t="shared" si="145"/>
        <v>873.6</v>
      </c>
      <c r="M191" s="87">
        <f t="shared" si="146"/>
        <v>14.560000000000002</v>
      </c>
      <c r="N191" s="67">
        <f t="shared" si="147"/>
        <v>87.36</v>
      </c>
      <c r="O191" s="59">
        <f t="shared" si="148"/>
        <v>160.16000000000003</v>
      </c>
      <c r="P191" s="67">
        <f t="shared" si="149"/>
        <v>600.60000000000014</v>
      </c>
      <c r="Q191" s="68">
        <f t="shared" si="150"/>
        <v>7207.2000000000016</v>
      </c>
      <c r="R191" s="68">
        <f t="shared" si="141"/>
        <v>1736.2144800000003</v>
      </c>
      <c r="S191" s="69">
        <f t="shared" si="151"/>
        <v>8943.4144800000013</v>
      </c>
    </row>
    <row r="192" spans="2:19" s="27" customFormat="1" x14ac:dyDescent="0.2">
      <c r="B192" s="145" t="s">
        <v>148</v>
      </c>
      <c r="C192" s="47" t="s">
        <v>22</v>
      </c>
      <c r="D192" s="36" t="s">
        <v>14</v>
      </c>
      <c r="E192" s="36">
        <v>7</v>
      </c>
      <c r="F192" s="36">
        <v>3</v>
      </c>
      <c r="G192" s="37">
        <v>996</v>
      </c>
      <c r="H192" s="38">
        <v>728</v>
      </c>
      <c r="I192" s="38">
        <v>72.8</v>
      </c>
      <c r="J192" s="324">
        <v>1.5</v>
      </c>
      <c r="K192" s="97">
        <f t="shared" si="144"/>
        <v>873.6</v>
      </c>
      <c r="L192" s="59">
        <f t="shared" si="145"/>
        <v>873.6</v>
      </c>
      <c r="M192" s="87">
        <f t="shared" si="146"/>
        <v>14.560000000000002</v>
      </c>
      <c r="N192" s="67">
        <f t="shared" si="147"/>
        <v>87.36</v>
      </c>
      <c r="O192" s="59">
        <f t="shared" si="148"/>
        <v>160.16000000000003</v>
      </c>
      <c r="P192" s="67">
        <f t="shared" si="149"/>
        <v>240.24000000000004</v>
      </c>
      <c r="Q192" s="68">
        <f t="shared" si="150"/>
        <v>2882.8800000000006</v>
      </c>
      <c r="R192" s="68">
        <f t="shared" si="141"/>
        <v>694.48579200000017</v>
      </c>
      <c r="S192" s="69">
        <f t="shared" si="151"/>
        <v>3577.3657920000005</v>
      </c>
    </row>
    <row r="193" spans="2:19" s="27" customFormat="1" x14ac:dyDescent="0.2">
      <c r="B193" s="145" t="s">
        <v>149</v>
      </c>
      <c r="C193" s="47" t="s">
        <v>21</v>
      </c>
      <c r="D193" s="36" t="s">
        <v>15</v>
      </c>
      <c r="E193" s="36">
        <v>8</v>
      </c>
      <c r="F193" s="36">
        <v>3</v>
      </c>
      <c r="G193" s="37">
        <v>1093</v>
      </c>
      <c r="H193" s="38">
        <v>778</v>
      </c>
      <c r="I193" s="38">
        <v>77.8</v>
      </c>
      <c r="J193" s="324">
        <v>6.5</v>
      </c>
      <c r="K193" s="97">
        <f t="shared" si="144"/>
        <v>933.59999999999991</v>
      </c>
      <c r="L193" s="59">
        <f t="shared" si="145"/>
        <v>933.59999999999991</v>
      </c>
      <c r="M193" s="87">
        <f t="shared" si="146"/>
        <v>15.559999999999988</v>
      </c>
      <c r="N193" s="67">
        <f t="shared" si="147"/>
        <v>93.359999999999985</v>
      </c>
      <c r="O193" s="59">
        <f t="shared" si="148"/>
        <v>171.15999999999991</v>
      </c>
      <c r="P193" s="67">
        <f t="shared" si="149"/>
        <v>1112.5399999999995</v>
      </c>
      <c r="Q193" s="68">
        <f t="shared" si="150"/>
        <v>13350.479999999994</v>
      </c>
      <c r="R193" s="68">
        <f t="shared" si="141"/>
        <v>3216.1306319999985</v>
      </c>
      <c r="S193" s="69">
        <f t="shared" si="151"/>
        <v>16566.610631999993</v>
      </c>
    </row>
    <row r="194" spans="2:19" s="27" customFormat="1" ht="25.5" x14ac:dyDescent="0.2">
      <c r="B194" s="145" t="s">
        <v>150</v>
      </c>
      <c r="C194" s="48" t="s">
        <v>22</v>
      </c>
      <c r="D194" s="13" t="s">
        <v>67</v>
      </c>
      <c r="E194" s="36">
        <v>11</v>
      </c>
      <c r="F194" s="13">
        <v>3</v>
      </c>
      <c r="G194" s="37">
        <v>1382</v>
      </c>
      <c r="H194" s="50">
        <v>1027</v>
      </c>
      <c r="I194" s="50">
        <v>0</v>
      </c>
      <c r="J194" s="327">
        <v>8</v>
      </c>
      <c r="K194" s="97">
        <f t="shared" si="144"/>
        <v>1232.3999999999999</v>
      </c>
      <c r="L194" s="59">
        <f t="shared" si="145"/>
        <v>1232.3999999999999</v>
      </c>
      <c r="M194" s="87">
        <f t="shared" si="146"/>
        <v>0</v>
      </c>
      <c r="N194" s="67">
        <f t="shared" si="147"/>
        <v>0</v>
      </c>
      <c r="O194" s="59">
        <f t="shared" si="148"/>
        <v>205.39999999999986</v>
      </c>
      <c r="P194" s="67">
        <f t="shared" si="149"/>
        <v>1643.1999999999989</v>
      </c>
      <c r="Q194" s="68">
        <f t="shared" si="150"/>
        <v>19718.399999999987</v>
      </c>
      <c r="R194" s="68">
        <f t="shared" si="141"/>
        <v>4750.162559999997</v>
      </c>
      <c r="S194" s="69">
        <f t="shared" si="151"/>
        <v>24468.562559999984</v>
      </c>
    </row>
    <row r="195" spans="2:19" s="27" customFormat="1" x14ac:dyDescent="0.2">
      <c r="B195" s="145" t="s">
        <v>151</v>
      </c>
      <c r="C195" s="47" t="s">
        <v>21</v>
      </c>
      <c r="D195" s="36" t="s">
        <v>37</v>
      </c>
      <c r="E195" s="36">
        <v>8</v>
      </c>
      <c r="F195" s="36">
        <v>2</v>
      </c>
      <c r="G195" s="37">
        <v>920</v>
      </c>
      <c r="H195" s="38">
        <v>682</v>
      </c>
      <c r="I195" s="38">
        <v>68.2</v>
      </c>
      <c r="J195" s="324">
        <v>1</v>
      </c>
      <c r="K195" s="97">
        <f t="shared" si="144"/>
        <v>818.4</v>
      </c>
      <c r="L195" s="59">
        <f t="shared" si="145"/>
        <v>818.4</v>
      </c>
      <c r="M195" s="87">
        <f t="shared" si="146"/>
        <v>13.64</v>
      </c>
      <c r="N195" s="67">
        <f t="shared" si="147"/>
        <v>81.84</v>
      </c>
      <c r="O195" s="59">
        <f t="shared" si="148"/>
        <v>150.03999999999996</v>
      </c>
      <c r="P195" s="67">
        <f t="shared" si="149"/>
        <v>150.03999999999996</v>
      </c>
      <c r="Q195" s="68">
        <f t="shared" si="150"/>
        <v>1800.4799999999996</v>
      </c>
      <c r="R195" s="68">
        <f t="shared" si="141"/>
        <v>433.7356319999999</v>
      </c>
      <c r="S195" s="69">
        <f t="shared" si="151"/>
        <v>2234.2156319999995</v>
      </c>
    </row>
    <row r="196" spans="2:19" s="27" customFormat="1" x14ac:dyDescent="0.2">
      <c r="B196" s="145" t="s">
        <v>152</v>
      </c>
      <c r="C196" s="47" t="s">
        <v>21</v>
      </c>
      <c r="D196" s="36" t="s">
        <v>37</v>
      </c>
      <c r="E196" s="36">
        <v>8</v>
      </c>
      <c r="F196" s="36">
        <v>2</v>
      </c>
      <c r="G196" s="37">
        <v>920</v>
      </c>
      <c r="H196" s="38">
        <v>682</v>
      </c>
      <c r="I196" s="38">
        <v>68.2</v>
      </c>
      <c r="J196" s="324">
        <v>2.5</v>
      </c>
      <c r="K196" s="97">
        <f t="shared" si="144"/>
        <v>818.4</v>
      </c>
      <c r="L196" s="59">
        <f t="shared" si="145"/>
        <v>818.4</v>
      </c>
      <c r="M196" s="87">
        <f t="shared" si="146"/>
        <v>13.64</v>
      </c>
      <c r="N196" s="67">
        <f t="shared" si="147"/>
        <v>81.84</v>
      </c>
      <c r="O196" s="59">
        <f t="shared" si="148"/>
        <v>150.03999999999996</v>
      </c>
      <c r="P196" s="67">
        <f t="shared" si="149"/>
        <v>375.09999999999991</v>
      </c>
      <c r="Q196" s="68">
        <f t="shared" si="150"/>
        <v>4501.1999999999989</v>
      </c>
      <c r="R196" s="68">
        <f t="shared" si="141"/>
        <v>1084.3390799999997</v>
      </c>
      <c r="S196" s="69">
        <f t="shared" si="151"/>
        <v>5585.5390799999986</v>
      </c>
    </row>
    <row r="197" spans="2:19" s="27" customFormat="1" x14ac:dyDescent="0.2">
      <c r="B197" s="145" t="s">
        <v>152</v>
      </c>
      <c r="C197" s="47" t="s">
        <v>21</v>
      </c>
      <c r="D197" s="36" t="s">
        <v>37</v>
      </c>
      <c r="E197" s="36">
        <v>8</v>
      </c>
      <c r="F197" s="36">
        <v>1</v>
      </c>
      <c r="G197" s="37">
        <v>745</v>
      </c>
      <c r="H197" s="38">
        <v>615</v>
      </c>
      <c r="I197" s="38">
        <v>61.5</v>
      </c>
      <c r="J197" s="324">
        <v>1</v>
      </c>
      <c r="K197" s="97">
        <f t="shared" si="144"/>
        <v>738</v>
      </c>
      <c r="L197" s="59">
        <f t="shared" si="145"/>
        <v>738</v>
      </c>
      <c r="M197" s="87">
        <f t="shared" si="146"/>
        <v>12.299999999999997</v>
      </c>
      <c r="N197" s="67">
        <f t="shared" si="147"/>
        <v>73.8</v>
      </c>
      <c r="O197" s="59">
        <f t="shared" si="148"/>
        <v>135.30000000000001</v>
      </c>
      <c r="P197" s="67">
        <f t="shared" si="149"/>
        <v>135.30000000000001</v>
      </c>
      <c r="Q197" s="68">
        <f t="shared" si="150"/>
        <v>1623.6000000000001</v>
      </c>
      <c r="R197" s="68">
        <f t="shared" si="141"/>
        <v>391.12524000000002</v>
      </c>
      <c r="S197" s="69">
        <f t="shared" si="151"/>
        <v>2014.7252400000002</v>
      </c>
    </row>
    <row r="198" spans="2:19" s="27" customFormat="1" x14ac:dyDescent="0.2">
      <c r="B198" s="145" t="s">
        <v>153</v>
      </c>
      <c r="C198" s="47" t="s">
        <v>21</v>
      </c>
      <c r="D198" s="36" t="s">
        <v>15</v>
      </c>
      <c r="E198" s="36">
        <v>8</v>
      </c>
      <c r="F198" s="36">
        <v>3</v>
      </c>
      <c r="G198" s="37">
        <v>1093</v>
      </c>
      <c r="H198" s="38">
        <v>778</v>
      </c>
      <c r="I198" s="38">
        <v>77.8</v>
      </c>
      <c r="J198" s="324">
        <v>1.5</v>
      </c>
      <c r="K198" s="97">
        <f t="shared" si="144"/>
        <v>933.59999999999991</v>
      </c>
      <c r="L198" s="59">
        <f t="shared" si="145"/>
        <v>933.59999999999991</v>
      </c>
      <c r="M198" s="87">
        <f t="shared" si="146"/>
        <v>15.559999999999988</v>
      </c>
      <c r="N198" s="67">
        <f t="shared" si="147"/>
        <v>93.359999999999985</v>
      </c>
      <c r="O198" s="59">
        <f t="shared" si="148"/>
        <v>171.15999999999991</v>
      </c>
      <c r="P198" s="67">
        <f t="shared" si="149"/>
        <v>256.7399999999999</v>
      </c>
      <c r="Q198" s="68">
        <f t="shared" si="150"/>
        <v>3080.8799999999987</v>
      </c>
      <c r="R198" s="68">
        <f t="shared" si="141"/>
        <v>742.18399199999976</v>
      </c>
      <c r="S198" s="69">
        <f t="shared" si="151"/>
        <v>3823.0639919999985</v>
      </c>
    </row>
    <row r="199" spans="2:19" s="101" customFormat="1" x14ac:dyDescent="0.25">
      <c r="B199" s="119" t="s">
        <v>4</v>
      </c>
      <c r="C199" s="103"/>
      <c r="D199" s="103"/>
      <c r="E199" s="103"/>
      <c r="F199" s="103"/>
      <c r="G199" s="105"/>
      <c r="H199" s="106"/>
      <c r="I199" s="76"/>
      <c r="J199" s="123">
        <f>SUM(J188:J198)</f>
        <v>101.25</v>
      </c>
      <c r="K199" s="118"/>
      <c r="L199" s="76"/>
      <c r="M199" s="77"/>
      <c r="N199" s="78"/>
      <c r="O199" s="76"/>
      <c r="P199" s="78"/>
      <c r="Q199" s="79">
        <f t="shared" ref="Q199:R199" si="152">SUM(Q188:Q198)</f>
        <v>212103.26400000002</v>
      </c>
      <c r="R199" s="79">
        <f t="shared" si="152"/>
        <v>51095.676297599995</v>
      </c>
      <c r="S199" s="80">
        <f>SUM(S188:S198)</f>
        <v>263198.9402976</v>
      </c>
    </row>
    <row r="200" spans="2:19" ht="13.5" x14ac:dyDescent="0.25">
      <c r="B200" s="898" t="s">
        <v>202</v>
      </c>
      <c r="C200" s="899"/>
      <c r="D200" s="899"/>
      <c r="E200" s="899"/>
      <c r="F200" s="899"/>
      <c r="G200" s="44"/>
      <c r="H200" s="44"/>
      <c r="I200" s="44"/>
      <c r="J200" s="328">
        <f>J199+J186</f>
        <v>135.25</v>
      </c>
      <c r="K200" s="118"/>
      <c r="L200" s="76"/>
      <c r="M200" s="77"/>
      <c r="N200" s="78"/>
      <c r="O200" s="76"/>
      <c r="P200" s="78"/>
      <c r="Q200" s="79">
        <f>Q199+Q186</f>
        <v>293043.02399999998</v>
      </c>
      <c r="R200" s="79">
        <f t="shared" ref="R200" si="153">R199+R186</f>
        <v>70594.064481599984</v>
      </c>
      <c r="S200" s="80">
        <f>S199+S186</f>
        <v>363637.08848159993</v>
      </c>
    </row>
    <row r="201" spans="2:19" s="2" customFormat="1" ht="15" customHeight="1" x14ac:dyDescent="0.2">
      <c r="B201" s="850" t="s">
        <v>154</v>
      </c>
      <c r="C201" s="851"/>
      <c r="D201" s="851"/>
      <c r="E201" s="851"/>
      <c r="F201" s="851"/>
      <c r="G201" s="851"/>
      <c r="H201" s="851"/>
      <c r="I201" s="851"/>
      <c r="J201" s="851"/>
      <c r="K201" s="851"/>
      <c r="L201" s="851"/>
      <c r="M201" s="851"/>
      <c r="N201" s="851"/>
      <c r="O201" s="851"/>
      <c r="P201" s="851"/>
      <c r="Q201" s="851"/>
      <c r="R201" s="851"/>
      <c r="S201" s="852"/>
    </row>
    <row r="202" spans="2:19" x14ac:dyDescent="0.2">
      <c r="B202" s="837" t="s">
        <v>20</v>
      </c>
      <c r="C202" s="838"/>
      <c r="D202" s="838"/>
      <c r="E202" s="838"/>
      <c r="F202" s="839"/>
      <c r="G202" s="33"/>
      <c r="H202" s="34"/>
      <c r="I202" s="33"/>
      <c r="J202" s="147"/>
      <c r="K202" s="146"/>
      <c r="L202" s="33"/>
      <c r="M202" s="33"/>
      <c r="N202" s="33"/>
      <c r="O202" s="33"/>
      <c r="P202" s="33"/>
      <c r="Q202" s="33"/>
      <c r="R202" s="33"/>
      <c r="S202" s="147"/>
    </row>
    <row r="203" spans="2:19" s="27" customFormat="1" x14ac:dyDescent="0.2">
      <c r="B203" s="145" t="s">
        <v>56</v>
      </c>
      <c r="C203" s="47" t="s">
        <v>21</v>
      </c>
      <c r="D203" s="36" t="s">
        <v>14</v>
      </c>
      <c r="E203" s="36" t="s">
        <v>124</v>
      </c>
      <c r="F203" s="36" t="s">
        <v>75</v>
      </c>
      <c r="G203" s="37">
        <v>1287</v>
      </c>
      <c r="H203" s="38">
        <v>1042</v>
      </c>
      <c r="I203" s="38">
        <f>H203*0.1</f>
        <v>104.2</v>
      </c>
      <c r="J203" s="324">
        <v>2.75</v>
      </c>
      <c r="K203" s="97">
        <f t="shared" ref="K203:K204" si="154">H203*1.2</f>
        <v>1250.3999999999999</v>
      </c>
      <c r="L203" s="59">
        <f t="shared" ref="L203:L204" si="155">IF(K203&lt;=G203,K203,G203)</f>
        <v>1250.3999999999999</v>
      </c>
      <c r="M203" s="87">
        <f t="shared" ref="M203:M204" si="156">N203-I203</f>
        <v>20.839999999999989</v>
      </c>
      <c r="N203" s="67">
        <f t="shared" ref="N203:N204" si="157">I203/H203*L203</f>
        <v>125.03999999999999</v>
      </c>
      <c r="O203" s="59">
        <f t="shared" ref="O203:O204" si="158">L203-H203+M203</f>
        <v>229.23999999999984</v>
      </c>
      <c r="P203" s="67">
        <f t="shared" ref="P203:P204" si="159">O203*J203</f>
        <v>630.40999999999951</v>
      </c>
      <c r="Q203" s="68">
        <f t="shared" ref="Q203:Q204" si="160">P203*12</f>
        <v>7564.9199999999946</v>
      </c>
      <c r="R203" s="68">
        <f t="shared" ref="R203:R204" si="161">Q203*0.2409</f>
        <v>1822.3892279999986</v>
      </c>
      <c r="S203" s="69">
        <f t="shared" ref="S203:S204" si="162">Q203+R203</f>
        <v>9387.3092279999928</v>
      </c>
    </row>
    <row r="204" spans="2:19" s="27" customFormat="1" x14ac:dyDescent="0.2">
      <c r="B204" s="145" t="s">
        <v>64</v>
      </c>
      <c r="C204" s="47" t="s">
        <v>21</v>
      </c>
      <c r="D204" s="36" t="s">
        <v>14</v>
      </c>
      <c r="E204" s="36" t="s">
        <v>124</v>
      </c>
      <c r="F204" s="36" t="s">
        <v>75</v>
      </c>
      <c r="G204" s="37">
        <v>1287</v>
      </c>
      <c r="H204" s="38">
        <v>1042</v>
      </c>
      <c r="I204" s="38">
        <f>1042*0.1</f>
        <v>104.2</v>
      </c>
      <c r="J204" s="324">
        <v>1</v>
      </c>
      <c r="K204" s="97">
        <f t="shared" si="154"/>
        <v>1250.3999999999999</v>
      </c>
      <c r="L204" s="59">
        <f t="shared" si="155"/>
        <v>1250.3999999999999</v>
      </c>
      <c r="M204" s="87">
        <f t="shared" si="156"/>
        <v>20.839999999999989</v>
      </c>
      <c r="N204" s="67">
        <f t="shared" si="157"/>
        <v>125.03999999999999</v>
      </c>
      <c r="O204" s="59">
        <f t="shared" si="158"/>
        <v>229.23999999999984</v>
      </c>
      <c r="P204" s="67">
        <f t="shared" si="159"/>
        <v>229.23999999999984</v>
      </c>
      <c r="Q204" s="68">
        <f t="shared" si="160"/>
        <v>2750.8799999999983</v>
      </c>
      <c r="R204" s="68">
        <f t="shared" si="161"/>
        <v>662.68699199999958</v>
      </c>
      <c r="S204" s="69">
        <f t="shared" si="162"/>
        <v>3413.5669919999978</v>
      </c>
    </row>
    <row r="205" spans="2:19" s="101" customFormat="1" x14ac:dyDescent="0.25">
      <c r="B205" s="119" t="s">
        <v>4</v>
      </c>
      <c r="C205" s="103"/>
      <c r="D205" s="103"/>
      <c r="E205" s="103"/>
      <c r="F205" s="103"/>
      <c r="G205" s="105"/>
      <c r="H205" s="106"/>
      <c r="I205" s="76"/>
      <c r="J205" s="123">
        <f>SUM(J203:J204)</f>
        <v>3.75</v>
      </c>
      <c r="K205" s="118"/>
      <c r="L205" s="76"/>
      <c r="M205" s="77"/>
      <c r="N205" s="78"/>
      <c r="O205" s="76"/>
      <c r="P205" s="78"/>
      <c r="Q205" s="79">
        <f t="shared" ref="Q205:S205" si="163">SUM(Q203:Q204)</f>
        <v>10315.799999999992</v>
      </c>
      <c r="R205" s="79">
        <f t="shared" si="163"/>
        <v>2485.0762199999981</v>
      </c>
      <c r="S205" s="80">
        <f t="shared" si="163"/>
        <v>12800.876219999991</v>
      </c>
    </row>
    <row r="206" spans="2:19" x14ac:dyDescent="0.2">
      <c r="B206" s="892" t="s">
        <v>10</v>
      </c>
      <c r="C206" s="893"/>
      <c r="D206" s="893"/>
      <c r="E206" s="893"/>
      <c r="F206" s="894"/>
      <c r="G206" s="11"/>
      <c r="H206" s="45"/>
      <c r="I206" s="45"/>
      <c r="J206" s="326"/>
      <c r="K206" s="146"/>
      <c r="L206" s="33"/>
      <c r="M206" s="33"/>
      <c r="N206" s="33"/>
      <c r="O206" s="33"/>
      <c r="P206" s="33"/>
      <c r="Q206" s="33"/>
      <c r="R206" s="33"/>
      <c r="S206" s="147"/>
    </row>
    <row r="207" spans="2:19" s="27" customFormat="1" x14ac:dyDescent="0.2">
      <c r="B207" s="145" t="s">
        <v>57</v>
      </c>
      <c r="C207" s="47" t="s">
        <v>22</v>
      </c>
      <c r="D207" s="36" t="s">
        <v>14</v>
      </c>
      <c r="E207" s="36" t="s">
        <v>125</v>
      </c>
      <c r="F207" s="36" t="s">
        <v>75</v>
      </c>
      <c r="G207" s="37">
        <v>996</v>
      </c>
      <c r="H207" s="38">
        <v>714</v>
      </c>
      <c r="I207" s="38">
        <f>714*0.1</f>
        <v>71.400000000000006</v>
      </c>
      <c r="J207" s="324">
        <v>19.899999999999999</v>
      </c>
      <c r="K207" s="97">
        <f t="shared" ref="K207:K214" si="164">H207*1.2</f>
        <v>856.8</v>
      </c>
      <c r="L207" s="59">
        <f t="shared" ref="L207:L214" si="165">IF(K207&lt;=G207,K207,G207)</f>
        <v>856.8</v>
      </c>
      <c r="M207" s="87">
        <f t="shared" ref="M207:M214" si="166">N207-I207</f>
        <v>14.280000000000001</v>
      </c>
      <c r="N207" s="67">
        <f t="shared" ref="N207:N214" si="167">I207/H207*L207</f>
        <v>85.68</v>
      </c>
      <c r="O207" s="59">
        <f t="shared" ref="O207:O214" si="168">L207-H207+M207</f>
        <v>157.07999999999996</v>
      </c>
      <c r="P207" s="67">
        <f t="shared" ref="P207:P214" si="169">O207*J207</f>
        <v>3125.8919999999989</v>
      </c>
      <c r="Q207" s="68">
        <f t="shared" ref="Q207:Q214" si="170">P207*12</f>
        <v>37510.703999999983</v>
      </c>
      <c r="R207" s="68">
        <f t="shared" ref="R207:R214" si="171">Q207*0.2409</f>
        <v>9036.3285935999957</v>
      </c>
      <c r="S207" s="69">
        <f t="shared" ref="S207:S214" si="172">Q207+R207</f>
        <v>46547.032593599979</v>
      </c>
    </row>
    <row r="208" spans="2:19" s="27" customFormat="1" x14ac:dyDescent="0.2">
      <c r="B208" s="145" t="s">
        <v>68</v>
      </c>
      <c r="C208" s="47" t="s">
        <v>22</v>
      </c>
      <c r="D208" s="36" t="s">
        <v>45</v>
      </c>
      <c r="E208" s="36" t="s">
        <v>76</v>
      </c>
      <c r="F208" s="36" t="s">
        <v>75</v>
      </c>
      <c r="G208" s="37">
        <v>899</v>
      </c>
      <c r="H208" s="38">
        <v>632</v>
      </c>
      <c r="I208" s="38">
        <f>632*0.1</f>
        <v>63.2</v>
      </c>
      <c r="J208" s="324">
        <v>7.75</v>
      </c>
      <c r="K208" s="97">
        <f t="shared" si="164"/>
        <v>758.4</v>
      </c>
      <c r="L208" s="59">
        <f t="shared" si="165"/>
        <v>758.4</v>
      </c>
      <c r="M208" s="87">
        <f t="shared" si="166"/>
        <v>12.64</v>
      </c>
      <c r="N208" s="67">
        <f t="shared" si="167"/>
        <v>75.84</v>
      </c>
      <c r="O208" s="59">
        <f t="shared" si="168"/>
        <v>139.03999999999996</v>
      </c>
      <c r="P208" s="67">
        <f t="shared" si="169"/>
        <v>1077.5599999999997</v>
      </c>
      <c r="Q208" s="68">
        <f t="shared" si="170"/>
        <v>12930.719999999998</v>
      </c>
      <c r="R208" s="68">
        <f t="shared" si="171"/>
        <v>3115.0104479999995</v>
      </c>
      <c r="S208" s="69">
        <f t="shared" si="172"/>
        <v>16045.730447999997</v>
      </c>
    </row>
    <row r="209" spans="2:19" s="27" customFormat="1" x14ac:dyDescent="0.2">
      <c r="B209" s="145" t="s">
        <v>53</v>
      </c>
      <c r="C209" s="47" t="s">
        <v>22</v>
      </c>
      <c r="D209" s="36" t="s">
        <v>45</v>
      </c>
      <c r="E209" s="36" t="s">
        <v>76</v>
      </c>
      <c r="F209" s="36" t="s">
        <v>79</v>
      </c>
      <c r="G209" s="37">
        <v>740</v>
      </c>
      <c r="H209" s="38">
        <v>525</v>
      </c>
      <c r="I209" s="38">
        <f>H209*0.1</f>
        <v>52.5</v>
      </c>
      <c r="J209" s="324">
        <v>1</v>
      </c>
      <c r="K209" s="97">
        <f t="shared" si="164"/>
        <v>630</v>
      </c>
      <c r="L209" s="59">
        <f t="shared" si="165"/>
        <v>630</v>
      </c>
      <c r="M209" s="87">
        <f t="shared" si="166"/>
        <v>10.5</v>
      </c>
      <c r="N209" s="67">
        <f t="shared" si="167"/>
        <v>63</v>
      </c>
      <c r="O209" s="59">
        <f t="shared" si="168"/>
        <v>115.5</v>
      </c>
      <c r="P209" s="67">
        <f t="shared" si="169"/>
        <v>115.5</v>
      </c>
      <c r="Q209" s="68">
        <f t="shared" si="170"/>
        <v>1386</v>
      </c>
      <c r="R209" s="68">
        <f t="shared" si="171"/>
        <v>333.88740000000001</v>
      </c>
      <c r="S209" s="69">
        <f t="shared" si="172"/>
        <v>1719.8874000000001</v>
      </c>
    </row>
    <row r="210" spans="2:19" s="27" customFormat="1" x14ac:dyDescent="0.2">
      <c r="B210" s="145" t="s">
        <v>68</v>
      </c>
      <c r="C210" s="47" t="s">
        <v>22</v>
      </c>
      <c r="D210" s="36" t="s">
        <v>14</v>
      </c>
      <c r="E210" s="36" t="s">
        <v>125</v>
      </c>
      <c r="F210" s="36" t="s">
        <v>75</v>
      </c>
      <c r="G210" s="37">
        <v>996</v>
      </c>
      <c r="H210" s="38">
        <v>714</v>
      </c>
      <c r="I210" s="38">
        <f t="shared" ref="I210:I214" si="173">H210*0.1</f>
        <v>71.400000000000006</v>
      </c>
      <c r="J210" s="324">
        <v>0.5</v>
      </c>
      <c r="K210" s="97">
        <f t="shared" si="164"/>
        <v>856.8</v>
      </c>
      <c r="L210" s="59">
        <f t="shared" si="165"/>
        <v>856.8</v>
      </c>
      <c r="M210" s="87">
        <f t="shared" si="166"/>
        <v>14.280000000000001</v>
      </c>
      <c r="N210" s="67">
        <f t="shared" si="167"/>
        <v>85.68</v>
      </c>
      <c r="O210" s="59">
        <f t="shared" si="168"/>
        <v>157.07999999999996</v>
      </c>
      <c r="P210" s="67">
        <f t="shared" si="169"/>
        <v>78.539999999999978</v>
      </c>
      <c r="Q210" s="68">
        <f t="shared" si="170"/>
        <v>942.47999999999979</v>
      </c>
      <c r="R210" s="68">
        <f t="shared" si="171"/>
        <v>227.04343199999994</v>
      </c>
      <c r="S210" s="69">
        <f t="shared" si="172"/>
        <v>1169.5234319999997</v>
      </c>
    </row>
    <row r="211" spans="2:19" s="27" customFormat="1" x14ac:dyDescent="0.2">
      <c r="B211" s="145" t="s">
        <v>25</v>
      </c>
      <c r="C211" s="47" t="s">
        <v>22</v>
      </c>
      <c r="D211" s="36" t="s">
        <v>14</v>
      </c>
      <c r="E211" s="36" t="s">
        <v>125</v>
      </c>
      <c r="F211" s="36" t="s">
        <v>75</v>
      </c>
      <c r="G211" s="37">
        <v>996</v>
      </c>
      <c r="H211" s="38">
        <v>714</v>
      </c>
      <c r="I211" s="38">
        <f t="shared" si="173"/>
        <v>71.400000000000006</v>
      </c>
      <c r="J211" s="324">
        <v>1</v>
      </c>
      <c r="K211" s="97">
        <f t="shared" si="164"/>
        <v>856.8</v>
      </c>
      <c r="L211" s="59">
        <f t="shared" si="165"/>
        <v>856.8</v>
      </c>
      <c r="M211" s="87">
        <f t="shared" si="166"/>
        <v>14.280000000000001</v>
      </c>
      <c r="N211" s="67">
        <f t="shared" si="167"/>
        <v>85.68</v>
      </c>
      <c r="O211" s="59">
        <f t="shared" si="168"/>
        <v>157.07999999999996</v>
      </c>
      <c r="P211" s="67">
        <f t="shared" si="169"/>
        <v>157.07999999999996</v>
      </c>
      <c r="Q211" s="68">
        <f t="shared" si="170"/>
        <v>1884.9599999999996</v>
      </c>
      <c r="R211" s="68">
        <f t="shared" si="171"/>
        <v>454.08686399999988</v>
      </c>
      <c r="S211" s="69">
        <f t="shared" si="172"/>
        <v>2339.0468639999995</v>
      </c>
    </row>
    <row r="212" spans="2:19" s="27" customFormat="1" ht="26.25" customHeight="1" x14ac:dyDescent="0.2">
      <c r="B212" s="145" t="s">
        <v>155</v>
      </c>
      <c r="C212" s="48" t="s">
        <v>156</v>
      </c>
      <c r="D212" s="13" t="s">
        <v>42</v>
      </c>
      <c r="E212" s="13" t="s">
        <v>78</v>
      </c>
      <c r="F212" s="13" t="s">
        <v>75</v>
      </c>
      <c r="G212" s="49">
        <v>1093</v>
      </c>
      <c r="H212" s="50">
        <v>922</v>
      </c>
      <c r="I212" s="50">
        <f t="shared" si="173"/>
        <v>92.2</v>
      </c>
      <c r="J212" s="327">
        <v>5</v>
      </c>
      <c r="K212" s="97">
        <f t="shared" si="164"/>
        <v>1106.3999999999999</v>
      </c>
      <c r="L212" s="59">
        <f t="shared" si="165"/>
        <v>1093</v>
      </c>
      <c r="M212" s="87">
        <f t="shared" si="166"/>
        <v>17.100000000000009</v>
      </c>
      <c r="N212" s="67">
        <f t="shared" si="167"/>
        <v>109.30000000000001</v>
      </c>
      <c r="O212" s="59">
        <f t="shared" si="168"/>
        <v>188.10000000000002</v>
      </c>
      <c r="P212" s="67">
        <f t="shared" si="169"/>
        <v>940.50000000000011</v>
      </c>
      <c r="Q212" s="68">
        <f t="shared" si="170"/>
        <v>11286.000000000002</v>
      </c>
      <c r="R212" s="68">
        <f t="shared" si="171"/>
        <v>2718.7974000000004</v>
      </c>
      <c r="S212" s="69">
        <f t="shared" si="172"/>
        <v>14004.797400000003</v>
      </c>
    </row>
    <row r="213" spans="2:19" s="27" customFormat="1" x14ac:dyDescent="0.2">
      <c r="B213" s="145" t="s">
        <v>62</v>
      </c>
      <c r="C213" s="47" t="s">
        <v>21</v>
      </c>
      <c r="D213" s="36" t="s">
        <v>63</v>
      </c>
      <c r="E213" s="36" t="s">
        <v>120</v>
      </c>
      <c r="F213" s="36" t="s">
        <v>75</v>
      </c>
      <c r="G213" s="37">
        <v>1190</v>
      </c>
      <c r="H213" s="38">
        <v>711</v>
      </c>
      <c r="I213" s="38">
        <f t="shared" si="173"/>
        <v>71.100000000000009</v>
      </c>
      <c r="J213" s="324">
        <v>0.5</v>
      </c>
      <c r="K213" s="97">
        <f t="shared" si="164"/>
        <v>853.19999999999993</v>
      </c>
      <c r="L213" s="59">
        <f t="shared" si="165"/>
        <v>853.19999999999993</v>
      </c>
      <c r="M213" s="87">
        <f t="shared" si="166"/>
        <v>14.219999999999985</v>
      </c>
      <c r="N213" s="67">
        <f t="shared" si="167"/>
        <v>85.32</v>
      </c>
      <c r="O213" s="59">
        <f t="shared" si="168"/>
        <v>156.4199999999999</v>
      </c>
      <c r="P213" s="67">
        <f t="shared" si="169"/>
        <v>78.209999999999951</v>
      </c>
      <c r="Q213" s="68">
        <f t="shared" si="170"/>
        <v>938.51999999999941</v>
      </c>
      <c r="R213" s="68">
        <f t="shared" si="171"/>
        <v>226.08946799999987</v>
      </c>
      <c r="S213" s="69">
        <f t="shared" si="172"/>
        <v>1164.6094679999992</v>
      </c>
    </row>
    <row r="214" spans="2:19" s="27" customFormat="1" x14ac:dyDescent="0.2">
      <c r="B214" s="145" t="s">
        <v>65</v>
      </c>
      <c r="C214" s="47" t="s">
        <v>21</v>
      </c>
      <c r="D214" s="36" t="s">
        <v>63</v>
      </c>
      <c r="E214" s="36" t="s">
        <v>120</v>
      </c>
      <c r="F214" s="36" t="s">
        <v>75</v>
      </c>
      <c r="G214" s="37">
        <v>1190</v>
      </c>
      <c r="H214" s="38">
        <v>903</v>
      </c>
      <c r="I214" s="38">
        <f t="shared" si="173"/>
        <v>90.300000000000011</v>
      </c>
      <c r="J214" s="324">
        <v>0.5</v>
      </c>
      <c r="K214" s="97">
        <f t="shared" si="164"/>
        <v>1083.5999999999999</v>
      </c>
      <c r="L214" s="59">
        <f t="shared" si="165"/>
        <v>1083.5999999999999</v>
      </c>
      <c r="M214" s="87">
        <f t="shared" si="166"/>
        <v>18.060000000000002</v>
      </c>
      <c r="N214" s="67">
        <f t="shared" si="167"/>
        <v>108.36000000000001</v>
      </c>
      <c r="O214" s="59">
        <f t="shared" si="168"/>
        <v>198.65999999999991</v>
      </c>
      <c r="P214" s="67">
        <f t="shared" si="169"/>
        <v>99.329999999999956</v>
      </c>
      <c r="Q214" s="68">
        <f t="shared" si="170"/>
        <v>1191.9599999999996</v>
      </c>
      <c r="R214" s="68">
        <f t="shared" si="171"/>
        <v>287.1431639999999</v>
      </c>
      <c r="S214" s="69">
        <f t="shared" si="172"/>
        <v>1479.1031639999994</v>
      </c>
    </row>
    <row r="215" spans="2:19" s="101" customFormat="1" x14ac:dyDescent="0.25">
      <c r="B215" s="119" t="s">
        <v>4</v>
      </c>
      <c r="C215" s="103"/>
      <c r="D215" s="103"/>
      <c r="E215" s="103"/>
      <c r="F215" s="103"/>
      <c r="G215" s="105"/>
      <c r="H215" s="106"/>
      <c r="I215" s="76"/>
      <c r="J215" s="123">
        <f>SUM(J207:J214)</f>
        <v>36.15</v>
      </c>
      <c r="K215" s="118"/>
      <c r="L215" s="76"/>
      <c r="M215" s="77"/>
      <c r="N215" s="78"/>
      <c r="O215" s="76"/>
      <c r="P215" s="78"/>
      <c r="Q215" s="79">
        <f t="shared" ref="Q215:S215" si="174">SUM(Q207:Q214)</f>
        <v>68071.343999999997</v>
      </c>
      <c r="R215" s="79">
        <f t="shared" si="174"/>
        <v>16398.386769599994</v>
      </c>
      <c r="S215" s="80">
        <f t="shared" si="174"/>
        <v>84469.730769599977</v>
      </c>
    </row>
    <row r="216" spans="2:19" ht="13.5" x14ac:dyDescent="0.25">
      <c r="B216" s="898" t="s">
        <v>203</v>
      </c>
      <c r="C216" s="899"/>
      <c r="D216" s="899"/>
      <c r="E216" s="899"/>
      <c r="F216" s="899"/>
      <c r="G216" s="44"/>
      <c r="H216" s="44"/>
      <c r="I216" s="44"/>
      <c r="J216" s="328">
        <f>J215+J205</f>
        <v>39.9</v>
      </c>
      <c r="K216" s="118"/>
      <c r="L216" s="76"/>
      <c r="M216" s="77"/>
      <c r="N216" s="78"/>
      <c r="O216" s="76"/>
      <c r="P216" s="78"/>
      <c r="Q216" s="79">
        <f>Q215+Q205</f>
        <v>78387.143999999986</v>
      </c>
      <c r="R216" s="79">
        <f t="shared" ref="R216" si="175">R215+R205</f>
        <v>18883.462989599993</v>
      </c>
      <c r="S216" s="80">
        <f>S215+S205</f>
        <v>97270.606989599968</v>
      </c>
    </row>
    <row r="217" spans="2:19" ht="13.5" x14ac:dyDescent="0.25">
      <c r="B217" s="840" t="s">
        <v>157</v>
      </c>
      <c r="C217" s="841"/>
      <c r="D217" s="841"/>
      <c r="E217" s="841"/>
      <c r="F217" s="841"/>
      <c r="G217" s="39"/>
      <c r="H217" s="39"/>
      <c r="I217" s="39"/>
      <c r="J217" s="265">
        <f>J121+J148+J167+J200+J216</f>
        <v>343.45</v>
      </c>
      <c r="K217" s="154"/>
      <c r="L217" s="39"/>
      <c r="M217" s="39"/>
      <c r="N217" s="39"/>
      <c r="O217" s="39"/>
      <c r="P217" s="39"/>
      <c r="Q217" s="143">
        <f t="shared" ref="Q217:S217" si="176">Q121+Q148+Q167+Q200+Q216</f>
        <v>716718.11279999989</v>
      </c>
      <c r="R217" s="143">
        <f t="shared" si="176"/>
        <v>172657.39337351997</v>
      </c>
      <c r="S217" s="155">
        <f t="shared" si="176"/>
        <v>889375.50617351988</v>
      </c>
    </row>
    <row r="218" spans="2:19" s="2" customFormat="1" ht="13.5" x14ac:dyDescent="0.2">
      <c r="B218" s="853" t="s">
        <v>158</v>
      </c>
      <c r="C218" s="854"/>
      <c r="D218" s="854"/>
      <c r="E218" s="854"/>
      <c r="F218" s="854"/>
      <c r="G218" s="854"/>
      <c r="H218" s="854"/>
      <c r="I218" s="854"/>
      <c r="J218" s="854"/>
      <c r="K218" s="854"/>
      <c r="L218" s="854"/>
      <c r="M218" s="854"/>
      <c r="N218" s="854"/>
      <c r="O218" s="854"/>
      <c r="P218" s="854"/>
      <c r="Q218" s="854"/>
      <c r="R218" s="854"/>
      <c r="S218" s="855"/>
    </row>
    <row r="219" spans="2:19" x14ac:dyDescent="0.2">
      <c r="B219" s="837" t="s">
        <v>20</v>
      </c>
      <c r="C219" s="838"/>
      <c r="D219" s="838"/>
      <c r="E219" s="838"/>
      <c r="F219" s="839"/>
      <c r="G219" s="33"/>
      <c r="H219" s="33"/>
      <c r="I219" s="40"/>
      <c r="J219" s="323"/>
      <c r="K219" s="153"/>
      <c r="L219" s="61"/>
      <c r="M219" s="61"/>
      <c r="N219" s="61"/>
      <c r="O219" s="61"/>
      <c r="P219" s="61"/>
      <c r="Q219" s="61"/>
      <c r="R219" s="61"/>
      <c r="S219" s="150"/>
    </row>
    <row r="220" spans="2:19" x14ac:dyDescent="0.2">
      <c r="B220" s="156" t="s">
        <v>159</v>
      </c>
      <c r="C220" s="53">
        <v>5.0999999999999996</v>
      </c>
      <c r="D220" s="53" t="s">
        <v>33</v>
      </c>
      <c r="E220" s="53">
        <v>9</v>
      </c>
      <c r="F220" s="54" t="s">
        <v>75</v>
      </c>
      <c r="G220" s="41">
        <v>1190</v>
      </c>
      <c r="H220" s="42">
        <v>1190</v>
      </c>
      <c r="I220" s="43">
        <v>10</v>
      </c>
      <c r="J220" s="258">
        <v>1</v>
      </c>
      <c r="K220" s="97">
        <f t="shared" ref="K220:K235" si="177">H220*1.2</f>
        <v>1428</v>
      </c>
      <c r="L220" s="59">
        <f t="shared" ref="L220:L235" si="178">IF(K220&lt;=G220,K220,G220)</f>
        <v>1190</v>
      </c>
      <c r="M220" s="87">
        <f t="shared" ref="M220:M235" si="179">N220-I220</f>
        <v>0</v>
      </c>
      <c r="N220" s="67">
        <f t="shared" ref="N220:N235" si="180">I220/H220*L220</f>
        <v>10</v>
      </c>
      <c r="O220" s="59">
        <f t="shared" ref="O220:O235" si="181">L220-H220+M220</f>
        <v>0</v>
      </c>
      <c r="P220" s="67">
        <f t="shared" ref="P220:P235" si="182">O220*J220</f>
        <v>0</v>
      </c>
      <c r="Q220" s="68">
        <f t="shared" ref="Q220:Q235" si="183">P220*12</f>
        <v>0</v>
      </c>
      <c r="R220" s="68">
        <f t="shared" ref="R220:R235" si="184">Q220*0.2409</f>
        <v>0</v>
      </c>
      <c r="S220" s="69">
        <f t="shared" ref="S220:S235" si="185">Q220+R220</f>
        <v>0</v>
      </c>
    </row>
    <row r="221" spans="2:19" x14ac:dyDescent="0.2">
      <c r="B221" s="156" t="s">
        <v>2</v>
      </c>
      <c r="C221" s="53">
        <v>5.0999999999999996</v>
      </c>
      <c r="D221" s="53" t="s">
        <v>14</v>
      </c>
      <c r="E221" s="53">
        <v>10</v>
      </c>
      <c r="F221" s="54" t="s">
        <v>75</v>
      </c>
      <c r="G221" s="41">
        <v>1287</v>
      </c>
      <c r="H221" s="42">
        <v>1150</v>
      </c>
      <c r="I221" s="43">
        <v>10</v>
      </c>
      <c r="J221" s="258">
        <v>1.8</v>
      </c>
      <c r="K221" s="97">
        <f t="shared" si="177"/>
        <v>1380</v>
      </c>
      <c r="L221" s="59">
        <f t="shared" si="178"/>
        <v>1287</v>
      </c>
      <c r="M221" s="87">
        <f t="shared" si="179"/>
        <v>1.1913043478260867</v>
      </c>
      <c r="N221" s="67">
        <f t="shared" si="180"/>
        <v>11.191304347826087</v>
      </c>
      <c r="O221" s="59">
        <f t="shared" si="181"/>
        <v>138.19130434782608</v>
      </c>
      <c r="P221" s="67">
        <f t="shared" si="182"/>
        <v>248.74434782608694</v>
      </c>
      <c r="Q221" s="68">
        <f t="shared" si="183"/>
        <v>2984.9321739130432</v>
      </c>
      <c r="R221" s="68">
        <f t="shared" si="184"/>
        <v>719.07016069565213</v>
      </c>
      <c r="S221" s="69">
        <f t="shared" si="185"/>
        <v>3704.0023346086955</v>
      </c>
    </row>
    <row r="222" spans="2:19" x14ac:dyDescent="0.2">
      <c r="B222" s="156" t="s">
        <v>160</v>
      </c>
      <c r="C222" s="53">
        <v>5.0999999999999996</v>
      </c>
      <c r="D222" s="13" t="s">
        <v>33</v>
      </c>
      <c r="E222" s="13">
        <v>9</v>
      </c>
      <c r="F222" s="54" t="s">
        <v>75</v>
      </c>
      <c r="G222" s="41">
        <v>1190</v>
      </c>
      <c r="H222" s="42">
        <v>1050</v>
      </c>
      <c r="I222" s="43">
        <v>10</v>
      </c>
      <c r="J222" s="258">
        <v>2.2000000000000002</v>
      </c>
      <c r="K222" s="97">
        <f t="shared" si="177"/>
        <v>1260</v>
      </c>
      <c r="L222" s="59">
        <f t="shared" si="178"/>
        <v>1190</v>
      </c>
      <c r="M222" s="87">
        <f t="shared" si="179"/>
        <v>1.3333333333333339</v>
      </c>
      <c r="N222" s="67">
        <f t="shared" si="180"/>
        <v>11.333333333333334</v>
      </c>
      <c r="O222" s="59">
        <f t="shared" si="181"/>
        <v>141.33333333333334</v>
      </c>
      <c r="P222" s="67">
        <f t="shared" si="182"/>
        <v>310.93333333333339</v>
      </c>
      <c r="Q222" s="68">
        <f t="shared" si="183"/>
        <v>3731.2000000000007</v>
      </c>
      <c r="R222" s="68">
        <f t="shared" si="184"/>
        <v>898.84608000000014</v>
      </c>
      <c r="S222" s="69">
        <f t="shared" si="185"/>
        <v>4630.046080000001</v>
      </c>
    </row>
    <row r="223" spans="2:19" x14ac:dyDescent="0.2">
      <c r="B223" s="157" t="s">
        <v>2</v>
      </c>
      <c r="C223" s="53">
        <v>5.0999999999999996</v>
      </c>
      <c r="D223" s="13" t="s">
        <v>33</v>
      </c>
      <c r="E223" s="13">
        <v>9</v>
      </c>
      <c r="F223" s="54" t="s">
        <v>79</v>
      </c>
      <c r="G223" s="41">
        <v>1015</v>
      </c>
      <c r="H223" s="42">
        <v>1015</v>
      </c>
      <c r="I223" s="43">
        <v>0</v>
      </c>
      <c r="J223" s="258">
        <v>0.5</v>
      </c>
      <c r="K223" s="97">
        <f t="shared" si="177"/>
        <v>1218</v>
      </c>
      <c r="L223" s="59">
        <f t="shared" si="178"/>
        <v>1015</v>
      </c>
      <c r="M223" s="87">
        <f t="shared" si="179"/>
        <v>0</v>
      </c>
      <c r="N223" s="67">
        <f t="shared" si="180"/>
        <v>0</v>
      </c>
      <c r="O223" s="59">
        <f t="shared" si="181"/>
        <v>0</v>
      </c>
      <c r="P223" s="67">
        <f t="shared" si="182"/>
        <v>0</v>
      </c>
      <c r="Q223" s="68">
        <f t="shared" si="183"/>
        <v>0</v>
      </c>
      <c r="R223" s="68">
        <f t="shared" si="184"/>
        <v>0</v>
      </c>
      <c r="S223" s="69">
        <f t="shared" si="185"/>
        <v>0</v>
      </c>
    </row>
    <row r="224" spans="2:19" x14ac:dyDescent="0.2">
      <c r="B224" s="88" t="s">
        <v>161</v>
      </c>
      <c r="C224" s="53">
        <v>5.0999999999999996</v>
      </c>
      <c r="D224" s="13" t="s">
        <v>14</v>
      </c>
      <c r="E224" s="13">
        <v>10</v>
      </c>
      <c r="F224" s="54" t="s">
        <v>75</v>
      </c>
      <c r="G224" s="41">
        <v>1287</v>
      </c>
      <c r="H224" s="42">
        <v>1000</v>
      </c>
      <c r="I224" s="43">
        <v>0</v>
      </c>
      <c r="J224" s="258">
        <v>0.25</v>
      </c>
      <c r="K224" s="97">
        <f t="shared" si="177"/>
        <v>1200</v>
      </c>
      <c r="L224" s="59">
        <f t="shared" si="178"/>
        <v>1200</v>
      </c>
      <c r="M224" s="87">
        <f t="shared" si="179"/>
        <v>0</v>
      </c>
      <c r="N224" s="67">
        <f t="shared" si="180"/>
        <v>0</v>
      </c>
      <c r="O224" s="59">
        <f t="shared" si="181"/>
        <v>200</v>
      </c>
      <c r="P224" s="67">
        <f t="shared" si="182"/>
        <v>50</v>
      </c>
      <c r="Q224" s="68">
        <f t="shared" si="183"/>
        <v>600</v>
      </c>
      <c r="R224" s="68">
        <f t="shared" si="184"/>
        <v>144.54</v>
      </c>
      <c r="S224" s="69">
        <f t="shared" si="185"/>
        <v>744.54</v>
      </c>
    </row>
    <row r="225" spans="2:19" x14ac:dyDescent="0.2">
      <c r="B225" s="156" t="s">
        <v>162</v>
      </c>
      <c r="C225" s="53">
        <v>5.0999999999999996</v>
      </c>
      <c r="D225" s="53" t="s">
        <v>14</v>
      </c>
      <c r="E225" s="53">
        <v>10</v>
      </c>
      <c r="F225" s="55" t="s">
        <v>75</v>
      </c>
      <c r="G225" s="41">
        <v>1287</v>
      </c>
      <c r="H225" s="42">
        <v>770</v>
      </c>
      <c r="I225" s="43">
        <v>220</v>
      </c>
      <c r="J225" s="258">
        <v>2.4</v>
      </c>
      <c r="K225" s="97">
        <f t="shared" si="177"/>
        <v>924</v>
      </c>
      <c r="L225" s="59">
        <f t="shared" si="178"/>
        <v>924</v>
      </c>
      <c r="M225" s="87">
        <f t="shared" si="179"/>
        <v>44</v>
      </c>
      <c r="N225" s="67">
        <f t="shared" si="180"/>
        <v>264</v>
      </c>
      <c r="O225" s="59">
        <f t="shared" si="181"/>
        <v>198</v>
      </c>
      <c r="P225" s="67">
        <f t="shared" si="182"/>
        <v>475.2</v>
      </c>
      <c r="Q225" s="68">
        <f t="shared" si="183"/>
        <v>5702.4</v>
      </c>
      <c r="R225" s="68">
        <f t="shared" si="184"/>
        <v>1373.7081599999999</v>
      </c>
      <c r="S225" s="69">
        <f t="shared" si="185"/>
        <v>7076.1081599999998</v>
      </c>
    </row>
    <row r="226" spans="2:19" x14ac:dyDescent="0.2">
      <c r="B226" s="156" t="s">
        <v>162</v>
      </c>
      <c r="C226" s="53">
        <v>5.0999999999999996</v>
      </c>
      <c r="D226" s="13" t="s">
        <v>33</v>
      </c>
      <c r="E226" s="13">
        <v>9</v>
      </c>
      <c r="F226" s="54" t="s">
        <v>75</v>
      </c>
      <c r="G226" s="41">
        <v>1190</v>
      </c>
      <c r="H226" s="42">
        <v>750</v>
      </c>
      <c r="I226" s="43">
        <v>210</v>
      </c>
      <c r="J226" s="258">
        <v>0.6</v>
      </c>
      <c r="K226" s="97">
        <f t="shared" si="177"/>
        <v>900</v>
      </c>
      <c r="L226" s="59">
        <f t="shared" si="178"/>
        <v>900</v>
      </c>
      <c r="M226" s="87">
        <f t="shared" si="179"/>
        <v>42.000000000000028</v>
      </c>
      <c r="N226" s="67">
        <f t="shared" si="180"/>
        <v>252.00000000000003</v>
      </c>
      <c r="O226" s="59">
        <f t="shared" si="181"/>
        <v>192.00000000000003</v>
      </c>
      <c r="P226" s="67">
        <f t="shared" si="182"/>
        <v>115.20000000000002</v>
      </c>
      <c r="Q226" s="68">
        <f t="shared" si="183"/>
        <v>1382.4</v>
      </c>
      <c r="R226" s="68">
        <f t="shared" si="184"/>
        <v>333.02016000000003</v>
      </c>
      <c r="S226" s="69">
        <f t="shared" si="185"/>
        <v>1715.4201600000001</v>
      </c>
    </row>
    <row r="227" spans="2:19" x14ac:dyDescent="0.2">
      <c r="B227" s="157" t="s">
        <v>96</v>
      </c>
      <c r="C227" s="13">
        <v>5.0999999999999996</v>
      </c>
      <c r="D227" s="13" t="s">
        <v>63</v>
      </c>
      <c r="E227" s="13">
        <v>9</v>
      </c>
      <c r="F227" s="54" t="s">
        <v>75</v>
      </c>
      <c r="G227" s="41">
        <v>1190</v>
      </c>
      <c r="H227" s="42">
        <v>1050</v>
      </c>
      <c r="I227" s="43">
        <v>0</v>
      </c>
      <c r="J227" s="258">
        <v>1</v>
      </c>
      <c r="K227" s="97">
        <f t="shared" si="177"/>
        <v>1260</v>
      </c>
      <c r="L227" s="59">
        <f t="shared" si="178"/>
        <v>1190</v>
      </c>
      <c r="M227" s="87">
        <f t="shared" si="179"/>
        <v>0</v>
      </c>
      <c r="N227" s="67">
        <f t="shared" si="180"/>
        <v>0</v>
      </c>
      <c r="O227" s="59">
        <f t="shared" si="181"/>
        <v>140</v>
      </c>
      <c r="P227" s="67">
        <f t="shared" si="182"/>
        <v>140</v>
      </c>
      <c r="Q227" s="68">
        <f t="shared" si="183"/>
        <v>1680</v>
      </c>
      <c r="R227" s="68">
        <f t="shared" si="184"/>
        <v>404.71199999999999</v>
      </c>
      <c r="S227" s="69">
        <f t="shared" si="185"/>
        <v>2084.712</v>
      </c>
    </row>
    <row r="228" spans="2:19" x14ac:dyDescent="0.2">
      <c r="B228" s="157" t="s">
        <v>65</v>
      </c>
      <c r="C228" s="53">
        <v>5.0999999999999996</v>
      </c>
      <c r="D228" s="53" t="s">
        <v>63</v>
      </c>
      <c r="E228" s="53">
        <v>9</v>
      </c>
      <c r="F228" s="54" t="s">
        <v>75</v>
      </c>
      <c r="G228" s="41">
        <v>1190</v>
      </c>
      <c r="H228" s="42">
        <v>950</v>
      </c>
      <c r="I228" s="43">
        <v>4</v>
      </c>
      <c r="J228" s="258">
        <v>4</v>
      </c>
      <c r="K228" s="97">
        <f t="shared" si="177"/>
        <v>1140</v>
      </c>
      <c r="L228" s="59">
        <f t="shared" si="178"/>
        <v>1140</v>
      </c>
      <c r="M228" s="87">
        <f t="shared" si="179"/>
        <v>0.79999999999999982</v>
      </c>
      <c r="N228" s="67">
        <f t="shared" si="180"/>
        <v>4.8</v>
      </c>
      <c r="O228" s="59">
        <f t="shared" si="181"/>
        <v>190.8</v>
      </c>
      <c r="P228" s="67">
        <f t="shared" si="182"/>
        <v>763.2</v>
      </c>
      <c r="Q228" s="68">
        <f t="shared" si="183"/>
        <v>9158.4000000000015</v>
      </c>
      <c r="R228" s="68">
        <f t="shared" si="184"/>
        <v>2206.2585600000002</v>
      </c>
      <c r="S228" s="69">
        <f t="shared" si="185"/>
        <v>11364.658560000002</v>
      </c>
    </row>
    <row r="229" spans="2:19" x14ac:dyDescent="0.2">
      <c r="B229" s="156" t="s">
        <v>98</v>
      </c>
      <c r="C229" s="53">
        <v>5.0999999999999996</v>
      </c>
      <c r="D229" s="53" t="s">
        <v>63</v>
      </c>
      <c r="E229" s="53">
        <v>9</v>
      </c>
      <c r="F229" s="54" t="s">
        <v>75</v>
      </c>
      <c r="G229" s="41">
        <v>1190</v>
      </c>
      <c r="H229" s="42">
        <v>850</v>
      </c>
      <c r="I229" s="43">
        <v>4</v>
      </c>
      <c r="J229" s="258">
        <v>4</v>
      </c>
      <c r="K229" s="97">
        <f t="shared" si="177"/>
        <v>1020</v>
      </c>
      <c r="L229" s="59">
        <f t="shared" si="178"/>
        <v>1020</v>
      </c>
      <c r="M229" s="87">
        <f t="shared" si="179"/>
        <v>0.79999999999999982</v>
      </c>
      <c r="N229" s="67">
        <f t="shared" si="180"/>
        <v>4.8</v>
      </c>
      <c r="O229" s="59">
        <f t="shared" si="181"/>
        <v>170.8</v>
      </c>
      <c r="P229" s="67">
        <f t="shared" si="182"/>
        <v>683.2</v>
      </c>
      <c r="Q229" s="68">
        <f t="shared" si="183"/>
        <v>8198.4000000000015</v>
      </c>
      <c r="R229" s="68">
        <f t="shared" si="184"/>
        <v>1974.9945600000003</v>
      </c>
      <c r="S229" s="69">
        <f t="shared" si="185"/>
        <v>10173.394560000002</v>
      </c>
    </row>
    <row r="230" spans="2:19" x14ac:dyDescent="0.2">
      <c r="B230" s="156" t="s">
        <v>98</v>
      </c>
      <c r="C230" s="53">
        <v>5.0999999999999996</v>
      </c>
      <c r="D230" s="53" t="s">
        <v>63</v>
      </c>
      <c r="E230" s="53">
        <v>9</v>
      </c>
      <c r="F230" s="54" t="s">
        <v>75</v>
      </c>
      <c r="G230" s="41">
        <v>1190</v>
      </c>
      <c r="H230" s="42">
        <v>850</v>
      </c>
      <c r="I230" s="43">
        <v>0</v>
      </c>
      <c r="J230" s="258">
        <v>1</v>
      </c>
      <c r="K230" s="97">
        <f t="shared" si="177"/>
        <v>1020</v>
      </c>
      <c r="L230" s="59">
        <f t="shared" si="178"/>
        <v>1020</v>
      </c>
      <c r="M230" s="87">
        <f t="shared" si="179"/>
        <v>0</v>
      </c>
      <c r="N230" s="67">
        <f t="shared" si="180"/>
        <v>0</v>
      </c>
      <c r="O230" s="59">
        <f t="shared" si="181"/>
        <v>170</v>
      </c>
      <c r="P230" s="67">
        <f t="shared" si="182"/>
        <v>170</v>
      </c>
      <c r="Q230" s="68">
        <f t="shared" si="183"/>
        <v>2040</v>
      </c>
      <c r="R230" s="68">
        <f t="shared" si="184"/>
        <v>491.43599999999998</v>
      </c>
      <c r="S230" s="69">
        <f t="shared" si="185"/>
        <v>2531.4360000000001</v>
      </c>
    </row>
    <row r="231" spans="2:19" x14ac:dyDescent="0.2">
      <c r="B231" s="156" t="s">
        <v>93</v>
      </c>
      <c r="C231" s="53">
        <v>5.0999999999999996</v>
      </c>
      <c r="D231" s="13" t="s">
        <v>63</v>
      </c>
      <c r="E231" s="13">
        <v>9</v>
      </c>
      <c r="F231" s="54" t="s">
        <v>75</v>
      </c>
      <c r="G231" s="41">
        <v>1190</v>
      </c>
      <c r="H231" s="42">
        <v>1050</v>
      </c>
      <c r="I231" s="43">
        <v>0</v>
      </c>
      <c r="J231" s="258">
        <v>1</v>
      </c>
      <c r="K231" s="97">
        <f t="shared" si="177"/>
        <v>1260</v>
      </c>
      <c r="L231" s="59">
        <f t="shared" si="178"/>
        <v>1190</v>
      </c>
      <c r="M231" s="87">
        <f t="shared" si="179"/>
        <v>0</v>
      </c>
      <c r="N231" s="67">
        <f t="shared" si="180"/>
        <v>0</v>
      </c>
      <c r="O231" s="59">
        <f t="shared" si="181"/>
        <v>140</v>
      </c>
      <c r="P231" s="67">
        <f t="shared" si="182"/>
        <v>140</v>
      </c>
      <c r="Q231" s="68">
        <f t="shared" si="183"/>
        <v>1680</v>
      </c>
      <c r="R231" s="68">
        <f t="shared" si="184"/>
        <v>404.71199999999999</v>
      </c>
      <c r="S231" s="69">
        <f t="shared" si="185"/>
        <v>2084.712</v>
      </c>
    </row>
    <row r="232" spans="2:19" x14ac:dyDescent="0.2">
      <c r="B232" s="156" t="s">
        <v>62</v>
      </c>
      <c r="C232" s="53">
        <v>5.0999999999999996</v>
      </c>
      <c r="D232" s="13" t="s">
        <v>63</v>
      </c>
      <c r="E232" s="13">
        <v>9</v>
      </c>
      <c r="F232" s="54" t="s">
        <v>75</v>
      </c>
      <c r="G232" s="41">
        <v>1190</v>
      </c>
      <c r="H232" s="42">
        <v>950</v>
      </c>
      <c r="I232" s="43">
        <v>0</v>
      </c>
      <c r="J232" s="258">
        <v>2</v>
      </c>
      <c r="K232" s="97">
        <f t="shared" si="177"/>
        <v>1140</v>
      </c>
      <c r="L232" s="59">
        <f t="shared" si="178"/>
        <v>1140</v>
      </c>
      <c r="M232" s="87">
        <f t="shared" si="179"/>
        <v>0</v>
      </c>
      <c r="N232" s="67">
        <f t="shared" si="180"/>
        <v>0</v>
      </c>
      <c r="O232" s="59">
        <f t="shared" si="181"/>
        <v>190</v>
      </c>
      <c r="P232" s="67">
        <f t="shared" si="182"/>
        <v>380</v>
      </c>
      <c r="Q232" s="68">
        <f t="shared" si="183"/>
        <v>4560</v>
      </c>
      <c r="R232" s="68">
        <f t="shared" si="184"/>
        <v>1098.5039999999999</v>
      </c>
      <c r="S232" s="69">
        <f t="shared" si="185"/>
        <v>5658.5039999999999</v>
      </c>
    </row>
    <row r="233" spans="2:19" x14ac:dyDescent="0.2">
      <c r="B233" s="88" t="s">
        <v>95</v>
      </c>
      <c r="C233" s="13">
        <v>5.0999999999999996</v>
      </c>
      <c r="D233" s="13" t="s">
        <v>63</v>
      </c>
      <c r="E233" s="13">
        <v>9</v>
      </c>
      <c r="F233" s="54" t="s">
        <v>75</v>
      </c>
      <c r="G233" s="41">
        <v>1190</v>
      </c>
      <c r="H233" s="42">
        <v>850</v>
      </c>
      <c r="I233" s="43">
        <v>0</v>
      </c>
      <c r="J233" s="258">
        <v>1</v>
      </c>
      <c r="K233" s="97">
        <f t="shared" si="177"/>
        <v>1020</v>
      </c>
      <c r="L233" s="59">
        <f t="shared" si="178"/>
        <v>1020</v>
      </c>
      <c r="M233" s="87">
        <f t="shared" si="179"/>
        <v>0</v>
      </c>
      <c r="N233" s="67">
        <f t="shared" si="180"/>
        <v>0</v>
      </c>
      <c r="O233" s="59">
        <f t="shared" si="181"/>
        <v>170</v>
      </c>
      <c r="P233" s="67">
        <f t="shared" si="182"/>
        <v>170</v>
      </c>
      <c r="Q233" s="68">
        <f t="shared" si="183"/>
        <v>2040</v>
      </c>
      <c r="R233" s="68">
        <f t="shared" si="184"/>
        <v>491.43599999999998</v>
      </c>
      <c r="S233" s="69">
        <f t="shared" si="185"/>
        <v>2531.4360000000001</v>
      </c>
    </row>
    <row r="234" spans="2:19" x14ac:dyDescent="0.2">
      <c r="B234" s="88" t="s">
        <v>36</v>
      </c>
      <c r="C234" s="13">
        <v>23</v>
      </c>
      <c r="D234" s="13" t="s">
        <v>49</v>
      </c>
      <c r="E234" s="13">
        <v>10</v>
      </c>
      <c r="F234" s="54" t="s">
        <v>75</v>
      </c>
      <c r="G234" s="41">
        <v>1287</v>
      </c>
      <c r="H234" s="42">
        <v>1287</v>
      </c>
      <c r="I234" s="43">
        <v>0</v>
      </c>
      <c r="J234" s="258">
        <v>1</v>
      </c>
      <c r="K234" s="97">
        <f t="shared" si="177"/>
        <v>1544.3999999999999</v>
      </c>
      <c r="L234" s="59">
        <f t="shared" si="178"/>
        <v>1287</v>
      </c>
      <c r="M234" s="87">
        <f t="shared" si="179"/>
        <v>0</v>
      </c>
      <c r="N234" s="67">
        <f t="shared" si="180"/>
        <v>0</v>
      </c>
      <c r="O234" s="59">
        <f t="shared" si="181"/>
        <v>0</v>
      </c>
      <c r="P234" s="67">
        <f t="shared" si="182"/>
        <v>0</v>
      </c>
      <c r="Q234" s="68">
        <f t="shared" si="183"/>
        <v>0</v>
      </c>
      <c r="R234" s="68">
        <f t="shared" si="184"/>
        <v>0</v>
      </c>
      <c r="S234" s="69">
        <f t="shared" si="185"/>
        <v>0</v>
      </c>
    </row>
    <row r="235" spans="2:19" x14ac:dyDescent="0.2">
      <c r="B235" s="156" t="s">
        <v>163</v>
      </c>
      <c r="C235" s="13">
        <v>23</v>
      </c>
      <c r="D235" s="13" t="s">
        <v>164</v>
      </c>
      <c r="E235" s="13">
        <v>9</v>
      </c>
      <c r="F235" s="54" t="s">
        <v>75</v>
      </c>
      <c r="G235" s="41">
        <v>1190</v>
      </c>
      <c r="H235" s="42">
        <v>1150</v>
      </c>
      <c r="I235" s="43">
        <v>0</v>
      </c>
      <c r="J235" s="258">
        <v>1</v>
      </c>
      <c r="K235" s="97">
        <f t="shared" si="177"/>
        <v>1380</v>
      </c>
      <c r="L235" s="59">
        <f t="shared" si="178"/>
        <v>1190</v>
      </c>
      <c r="M235" s="87">
        <f t="shared" si="179"/>
        <v>0</v>
      </c>
      <c r="N235" s="67">
        <f t="shared" si="180"/>
        <v>0</v>
      </c>
      <c r="O235" s="59">
        <f t="shared" si="181"/>
        <v>40</v>
      </c>
      <c r="P235" s="67">
        <f t="shared" si="182"/>
        <v>40</v>
      </c>
      <c r="Q235" s="68">
        <f t="shared" si="183"/>
        <v>480</v>
      </c>
      <c r="R235" s="68">
        <f t="shared" si="184"/>
        <v>115.63200000000001</v>
      </c>
      <c r="S235" s="69">
        <f t="shared" si="185"/>
        <v>595.63200000000006</v>
      </c>
    </row>
    <row r="236" spans="2:19" s="101" customFormat="1" x14ac:dyDescent="0.25">
      <c r="B236" s="119" t="s">
        <v>4</v>
      </c>
      <c r="C236" s="103"/>
      <c r="D236" s="103"/>
      <c r="E236" s="103"/>
      <c r="F236" s="103"/>
      <c r="G236" s="105"/>
      <c r="H236" s="106"/>
      <c r="I236" s="76"/>
      <c r="J236" s="123">
        <f>SUM(J220:J235)</f>
        <v>24.75</v>
      </c>
      <c r="K236" s="118"/>
      <c r="L236" s="76"/>
      <c r="M236" s="77"/>
      <c r="N236" s="78"/>
      <c r="O236" s="76"/>
      <c r="P236" s="78"/>
      <c r="Q236" s="79">
        <f t="shared" ref="Q236:S236" si="186">SUM(Q220:Q235)</f>
        <v>44237.732173913042</v>
      </c>
      <c r="R236" s="79">
        <f t="shared" si="186"/>
        <v>10656.86968069565</v>
      </c>
      <c r="S236" s="80">
        <f t="shared" si="186"/>
        <v>54894.6018546087</v>
      </c>
    </row>
    <row r="237" spans="2:19" x14ac:dyDescent="0.2">
      <c r="B237" s="892" t="s">
        <v>10</v>
      </c>
      <c r="C237" s="893"/>
      <c r="D237" s="893"/>
      <c r="E237" s="893"/>
      <c r="F237" s="894"/>
      <c r="G237" s="11"/>
      <c r="H237" s="45"/>
      <c r="I237" s="45"/>
      <c r="J237" s="326"/>
      <c r="K237" s="152"/>
      <c r="L237" s="63"/>
      <c r="M237" s="63"/>
      <c r="N237" s="63"/>
      <c r="O237" s="63"/>
      <c r="P237" s="63"/>
      <c r="Q237" s="63"/>
      <c r="R237" s="63"/>
      <c r="S237" s="151"/>
    </row>
    <row r="238" spans="2:19" x14ac:dyDescent="0.2">
      <c r="B238" s="158" t="s">
        <v>32</v>
      </c>
      <c r="C238" s="13" t="s">
        <v>13</v>
      </c>
      <c r="D238" s="13" t="s">
        <v>15</v>
      </c>
      <c r="E238" s="13">
        <v>8</v>
      </c>
      <c r="F238" s="54" t="s">
        <v>75</v>
      </c>
      <c r="G238" s="41">
        <v>1093</v>
      </c>
      <c r="H238" s="42">
        <v>800</v>
      </c>
      <c r="I238" s="43">
        <v>0</v>
      </c>
      <c r="J238" s="258">
        <v>1</v>
      </c>
      <c r="K238" s="97">
        <f t="shared" ref="K238:K246" si="187">H238*1.2</f>
        <v>960</v>
      </c>
      <c r="L238" s="59">
        <f t="shared" ref="L238:L246" si="188">IF(K238&lt;=G238,K238,G238)</f>
        <v>960</v>
      </c>
      <c r="M238" s="87">
        <f t="shared" ref="M238:M246" si="189">N238-I238</f>
        <v>0</v>
      </c>
      <c r="N238" s="67">
        <f t="shared" ref="N238:N246" si="190">I238/H238*L238</f>
        <v>0</v>
      </c>
      <c r="O238" s="59">
        <f t="shared" ref="O238:O246" si="191">L238-H238+M238</f>
        <v>160</v>
      </c>
      <c r="P238" s="67">
        <f t="shared" ref="P238:P246" si="192">O238*J238</f>
        <v>160</v>
      </c>
      <c r="Q238" s="68">
        <f t="shared" ref="Q238:Q246" si="193">P238*12</f>
        <v>1920</v>
      </c>
      <c r="R238" s="68">
        <f t="shared" ref="R238:R246" si="194">Q238*0.2409</f>
        <v>462.52800000000002</v>
      </c>
      <c r="S238" s="69">
        <f t="shared" ref="S238:S246" si="195">Q238+R238</f>
        <v>2382.5280000000002</v>
      </c>
    </row>
    <row r="239" spans="2:19" x14ac:dyDescent="0.2">
      <c r="B239" s="158" t="s">
        <v>32</v>
      </c>
      <c r="C239" s="13" t="s">
        <v>13</v>
      </c>
      <c r="D239" s="13" t="s">
        <v>15</v>
      </c>
      <c r="E239" s="13">
        <v>8</v>
      </c>
      <c r="F239" s="54" t="s">
        <v>75</v>
      </c>
      <c r="G239" s="41">
        <v>1093</v>
      </c>
      <c r="H239" s="42">
        <v>850</v>
      </c>
      <c r="I239" s="43">
        <v>0</v>
      </c>
      <c r="J239" s="258">
        <v>1</v>
      </c>
      <c r="K239" s="97">
        <f t="shared" si="187"/>
        <v>1020</v>
      </c>
      <c r="L239" s="59">
        <f t="shared" si="188"/>
        <v>1020</v>
      </c>
      <c r="M239" s="87">
        <f t="shared" si="189"/>
        <v>0</v>
      </c>
      <c r="N239" s="67">
        <f t="shared" si="190"/>
        <v>0</v>
      </c>
      <c r="O239" s="59">
        <f t="shared" si="191"/>
        <v>170</v>
      </c>
      <c r="P239" s="67">
        <f t="shared" si="192"/>
        <v>170</v>
      </c>
      <c r="Q239" s="68">
        <f t="shared" si="193"/>
        <v>2040</v>
      </c>
      <c r="R239" s="68">
        <f t="shared" si="194"/>
        <v>491.43599999999998</v>
      </c>
      <c r="S239" s="69">
        <f t="shared" si="195"/>
        <v>2531.4360000000001</v>
      </c>
    </row>
    <row r="240" spans="2:19" x14ac:dyDescent="0.2">
      <c r="B240" s="159" t="s">
        <v>59</v>
      </c>
      <c r="C240" s="13" t="s">
        <v>44</v>
      </c>
      <c r="D240" s="13" t="s">
        <v>49</v>
      </c>
      <c r="E240" s="13">
        <v>8</v>
      </c>
      <c r="F240" s="54" t="s">
        <v>75</v>
      </c>
      <c r="G240" s="41">
        <v>1093</v>
      </c>
      <c r="H240" s="42">
        <v>1050</v>
      </c>
      <c r="I240" s="43">
        <v>0</v>
      </c>
      <c r="J240" s="258">
        <v>1</v>
      </c>
      <c r="K240" s="97">
        <f t="shared" si="187"/>
        <v>1260</v>
      </c>
      <c r="L240" s="59">
        <f t="shared" si="188"/>
        <v>1093</v>
      </c>
      <c r="M240" s="87">
        <f t="shared" si="189"/>
        <v>0</v>
      </c>
      <c r="N240" s="67">
        <f t="shared" si="190"/>
        <v>0</v>
      </c>
      <c r="O240" s="59">
        <f t="shared" si="191"/>
        <v>43</v>
      </c>
      <c r="P240" s="67">
        <f t="shared" si="192"/>
        <v>43</v>
      </c>
      <c r="Q240" s="68">
        <f t="shared" si="193"/>
        <v>516</v>
      </c>
      <c r="R240" s="68">
        <f t="shared" si="194"/>
        <v>124.3044</v>
      </c>
      <c r="S240" s="69">
        <f t="shared" si="195"/>
        <v>640.30439999999999</v>
      </c>
    </row>
    <row r="241" spans="2:19" x14ac:dyDescent="0.2">
      <c r="B241" s="159" t="s">
        <v>165</v>
      </c>
      <c r="C241" s="13" t="s">
        <v>44</v>
      </c>
      <c r="D241" s="13" t="s">
        <v>14</v>
      </c>
      <c r="E241" s="13">
        <v>7</v>
      </c>
      <c r="F241" s="54" t="s">
        <v>75</v>
      </c>
      <c r="G241" s="41">
        <v>996</v>
      </c>
      <c r="H241" s="42">
        <v>750</v>
      </c>
      <c r="I241" s="43">
        <v>130</v>
      </c>
      <c r="J241" s="258">
        <v>5</v>
      </c>
      <c r="K241" s="97">
        <f t="shared" si="187"/>
        <v>900</v>
      </c>
      <c r="L241" s="59">
        <f t="shared" si="188"/>
        <v>900</v>
      </c>
      <c r="M241" s="87">
        <f t="shared" si="189"/>
        <v>26</v>
      </c>
      <c r="N241" s="67">
        <f t="shared" si="190"/>
        <v>156</v>
      </c>
      <c r="O241" s="59">
        <f t="shared" si="191"/>
        <v>176</v>
      </c>
      <c r="P241" s="67">
        <f t="shared" si="192"/>
        <v>880</v>
      </c>
      <c r="Q241" s="68">
        <f t="shared" si="193"/>
        <v>10560</v>
      </c>
      <c r="R241" s="68">
        <f t="shared" si="194"/>
        <v>2543.904</v>
      </c>
      <c r="S241" s="69">
        <f t="shared" si="195"/>
        <v>13103.904</v>
      </c>
    </row>
    <row r="242" spans="2:19" x14ac:dyDescent="0.2">
      <c r="B242" s="160" t="s">
        <v>25</v>
      </c>
      <c r="C242" s="13" t="s">
        <v>44</v>
      </c>
      <c r="D242" s="13" t="s">
        <v>14</v>
      </c>
      <c r="E242" s="13">
        <v>7</v>
      </c>
      <c r="F242" s="54" t="s">
        <v>75</v>
      </c>
      <c r="G242" s="41">
        <v>996</v>
      </c>
      <c r="H242" s="42">
        <v>850</v>
      </c>
      <c r="I242" s="43">
        <v>7</v>
      </c>
      <c r="J242" s="258">
        <v>9</v>
      </c>
      <c r="K242" s="97">
        <f t="shared" si="187"/>
        <v>1020</v>
      </c>
      <c r="L242" s="59">
        <f t="shared" si="188"/>
        <v>996</v>
      </c>
      <c r="M242" s="87">
        <f t="shared" si="189"/>
        <v>1.2023529411764713</v>
      </c>
      <c r="N242" s="67">
        <f t="shared" si="190"/>
        <v>8.2023529411764713</v>
      </c>
      <c r="O242" s="59">
        <f t="shared" si="191"/>
        <v>147.20235294117646</v>
      </c>
      <c r="P242" s="67">
        <f t="shared" si="192"/>
        <v>1324.8211764705882</v>
      </c>
      <c r="Q242" s="68">
        <f t="shared" si="193"/>
        <v>15897.854117647057</v>
      </c>
      <c r="R242" s="68">
        <f t="shared" si="194"/>
        <v>3829.793056941176</v>
      </c>
      <c r="S242" s="69">
        <f t="shared" si="195"/>
        <v>19727.647174588234</v>
      </c>
    </row>
    <row r="243" spans="2:19" x14ac:dyDescent="0.2">
      <c r="B243" s="88" t="s">
        <v>68</v>
      </c>
      <c r="C243" s="13" t="s">
        <v>44</v>
      </c>
      <c r="D243" s="13" t="s">
        <v>45</v>
      </c>
      <c r="E243" s="13">
        <v>6</v>
      </c>
      <c r="F243" s="54" t="s">
        <v>75</v>
      </c>
      <c r="G243" s="41">
        <v>899</v>
      </c>
      <c r="H243" s="42">
        <v>750</v>
      </c>
      <c r="I243" s="43">
        <v>6</v>
      </c>
      <c r="J243" s="258">
        <v>5</v>
      </c>
      <c r="K243" s="97">
        <f t="shared" si="187"/>
        <v>900</v>
      </c>
      <c r="L243" s="59">
        <f t="shared" si="188"/>
        <v>899</v>
      </c>
      <c r="M243" s="87">
        <f t="shared" si="189"/>
        <v>1.1920000000000002</v>
      </c>
      <c r="N243" s="67">
        <f t="shared" si="190"/>
        <v>7.1920000000000002</v>
      </c>
      <c r="O243" s="59">
        <f t="shared" si="191"/>
        <v>150.19200000000001</v>
      </c>
      <c r="P243" s="67">
        <f t="shared" si="192"/>
        <v>750.96</v>
      </c>
      <c r="Q243" s="68">
        <f t="shared" si="193"/>
        <v>9011.52</v>
      </c>
      <c r="R243" s="68">
        <f t="shared" si="194"/>
        <v>2170.875168</v>
      </c>
      <c r="S243" s="69">
        <f t="shared" si="195"/>
        <v>11182.395168000001</v>
      </c>
    </row>
    <row r="244" spans="2:19" x14ac:dyDescent="0.2">
      <c r="B244" s="156" t="s">
        <v>166</v>
      </c>
      <c r="C244" s="53" t="s">
        <v>13</v>
      </c>
      <c r="D244" s="53" t="s">
        <v>63</v>
      </c>
      <c r="E244" s="53">
        <v>9</v>
      </c>
      <c r="F244" s="54" t="s">
        <v>75</v>
      </c>
      <c r="G244" s="41">
        <v>1190</v>
      </c>
      <c r="H244" s="42">
        <v>850</v>
      </c>
      <c r="I244" s="43">
        <v>20</v>
      </c>
      <c r="J244" s="258">
        <v>2</v>
      </c>
      <c r="K244" s="97">
        <f t="shared" si="187"/>
        <v>1020</v>
      </c>
      <c r="L244" s="59">
        <f t="shared" si="188"/>
        <v>1020</v>
      </c>
      <c r="M244" s="87">
        <f t="shared" si="189"/>
        <v>4</v>
      </c>
      <c r="N244" s="67">
        <f t="shared" si="190"/>
        <v>24</v>
      </c>
      <c r="O244" s="59">
        <f t="shared" si="191"/>
        <v>174</v>
      </c>
      <c r="P244" s="67">
        <f t="shared" si="192"/>
        <v>348</v>
      </c>
      <c r="Q244" s="68">
        <f t="shared" si="193"/>
        <v>4176</v>
      </c>
      <c r="R244" s="68">
        <f t="shared" si="194"/>
        <v>1005.9984000000001</v>
      </c>
      <c r="S244" s="69">
        <f t="shared" si="195"/>
        <v>5181.9984000000004</v>
      </c>
    </row>
    <row r="245" spans="2:19" x14ac:dyDescent="0.2">
      <c r="B245" s="88" t="s">
        <v>130</v>
      </c>
      <c r="C245" s="13" t="s">
        <v>44</v>
      </c>
      <c r="D245" s="13" t="s">
        <v>14</v>
      </c>
      <c r="E245" s="13">
        <v>7</v>
      </c>
      <c r="F245" s="54" t="s">
        <v>75</v>
      </c>
      <c r="G245" s="41">
        <v>996</v>
      </c>
      <c r="H245" s="42">
        <v>850</v>
      </c>
      <c r="I245" s="43">
        <v>4</v>
      </c>
      <c r="J245" s="258">
        <v>7</v>
      </c>
      <c r="K245" s="97">
        <f t="shared" si="187"/>
        <v>1020</v>
      </c>
      <c r="L245" s="59">
        <f t="shared" si="188"/>
        <v>996</v>
      </c>
      <c r="M245" s="87">
        <f t="shared" si="189"/>
        <v>0.68705882352941128</v>
      </c>
      <c r="N245" s="67">
        <f t="shared" si="190"/>
        <v>4.6870588235294113</v>
      </c>
      <c r="O245" s="59">
        <f t="shared" si="191"/>
        <v>146.68705882352941</v>
      </c>
      <c r="P245" s="67">
        <f t="shared" si="192"/>
        <v>1026.8094117647058</v>
      </c>
      <c r="Q245" s="68">
        <f t="shared" si="193"/>
        <v>12321.712941176469</v>
      </c>
      <c r="R245" s="68">
        <f t="shared" si="194"/>
        <v>2968.3006475294114</v>
      </c>
      <c r="S245" s="69">
        <f t="shared" si="195"/>
        <v>15290.01358870588</v>
      </c>
    </row>
    <row r="246" spans="2:19" x14ac:dyDescent="0.2">
      <c r="B246" s="160" t="s">
        <v>167</v>
      </c>
      <c r="C246" s="13" t="s">
        <v>44</v>
      </c>
      <c r="D246" s="13" t="s">
        <v>45</v>
      </c>
      <c r="E246" s="13">
        <v>6</v>
      </c>
      <c r="F246" s="54" t="s">
        <v>75</v>
      </c>
      <c r="G246" s="41">
        <v>899</v>
      </c>
      <c r="H246" s="42">
        <v>750</v>
      </c>
      <c r="I246" s="43">
        <v>3</v>
      </c>
      <c r="J246" s="258">
        <v>1</v>
      </c>
      <c r="K246" s="97">
        <f t="shared" si="187"/>
        <v>900</v>
      </c>
      <c r="L246" s="59">
        <f t="shared" si="188"/>
        <v>899</v>
      </c>
      <c r="M246" s="87">
        <f t="shared" si="189"/>
        <v>0.59600000000000009</v>
      </c>
      <c r="N246" s="67">
        <f t="shared" si="190"/>
        <v>3.5960000000000001</v>
      </c>
      <c r="O246" s="59">
        <f t="shared" si="191"/>
        <v>149.596</v>
      </c>
      <c r="P246" s="67">
        <f t="shared" si="192"/>
        <v>149.596</v>
      </c>
      <c r="Q246" s="68">
        <f t="shared" si="193"/>
        <v>1795.152</v>
      </c>
      <c r="R246" s="68">
        <f t="shared" si="194"/>
        <v>432.4521168</v>
      </c>
      <c r="S246" s="69">
        <f t="shared" si="195"/>
        <v>2227.6041168000002</v>
      </c>
    </row>
    <row r="247" spans="2:19" s="101" customFormat="1" x14ac:dyDescent="0.25">
      <c r="B247" s="119" t="s">
        <v>4</v>
      </c>
      <c r="C247" s="103"/>
      <c r="D247" s="103"/>
      <c r="E247" s="103"/>
      <c r="F247" s="103"/>
      <c r="G247" s="105"/>
      <c r="H247" s="106"/>
      <c r="I247" s="76"/>
      <c r="J247" s="123">
        <f>SUM(J238:J246)</f>
        <v>32</v>
      </c>
      <c r="K247" s="118"/>
      <c r="L247" s="76"/>
      <c r="M247" s="77"/>
      <c r="N247" s="78"/>
      <c r="O247" s="76"/>
      <c r="P247" s="78"/>
      <c r="Q247" s="79">
        <f t="shared" ref="Q247:S247" si="196">SUM(Q238:Q246)</f>
        <v>58238.239058823528</v>
      </c>
      <c r="R247" s="79">
        <f t="shared" si="196"/>
        <v>14029.591789270587</v>
      </c>
      <c r="S247" s="80">
        <f t="shared" si="196"/>
        <v>72267.83084809412</v>
      </c>
    </row>
    <row r="248" spans="2:19" x14ac:dyDescent="0.2">
      <c r="B248" s="892" t="s">
        <v>11</v>
      </c>
      <c r="C248" s="893"/>
      <c r="D248" s="893"/>
      <c r="E248" s="893"/>
      <c r="F248" s="894"/>
      <c r="G248" s="11"/>
      <c r="H248" s="45"/>
      <c r="I248" s="45"/>
      <c r="J248" s="326"/>
      <c r="K248" s="152"/>
      <c r="L248" s="63"/>
      <c r="M248" s="63"/>
      <c r="N248" s="63"/>
      <c r="O248" s="63"/>
      <c r="P248" s="63"/>
      <c r="Q248" s="63"/>
      <c r="R248" s="63"/>
      <c r="S248" s="151"/>
    </row>
    <row r="249" spans="2:19" x14ac:dyDescent="0.2">
      <c r="B249" s="156" t="s">
        <v>168</v>
      </c>
      <c r="C249" s="13">
        <v>39</v>
      </c>
      <c r="D249" s="53" t="s">
        <v>33</v>
      </c>
      <c r="E249" s="53">
        <v>4</v>
      </c>
      <c r="F249" s="55" t="s">
        <v>75</v>
      </c>
      <c r="G249" s="56">
        <v>705</v>
      </c>
      <c r="H249" s="43">
        <v>600</v>
      </c>
      <c r="I249" s="43">
        <v>90</v>
      </c>
      <c r="J249" s="258">
        <v>6</v>
      </c>
      <c r="K249" s="97">
        <f t="shared" ref="K249:K253" si="197">H249*1.2</f>
        <v>720</v>
      </c>
      <c r="L249" s="59">
        <f t="shared" ref="L249:L253" si="198">IF(K249&lt;=G249,K249,G249)</f>
        <v>705</v>
      </c>
      <c r="M249" s="87">
        <f t="shared" ref="M249:M253" si="199">N249-I249</f>
        <v>15.75</v>
      </c>
      <c r="N249" s="67">
        <f t="shared" ref="N249:N253" si="200">I249/H249*L249</f>
        <v>105.75</v>
      </c>
      <c r="O249" s="59">
        <f t="shared" ref="O249:O253" si="201">L249-H249+M249</f>
        <v>120.75</v>
      </c>
      <c r="P249" s="67">
        <f t="shared" ref="P249:P253" si="202">O249*J249</f>
        <v>724.5</v>
      </c>
      <c r="Q249" s="68">
        <f t="shared" ref="Q249:Q253" si="203">P249*12</f>
        <v>8694</v>
      </c>
      <c r="R249" s="68">
        <f t="shared" ref="R249:R253" si="204">Q249*0.2409</f>
        <v>2094.3845999999999</v>
      </c>
      <c r="S249" s="69">
        <f t="shared" ref="S249:S253" si="205">Q249+R249</f>
        <v>10788.384599999999</v>
      </c>
    </row>
    <row r="250" spans="2:19" x14ac:dyDescent="0.2">
      <c r="B250" s="156" t="s">
        <v>168</v>
      </c>
      <c r="C250" s="13">
        <v>39</v>
      </c>
      <c r="D250" s="53" t="s">
        <v>33</v>
      </c>
      <c r="E250" s="53">
        <v>4</v>
      </c>
      <c r="F250" s="55" t="s">
        <v>75</v>
      </c>
      <c r="G250" s="56">
        <v>705</v>
      </c>
      <c r="H250" s="43">
        <v>580</v>
      </c>
      <c r="I250" s="43">
        <v>85</v>
      </c>
      <c r="J250" s="258">
        <v>1</v>
      </c>
      <c r="K250" s="97">
        <f t="shared" si="197"/>
        <v>696</v>
      </c>
      <c r="L250" s="59">
        <f t="shared" si="198"/>
        <v>696</v>
      </c>
      <c r="M250" s="87">
        <f t="shared" si="199"/>
        <v>16.999999999999986</v>
      </c>
      <c r="N250" s="67">
        <f t="shared" si="200"/>
        <v>101.99999999999999</v>
      </c>
      <c r="O250" s="59">
        <f t="shared" si="201"/>
        <v>133</v>
      </c>
      <c r="P250" s="67">
        <f t="shared" si="202"/>
        <v>133</v>
      </c>
      <c r="Q250" s="68">
        <f t="shared" si="203"/>
        <v>1596</v>
      </c>
      <c r="R250" s="68">
        <f t="shared" si="204"/>
        <v>384.47640000000001</v>
      </c>
      <c r="S250" s="69">
        <f t="shared" si="205"/>
        <v>1980.4764</v>
      </c>
    </row>
    <row r="251" spans="2:19" x14ac:dyDescent="0.2">
      <c r="B251" s="90" t="s">
        <v>169</v>
      </c>
      <c r="C251" s="6">
        <v>39</v>
      </c>
      <c r="D251" s="3" t="s">
        <v>63</v>
      </c>
      <c r="E251" s="3">
        <v>5</v>
      </c>
      <c r="F251" s="3">
        <v>3</v>
      </c>
      <c r="G251" s="37">
        <v>802</v>
      </c>
      <c r="H251" s="43">
        <v>600</v>
      </c>
      <c r="I251" s="43">
        <v>90</v>
      </c>
      <c r="J251" s="258">
        <v>5</v>
      </c>
      <c r="K251" s="97">
        <f t="shared" si="197"/>
        <v>720</v>
      </c>
      <c r="L251" s="59">
        <f t="shared" si="198"/>
        <v>720</v>
      </c>
      <c r="M251" s="87">
        <f t="shared" si="199"/>
        <v>18</v>
      </c>
      <c r="N251" s="67">
        <f t="shared" si="200"/>
        <v>108</v>
      </c>
      <c r="O251" s="59">
        <f t="shared" si="201"/>
        <v>138</v>
      </c>
      <c r="P251" s="67">
        <f t="shared" si="202"/>
        <v>690</v>
      </c>
      <c r="Q251" s="68">
        <f t="shared" si="203"/>
        <v>8280</v>
      </c>
      <c r="R251" s="68">
        <f t="shared" si="204"/>
        <v>1994.652</v>
      </c>
      <c r="S251" s="69">
        <f t="shared" si="205"/>
        <v>10274.652</v>
      </c>
    </row>
    <row r="252" spans="2:19" x14ac:dyDescent="0.2">
      <c r="B252" s="90" t="s">
        <v>170</v>
      </c>
      <c r="C252" s="13" t="s">
        <v>44</v>
      </c>
      <c r="D252" s="3" t="s">
        <v>15</v>
      </c>
      <c r="E252" s="3">
        <v>3</v>
      </c>
      <c r="F252" s="3">
        <v>3</v>
      </c>
      <c r="G252" s="37">
        <v>608</v>
      </c>
      <c r="H252" s="43">
        <v>550</v>
      </c>
      <c r="I252" s="43">
        <v>3</v>
      </c>
      <c r="J252" s="258">
        <v>2</v>
      </c>
      <c r="K252" s="97">
        <f t="shared" si="197"/>
        <v>660</v>
      </c>
      <c r="L252" s="59">
        <f t="shared" si="198"/>
        <v>608</v>
      </c>
      <c r="M252" s="87">
        <f t="shared" si="199"/>
        <v>0.3163636363636364</v>
      </c>
      <c r="N252" s="67">
        <f t="shared" si="200"/>
        <v>3.3163636363636364</v>
      </c>
      <c r="O252" s="59">
        <f t="shared" si="201"/>
        <v>58.316363636363633</v>
      </c>
      <c r="P252" s="67">
        <f t="shared" si="202"/>
        <v>116.63272727272727</v>
      </c>
      <c r="Q252" s="68">
        <f t="shared" si="203"/>
        <v>1399.5927272727272</v>
      </c>
      <c r="R252" s="68">
        <f t="shared" si="204"/>
        <v>337.16188799999998</v>
      </c>
      <c r="S252" s="69">
        <f t="shared" si="205"/>
        <v>1736.7546152727273</v>
      </c>
    </row>
    <row r="253" spans="2:19" x14ac:dyDescent="0.2">
      <c r="B253" s="90" t="s">
        <v>171</v>
      </c>
      <c r="C253" s="6">
        <v>39</v>
      </c>
      <c r="D253" s="3" t="s">
        <v>63</v>
      </c>
      <c r="E253" s="3">
        <v>5</v>
      </c>
      <c r="F253" s="3">
        <v>3</v>
      </c>
      <c r="G253" s="37">
        <v>802</v>
      </c>
      <c r="H253" s="43">
        <v>700</v>
      </c>
      <c r="I253" s="43">
        <v>0</v>
      </c>
      <c r="J253" s="258">
        <v>3</v>
      </c>
      <c r="K253" s="97">
        <f t="shared" si="197"/>
        <v>840</v>
      </c>
      <c r="L253" s="59">
        <f t="shared" si="198"/>
        <v>802</v>
      </c>
      <c r="M253" s="87">
        <f t="shared" si="199"/>
        <v>0</v>
      </c>
      <c r="N253" s="67">
        <f t="shared" si="200"/>
        <v>0</v>
      </c>
      <c r="O253" s="59">
        <f t="shared" si="201"/>
        <v>102</v>
      </c>
      <c r="P253" s="67">
        <f t="shared" si="202"/>
        <v>306</v>
      </c>
      <c r="Q253" s="68">
        <f t="shared" si="203"/>
        <v>3672</v>
      </c>
      <c r="R253" s="68">
        <f t="shared" si="204"/>
        <v>884.58479999999997</v>
      </c>
      <c r="S253" s="69">
        <f t="shared" si="205"/>
        <v>4556.5847999999996</v>
      </c>
    </row>
    <row r="254" spans="2:19" s="101" customFormat="1" x14ac:dyDescent="0.25">
      <c r="B254" s="119" t="s">
        <v>4</v>
      </c>
      <c r="C254" s="103"/>
      <c r="D254" s="103"/>
      <c r="E254" s="103"/>
      <c r="F254" s="103"/>
      <c r="G254" s="105"/>
      <c r="H254" s="106"/>
      <c r="I254" s="76"/>
      <c r="J254" s="123">
        <f>SUM(J249:J253)</f>
        <v>17</v>
      </c>
      <c r="K254" s="118"/>
      <c r="L254" s="76"/>
      <c r="M254" s="77"/>
      <c r="N254" s="78"/>
      <c r="O254" s="76"/>
      <c r="P254" s="78"/>
      <c r="Q254" s="79">
        <f>SUM(Q249:Q253)</f>
        <v>23641.592727272728</v>
      </c>
      <c r="R254" s="79">
        <f>SUM(R249:R253)</f>
        <v>5695.2596879999992</v>
      </c>
      <c r="S254" s="80">
        <f>SUM(S249:S253)</f>
        <v>29336.852415272726</v>
      </c>
    </row>
    <row r="255" spans="2:19" ht="13.5" x14ac:dyDescent="0.25">
      <c r="B255" s="840" t="s">
        <v>172</v>
      </c>
      <c r="C255" s="841"/>
      <c r="D255" s="841"/>
      <c r="E255" s="841"/>
      <c r="F255" s="841"/>
      <c r="G255" s="39"/>
      <c r="H255" s="39"/>
      <c r="I255" s="39"/>
      <c r="J255" s="265">
        <f>J254+J247+J236</f>
        <v>73.75</v>
      </c>
      <c r="K255" s="154"/>
      <c r="L255" s="39"/>
      <c r="M255" s="39"/>
      <c r="N255" s="39"/>
      <c r="O255" s="39"/>
      <c r="P255" s="39"/>
      <c r="Q255" s="143">
        <f>Q254+Q247+Q236</f>
        <v>126117.5639600093</v>
      </c>
      <c r="R255" s="143">
        <f>R254+R247+R236</f>
        <v>30381.721157966236</v>
      </c>
      <c r="S255" s="155">
        <f>S254+S247+S236</f>
        <v>156499.28511797555</v>
      </c>
    </row>
    <row r="256" spans="2:19" s="2" customFormat="1" ht="15" customHeight="1" x14ac:dyDescent="0.2">
      <c r="B256" s="856" t="s">
        <v>173</v>
      </c>
      <c r="C256" s="857"/>
      <c r="D256" s="857"/>
      <c r="E256" s="857"/>
      <c r="F256" s="857"/>
      <c r="G256" s="857"/>
      <c r="H256" s="857"/>
      <c r="I256" s="857"/>
      <c r="J256" s="857"/>
      <c r="K256" s="857"/>
      <c r="L256" s="857"/>
      <c r="M256" s="857"/>
      <c r="N256" s="857"/>
      <c r="O256" s="857"/>
      <c r="P256" s="857"/>
      <c r="Q256" s="857"/>
      <c r="R256" s="857"/>
      <c r="S256" s="858"/>
    </row>
    <row r="257" spans="2:19" ht="17.25" customHeight="1" x14ac:dyDescent="0.2">
      <c r="B257" s="837" t="s">
        <v>20</v>
      </c>
      <c r="C257" s="838"/>
      <c r="D257" s="838"/>
      <c r="E257" s="838"/>
      <c r="F257" s="839"/>
      <c r="G257" s="11"/>
      <c r="H257" s="45"/>
      <c r="I257" s="45"/>
      <c r="J257" s="323"/>
      <c r="K257" s="153"/>
      <c r="L257" s="61"/>
      <c r="M257" s="61"/>
      <c r="N257" s="61"/>
      <c r="O257" s="61"/>
      <c r="P257" s="61"/>
      <c r="Q257" s="61"/>
      <c r="R257" s="61"/>
      <c r="S257" s="150"/>
    </row>
    <row r="258" spans="2:19" ht="15.75" customHeight="1" x14ac:dyDescent="0.2">
      <c r="B258" s="144" t="s">
        <v>174</v>
      </c>
      <c r="C258" s="57">
        <v>10</v>
      </c>
      <c r="D258" s="36" t="s">
        <v>67</v>
      </c>
      <c r="E258" s="36">
        <v>13</v>
      </c>
      <c r="F258" s="36">
        <v>3</v>
      </c>
      <c r="G258" s="37">
        <v>1917</v>
      </c>
      <c r="H258" s="38">
        <v>1900</v>
      </c>
      <c r="I258" s="15">
        <v>0</v>
      </c>
      <c r="J258" s="258">
        <v>1</v>
      </c>
      <c r="K258" s="97">
        <f t="shared" ref="K258:K277" si="206">H258*1.2</f>
        <v>2280</v>
      </c>
      <c r="L258" s="59">
        <f t="shared" ref="L258:L277" si="207">IF(K258&lt;=G258,K258,G258)</f>
        <v>1917</v>
      </c>
      <c r="M258" s="87">
        <f t="shared" ref="M258:M277" si="208">N258-I258</f>
        <v>0</v>
      </c>
      <c r="N258" s="67">
        <f t="shared" ref="N258:N277" si="209">I258/H258*L258</f>
        <v>0</v>
      </c>
      <c r="O258" s="59">
        <f t="shared" ref="O258:O277" si="210">L258-H258+M258</f>
        <v>17</v>
      </c>
      <c r="P258" s="67">
        <f t="shared" ref="P258:P277" si="211">O258*J258</f>
        <v>17</v>
      </c>
      <c r="Q258" s="68">
        <f t="shared" ref="Q258:Q277" si="212">P258*12</f>
        <v>204</v>
      </c>
      <c r="R258" s="68">
        <f t="shared" ref="R258:R277" si="213">Q258*0.2409</f>
        <v>49.143599999999999</v>
      </c>
      <c r="S258" s="69">
        <f t="shared" ref="S258:S277" si="214">Q258+R258</f>
        <v>253.14359999999999</v>
      </c>
    </row>
    <row r="259" spans="2:19" s="58" customFormat="1" ht="25.5" x14ac:dyDescent="0.2">
      <c r="B259" s="157" t="s">
        <v>175</v>
      </c>
      <c r="C259" s="53" t="s">
        <v>124</v>
      </c>
      <c r="D259" s="13" t="s">
        <v>49</v>
      </c>
      <c r="E259" s="13">
        <v>12</v>
      </c>
      <c r="F259" s="13">
        <v>3</v>
      </c>
      <c r="G259" s="49">
        <v>1647</v>
      </c>
      <c r="H259" s="59">
        <v>1647</v>
      </c>
      <c r="I259" s="15">
        <v>0</v>
      </c>
      <c r="J259" s="258">
        <v>1</v>
      </c>
      <c r="K259" s="97">
        <f t="shared" si="206"/>
        <v>1976.3999999999999</v>
      </c>
      <c r="L259" s="59">
        <f t="shared" si="207"/>
        <v>1647</v>
      </c>
      <c r="M259" s="87">
        <f t="shared" si="208"/>
        <v>0</v>
      </c>
      <c r="N259" s="67">
        <f t="shared" si="209"/>
        <v>0</v>
      </c>
      <c r="O259" s="59">
        <f t="shared" si="210"/>
        <v>0</v>
      </c>
      <c r="P259" s="67">
        <f t="shared" si="211"/>
        <v>0</v>
      </c>
      <c r="Q259" s="68">
        <f t="shared" si="212"/>
        <v>0</v>
      </c>
      <c r="R259" s="68">
        <f t="shared" si="213"/>
        <v>0</v>
      </c>
      <c r="S259" s="69">
        <f t="shared" si="214"/>
        <v>0</v>
      </c>
    </row>
    <row r="260" spans="2:19" s="58" customFormat="1" ht="25.5" x14ac:dyDescent="0.2">
      <c r="B260" s="157" t="s">
        <v>175</v>
      </c>
      <c r="C260" s="53" t="s">
        <v>124</v>
      </c>
      <c r="D260" s="13" t="s">
        <v>49</v>
      </c>
      <c r="E260" s="13">
        <v>12</v>
      </c>
      <c r="F260" s="13">
        <v>3</v>
      </c>
      <c r="G260" s="49">
        <v>1647</v>
      </c>
      <c r="H260" s="59">
        <v>1647</v>
      </c>
      <c r="I260" s="15">
        <v>0</v>
      </c>
      <c r="J260" s="258">
        <v>1</v>
      </c>
      <c r="K260" s="97">
        <f t="shared" si="206"/>
        <v>1976.3999999999999</v>
      </c>
      <c r="L260" s="59">
        <f t="shared" si="207"/>
        <v>1647</v>
      </c>
      <c r="M260" s="87">
        <f t="shared" si="208"/>
        <v>0</v>
      </c>
      <c r="N260" s="67">
        <f t="shared" si="209"/>
        <v>0</v>
      </c>
      <c r="O260" s="59">
        <f t="shared" si="210"/>
        <v>0</v>
      </c>
      <c r="P260" s="67">
        <f t="shared" si="211"/>
        <v>0</v>
      </c>
      <c r="Q260" s="68">
        <f t="shared" si="212"/>
        <v>0</v>
      </c>
      <c r="R260" s="68">
        <f t="shared" si="213"/>
        <v>0</v>
      </c>
      <c r="S260" s="69">
        <f t="shared" si="214"/>
        <v>0</v>
      </c>
    </row>
    <row r="261" spans="2:19" s="58" customFormat="1" ht="25.5" x14ac:dyDescent="0.2">
      <c r="B261" s="157" t="s">
        <v>175</v>
      </c>
      <c r="C261" s="53" t="s">
        <v>124</v>
      </c>
      <c r="D261" s="13" t="s">
        <v>49</v>
      </c>
      <c r="E261" s="13">
        <v>12</v>
      </c>
      <c r="F261" s="13">
        <v>3</v>
      </c>
      <c r="G261" s="49">
        <v>1647</v>
      </c>
      <c r="H261" s="59">
        <v>1490.98</v>
      </c>
      <c r="I261" s="15">
        <v>0</v>
      </c>
      <c r="J261" s="258">
        <v>1</v>
      </c>
      <c r="K261" s="97">
        <f t="shared" si="206"/>
        <v>1789.1759999999999</v>
      </c>
      <c r="L261" s="59">
        <f t="shared" si="207"/>
        <v>1647</v>
      </c>
      <c r="M261" s="87">
        <f t="shared" si="208"/>
        <v>0</v>
      </c>
      <c r="N261" s="67">
        <f t="shared" si="209"/>
        <v>0</v>
      </c>
      <c r="O261" s="59">
        <f t="shared" si="210"/>
        <v>156.01999999999998</v>
      </c>
      <c r="P261" s="67">
        <f t="shared" si="211"/>
        <v>156.01999999999998</v>
      </c>
      <c r="Q261" s="68">
        <f t="shared" si="212"/>
        <v>1872.2399999999998</v>
      </c>
      <c r="R261" s="68">
        <f t="shared" si="213"/>
        <v>451.02261599999997</v>
      </c>
      <c r="S261" s="69">
        <f t="shared" si="214"/>
        <v>2323.262616</v>
      </c>
    </row>
    <row r="262" spans="2:19" s="58" customFormat="1" ht="25.5" x14ac:dyDescent="0.2">
      <c r="B262" s="157" t="s">
        <v>175</v>
      </c>
      <c r="C262" s="53" t="s">
        <v>124</v>
      </c>
      <c r="D262" s="13" t="s">
        <v>49</v>
      </c>
      <c r="E262" s="13">
        <v>12</v>
      </c>
      <c r="F262" s="13">
        <v>3</v>
      </c>
      <c r="G262" s="49">
        <v>1647</v>
      </c>
      <c r="H262" s="59">
        <v>1477.01</v>
      </c>
      <c r="I262" s="15">
        <v>0</v>
      </c>
      <c r="J262" s="258">
        <v>1</v>
      </c>
      <c r="K262" s="97">
        <f t="shared" si="206"/>
        <v>1772.412</v>
      </c>
      <c r="L262" s="59">
        <f t="shared" si="207"/>
        <v>1647</v>
      </c>
      <c r="M262" s="87">
        <f t="shared" si="208"/>
        <v>0</v>
      </c>
      <c r="N262" s="67">
        <f t="shared" si="209"/>
        <v>0</v>
      </c>
      <c r="O262" s="59">
        <f t="shared" si="210"/>
        <v>169.99</v>
      </c>
      <c r="P262" s="67">
        <f t="shared" si="211"/>
        <v>169.99</v>
      </c>
      <c r="Q262" s="68">
        <f t="shared" si="212"/>
        <v>2039.88</v>
      </c>
      <c r="R262" s="68">
        <f t="shared" si="213"/>
        <v>491.40709200000003</v>
      </c>
      <c r="S262" s="69">
        <f t="shared" si="214"/>
        <v>2531.287092</v>
      </c>
    </row>
    <row r="263" spans="2:19" s="58" customFormat="1" ht="25.5" x14ac:dyDescent="0.2">
      <c r="B263" s="157" t="s">
        <v>175</v>
      </c>
      <c r="C263" s="53" t="s">
        <v>124</v>
      </c>
      <c r="D263" s="13" t="s">
        <v>49</v>
      </c>
      <c r="E263" s="13">
        <v>12</v>
      </c>
      <c r="F263" s="13">
        <v>3</v>
      </c>
      <c r="G263" s="49">
        <v>1647</v>
      </c>
      <c r="H263" s="59">
        <v>1446.53</v>
      </c>
      <c r="I263" s="15">
        <v>0</v>
      </c>
      <c r="J263" s="258">
        <v>1</v>
      </c>
      <c r="K263" s="97">
        <f t="shared" si="206"/>
        <v>1735.836</v>
      </c>
      <c r="L263" s="59">
        <f t="shared" si="207"/>
        <v>1647</v>
      </c>
      <c r="M263" s="87">
        <f t="shared" si="208"/>
        <v>0</v>
      </c>
      <c r="N263" s="67">
        <f t="shared" si="209"/>
        <v>0</v>
      </c>
      <c r="O263" s="59">
        <f t="shared" si="210"/>
        <v>200.47000000000003</v>
      </c>
      <c r="P263" s="67">
        <f t="shared" si="211"/>
        <v>200.47000000000003</v>
      </c>
      <c r="Q263" s="68">
        <f t="shared" si="212"/>
        <v>2405.6400000000003</v>
      </c>
      <c r="R263" s="68">
        <f t="shared" si="213"/>
        <v>579.51867600000014</v>
      </c>
      <c r="S263" s="69">
        <f t="shared" si="214"/>
        <v>2985.1586760000005</v>
      </c>
    </row>
    <row r="264" spans="2:19" s="58" customFormat="1" ht="25.5" x14ac:dyDescent="0.2">
      <c r="B264" s="157" t="s">
        <v>175</v>
      </c>
      <c r="C264" s="53" t="s">
        <v>124</v>
      </c>
      <c r="D264" s="13" t="s">
        <v>49</v>
      </c>
      <c r="E264" s="13">
        <v>12</v>
      </c>
      <c r="F264" s="13">
        <v>3</v>
      </c>
      <c r="G264" s="49">
        <v>1647</v>
      </c>
      <c r="H264" s="59">
        <v>1402.08</v>
      </c>
      <c r="I264" s="15">
        <v>0</v>
      </c>
      <c r="J264" s="258">
        <v>5</v>
      </c>
      <c r="K264" s="97">
        <f t="shared" si="206"/>
        <v>1682.4959999999999</v>
      </c>
      <c r="L264" s="59">
        <f t="shared" si="207"/>
        <v>1647</v>
      </c>
      <c r="M264" s="87">
        <f t="shared" si="208"/>
        <v>0</v>
      </c>
      <c r="N264" s="67">
        <f t="shared" si="209"/>
        <v>0</v>
      </c>
      <c r="O264" s="59">
        <f t="shared" si="210"/>
        <v>244.92000000000007</v>
      </c>
      <c r="P264" s="67">
        <f t="shared" si="211"/>
        <v>1224.6000000000004</v>
      </c>
      <c r="Q264" s="68">
        <f t="shared" si="212"/>
        <v>14695.200000000004</v>
      </c>
      <c r="R264" s="68">
        <f t="shared" si="213"/>
        <v>3540.0736800000009</v>
      </c>
      <c r="S264" s="69">
        <f t="shared" si="214"/>
        <v>18235.273680000006</v>
      </c>
    </row>
    <row r="265" spans="2:19" s="58" customFormat="1" x14ac:dyDescent="0.2">
      <c r="B265" s="157" t="s">
        <v>176</v>
      </c>
      <c r="C265" s="53" t="s">
        <v>124</v>
      </c>
      <c r="D265" s="13" t="s">
        <v>49</v>
      </c>
      <c r="E265" s="13">
        <v>12</v>
      </c>
      <c r="F265" s="13">
        <v>3</v>
      </c>
      <c r="G265" s="49">
        <v>1647</v>
      </c>
      <c r="H265" s="59">
        <v>1262.3800000000001</v>
      </c>
      <c r="I265" s="15">
        <v>0</v>
      </c>
      <c r="J265" s="258">
        <v>11</v>
      </c>
      <c r="K265" s="97">
        <f t="shared" si="206"/>
        <v>1514.856</v>
      </c>
      <c r="L265" s="59">
        <f t="shared" si="207"/>
        <v>1514.856</v>
      </c>
      <c r="M265" s="87">
        <f t="shared" si="208"/>
        <v>0</v>
      </c>
      <c r="N265" s="67">
        <f t="shared" si="209"/>
        <v>0</v>
      </c>
      <c r="O265" s="59">
        <f t="shared" si="210"/>
        <v>252.47599999999989</v>
      </c>
      <c r="P265" s="67">
        <f t="shared" si="211"/>
        <v>2777.235999999999</v>
      </c>
      <c r="Q265" s="68">
        <f t="shared" si="212"/>
        <v>33326.831999999988</v>
      </c>
      <c r="R265" s="68">
        <f t="shared" si="213"/>
        <v>8028.4338287999972</v>
      </c>
      <c r="S265" s="69">
        <f t="shared" si="214"/>
        <v>41355.265828799988</v>
      </c>
    </row>
    <row r="266" spans="2:19" s="58" customFormat="1" x14ac:dyDescent="0.2">
      <c r="B266" s="157" t="s">
        <v>176</v>
      </c>
      <c r="C266" s="53" t="s">
        <v>124</v>
      </c>
      <c r="D266" s="13" t="s">
        <v>49</v>
      </c>
      <c r="E266" s="13">
        <v>12</v>
      </c>
      <c r="F266" s="13">
        <v>3</v>
      </c>
      <c r="G266" s="49">
        <v>1647</v>
      </c>
      <c r="H266" s="60">
        <v>1104.9000000000001</v>
      </c>
      <c r="I266" s="15">
        <v>0</v>
      </c>
      <c r="J266" s="258">
        <f>0.5+0.2</f>
        <v>0.7</v>
      </c>
      <c r="K266" s="97">
        <f t="shared" si="206"/>
        <v>1325.88</v>
      </c>
      <c r="L266" s="59">
        <f t="shared" si="207"/>
        <v>1325.88</v>
      </c>
      <c r="M266" s="87">
        <f t="shared" si="208"/>
        <v>0</v>
      </c>
      <c r="N266" s="67">
        <f t="shared" si="209"/>
        <v>0</v>
      </c>
      <c r="O266" s="59">
        <f t="shared" si="210"/>
        <v>220.98000000000002</v>
      </c>
      <c r="P266" s="67">
        <f t="shared" si="211"/>
        <v>154.68600000000001</v>
      </c>
      <c r="Q266" s="68">
        <f t="shared" si="212"/>
        <v>1856.232</v>
      </c>
      <c r="R266" s="68">
        <f t="shared" si="213"/>
        <v>447.16628880000002</v>
      </c>
      <c r="S266" s="69">
        <f t="shared" si="214"/>
        <v>2303.3982888</v>
      </c>
    </row>
    <row r="267" spans="2:19" s="58" customFormat="1" x14ac:dyDescent="0.2">
      <c r="B267" s="157" t="s">
        <v>176</v>
      </c>
      <c r="C267" s="53" t="s">
        <v>124</v>
      </c>
      <c r="D267" s="13" t="s">
        <v>49</v>
      </c>
      <c r="E267" s="13">
        <v>12</v>
      </c>
      <c r="F267" s="13">
        <v>3</v>
      </c>
      <c r="G267" s="49">
        <v>1647</v>
      </c>
      <c r="H267" s="60">
        <v>960.12</v>
      </c>
      <c r="I267" s="15">
        <v>0</v>
      </c>
      <c r="J267" s="258">
        <v>1</v>
      </c>
      <c r="K267" s="97">
        <f t="shared" si="206"/>
        <v>1152.144</v>
      </c>
      <c r="L267" s="59">
        <f t="shared" si="207"/>
        <v>1152.144</v>
      </c>
      <c r="M267" s="87">
        <f t="shared" si="208"/>
        <v>0</v>
      </c>
      <c r="N267" s="67">
        <f t="shared" si="209"/>
        <v>0</v>
      </c>
      <c r="O267" s="59">
        <f t="shared" si="210"/>
        <v>192.024</v>
      </c>
      <c r="P267" s="67">
        <f t="shared" si="211"/>
        <v>192.024</v>
      </c>
      <c r="Q267" s="68">
        <f t="shared" si="212"/>
        <v>2304.288</v>
      </c>
      <c r="R267" s="68">
        <f t="shared" si="213"/>
        <v>555.10297920000005</v>
      </c>
      <c r="S267" s="69">
        <f t="shared" si="214"/>
        <v>2859.3909791999999</v>
      </c>
    </row>
    <row r="268" spans="2:19" s="58" customFormat="1" x14ac:dyDescent="0.2">
      <c r="B268" s="88" t="s">
        <v>177</v>
      </c>
      <c r="C268" s="53" t="s">
        <v>124</v>
      </c>
      <c r="D268" s="13" t="s">
        <v>14</v>
      </c>
      <c r="E268" s="13">
        <v>10</v>
      </c>
      <c r="F268" s="13">
        <v>3</v>
      </c>
      <c r="G268" s="49">
        <v>1287</v>
      </c>
      <c r="H268" s="60">
        <v>1013.46</v>
      </c>
      <c r="I268" s="15">
        <v>0</v>
      </c>
      <c r="J268" s="258">
        <v>0.8</v>
      </c>
      <c r="K268" s="97">
        <f t="shared" si="206"/>
        <v>1216.152</v>
      </c>
      <c r="L268" s="59">
        <f t="shared" si="207"/>
        <v>1216.152</v>
      </c>
      <c r="M268" s="87">
        <f t="shared" si="208"/>
        <v>0</v>
      </c>
      <c r="N268" s="67">
        <f t="shared" si="209"/>
        <v>0</v>
      </c>
      <c r="O268" s="59">
        <f t="shared" si="210"/>
        <v>202.69200000000001</v>
      </c>
      <c r="P268" s="67">
        <f t="shared" si="211"/>
        <v>162.15360000000001</v>
      </c>
      <c r="Q268" s="68">
        <f t="shared" si="212"/>
        <v>1945.8432000000003</v>
      </c>
      <c r="R268" s="68">
        <f t="shared" si="213"/>
        <v>468.75362688000007</v>
      </c>
      <c r="S268" s="69">
        <f t="shared" si="214"/>
        <v>2414.5968268800002</v>
      </c>
    </row>
    <row r="269" spans="2:19" s="58" customFormat="1" x14ac:dyDescent="0.2">
      <c r="B269" s="88" t="s">
        <v>177</v>
      </c>
      <c r="C269" s="53" t="s">
        <v>124</v>
      </c>
      <c r="D269" s="13" t="s">
        <v>14</v>
      </c>
      <c r="E269" s="13">
        <v>10</v>
      </c>
      <c r="F269" s="13">
        <v>3</v>
      </c>
      <c r="G269" s="49">
        <v>1287</v>
      </c>
      <c r="H269" s="60">
        <v>1012.19</v>
      </c>
      <c r="I269" s="15">
        <v>0</v>
      </c>
      <c r="J269" s="258">
        <v>1.5</v>
      </c>
      <c r="K269" s="97">
        <f t="shared" si="206"/>
        <v>1214.6279999999999</v>
      </c>
      <c r="L269" s="59">
        <f t="shared" si="207"/>
        <v>1214.6279999999999</v>
      </c>
      <c r="M269" s="87">
        <f t="shared" si="208"/>
        <v>0</v>
      </c>
      <c r="N269" s="67">
        <f t="shared" si="209"/>
        <v>0</v>
      </c>
      <c r="O269" s="59">
        <f t="shared" si="210"/>
        <v>202.43799999999987</v>
      </c>
      <c r="P269" s="67">
        <f t="shared" si="211"/>
        <v>303.65699999999981</v>
      </c>
      <c r="Q269" s="68">
        <f t="shared" si="212"/>
        <v>3643.8839999999977</v>
      </c>
      <c r="R269" s="68">
        <f t="shared" si="213"/>
        <v>877.81165559999943</v>
      </c>
      <c r="S269" s="69">
        <f t="shared" si="214"/>
        <v>4521.6956555999968</v>
      </c>
    </row>
    <row r="270" spans="2:19" s="58" customFormat="1" x14ac:dyDescent="0.2">
      <c r="B270" s="88" t="s">
        <v>177</v>
      </c>
      <c r="C270" s="53" t="s">
        <v>124</v>
      </c>
      <c r="D270" s="13" t="s">
        <v>14</v>
      </c>
      <c r="E270" s="13">
        <v>10</v>
      </c>
      <c r="F270" s="13">
        <v>3</v>
      </c>
      <c r="G270" s="49">
        <v>1287</v>
      </c>
      <c r="H270" s="60">
        <v>1010.92</v>
      </c>
      <c r="I270" s="15">
        <v>0</v>
      </c>
      <c r="J270" s="258">
        <v>23.5</v>
      </c>
      <c r="K270" s="97">
        <f t="shared" si="206"/>
        <v>1213.1039999999998</v>
      </c>
      <c r="L270" s="59">
        <f t="shared" si="207"/>
        <v>1213.1039999999998</v>
      </c>
      <c r="M270" s="87">
        <f t="shared" si="208"/>
        <v>0</v>
      </c>
      <c r="N270" s="67">
        <f t="shared" si="209"/>
        <v>0</v>
      </c>
      <c r="O270" s="59">
        <f t="shared" si="210"/>
        <v>202.18399999999986</v>
      </c>
      <c r="P270" s="67">
        <f t="shared" si="211"/>
        <v>4751.3239999999969</v>
      </c>
      <c r="Q270" s="68">
        <f t="shared" si="212"/>
        <v>57015.887999999963</v>
      </c>
      <c r="R270" s="68">
        <f t="shared" si="213"/>
        <v>13735.127419199991</v>
      </c>
      <c r="S270" s="69">
        <f t="shared" si="214"/>
        <v>70751.015419199946</v>
      </c>
    </row>
    <row r="271" spans="2:19" s="58" customFormat="1" x14ac:dyDescent="0.2">
      <c r="B271" s="88" t="s">
        <v>177</v>
      </c>
      <c r="C271" s="53" t="s">
        <v>124</v>
      </c>
      <c r="D271" s="13" t="s">
        <v>14</v>
      </c>
      <c r="E271" s="13">
        <v>10</v>
      </c>
      <c r="F271" s="13">
        <v>3</v>
      </c>
      <c r="G271" s="49">
        <v>1287</v>
      </c>
      <c r="H271" s="60">
        <v>1009.65</v>
      </c>
      <c r="I271" s="15">
        <v>0</v>
      </c>
      <c r="J271" s="258">
        <v>2.2000000000000002</v>
      </c>
      <c r="K271" s="97">
        <f t="shared" si="206"/>
        <v>1211.58</v>
      </c>
      <c r="L271" s="59">
        <f t="shared" si="207"/>
        <v>1211.58</v>
      </c>
      <c r="M271" s="87">
        <f t="shared" si="208"/>
        <v>0</v>
      </c>
      <c r="N271" s="67">
        <f t="shared" si="209"/>
        <v>0</v>
      </c>
      <c r="O271" s="59">
        <f t="shared" si="210"/>
        <v>201.92999999999995</v>
      </c>
      <c r="P271" s="67">
        <f t="shared" si="211"/>
        <v>444.24599999999992</v>
      </c>
      <c r="Q271" s="68">
        <f t="shared" si="212"/>
        <v>5330.9519999999993</v>
      </c>
      <c r="R271" s="68">
        <f t="shared" si="213"/>
        <v>1284.2263367999999</v>
      </c>
      <c r="S271" s="69">
        <f t="shared" si="214"/>
        <v>6615.1783367999997</v>
      </c>
    </row>
    <row r="272" spans="2:19" s="58" customFormat="1" x14ac:dyDescent="0.2">
      <c r="B272" s="88" t="s">
        <v>177</v>
      </c>
      <c r="C272" s="53" t="s">
        <v>124</v>
      </c>
      <c r="D272" s="13" t="s">
        <v>14</v>
      </c>
      <c r="E272" s="13">
        <v>10</v>
      </c>
      <c r="F272" s="13">
        <v>3</v>
      </c>
      <c r="G272" s="49">
        <v>1287</v>
      </c>
      <c r="H272" s="60">
        <v>885.19</v>
      </c>
      <c r="I272" s="15">
        <v>0</v>
      </c>
      <c r="J272" s="258">
        <v>0.6</v>
      </c>
      <c r="K272" s="97">
        <f t="shared" si="206"/>
        <v>1062.2280000000001</v>
      </c>
      <c r="L272" s="59">
        <f t="shared" si="207"/>
        <v>1062.2280000000001</v>
      </c>
      <c r="M272" s="87">
        <f t="shared" si="208"/>
        <v>0</v>
      </c>
      <c r="N272" s="67">
        <f t="shared" si="209"/>
        <v>0</v>
      </c>
      <c r="O272" s="59">
        <f t="shared" si="210"/>
        <v>177.03800000000001</v>
      </c>
      <c r="P272" s="67">
        <f t="shared" si="211"/>
        <v>106.22280000000001</v>
      </c>
      <c r="Q272" s="68">
        <f t="shared" si="212"/>
        <v>1274.6736000000001</v>
      </c>
      <c r="R272" s="68">
        <f t="shared" si="213"/>
        <v>307.06887024000002</v>
      </c>
      <c r="S272" s="69">
        <f t="shared" si="214"/>
        <v>1581.7424702400001</v>
      </c>
    </row>
    <row r="273" spans="2:19" s="58" customFormat="1" x14ac:dyDescent="0.2">
      <c r="B273" s="88" t="s">
        <v>177</v>
      </c>
      <c r="C273" s="53" t="s">
        <v>124</v>
      </c>
      <c r="D273" s="13" t="s">
        <v>14</v>
      </c>
      <c r="E273" s="13">
        <v>10</v>
      </c>
      <c r="F273" s="13">
        <v>3</v>
      </c>
      <c r="G273" s="49">
        <v>1287</v>
      </c>
      <c r="H273" s="60">
        <v>774.7</v>
      </c>
      <c r="I273" s="15">
        <v>0</v>
      </c>
      <c r="J273" s="258">
        <v>0.1</v>
      </c>
      <c r="K273" s="97">
        <f t="shared" si="206"/>
        <v>929.64</v>
      </c>
      <c r="L273" s="59">
        <f t="shared" si="207"/>
        <v>929.64</v>
      </c>
      <c r="M273" s="87">
        <f t="shared" si="208"/>
        <v>0</v>
      </c>
      <c r="N273" s="67">
        <f t="shared" si="209"/>
        <v>0</v>
      </c>
      <c r="O273" s="59">
        <f t="shared" si="210"/>
        <v>154.93999999999994</v>
      </c>
      <c r="P273" s="67">
        <f t="shared" si="211"/>
        <v>15.493999999999994</v>
      </c>
      <c r="Q273" s="68">
        <f t="shared" si="212"/>
        <v>185.92799999999994</v>
      </c>
      <c r="R273" s="68">
        <f t="shared" si="213"/>
        <v>44.790055199999983</v>
      </c>
      <c r="S273" s="69">
        <f t="shared" si="214"/>
        <v>230.71805519999992</v>
      </c>
    </row>
    <row r="274" spans="2:19" s="58" customFormat="1" x14ac:dyDescent="0.2">
      <c r="B274" s="88" t="s">
        <v>177</v>
      </c>
      <c r="C274" s="53" t="s">
        <v>124</v>
      </c>
      <c r="D274" s="13" t="s">
        <v>14</v>
      </c>
      <c r="E274" s="13">
        <v>10</v>
      </c>
      <c r="F274" s="13">
        <v>3</v>
      </c>
      <c r="G274" s="49">
        <v>1287</v>
      </c>
      <c r="H274" s="60">
        <v>770.89</v>
      </c>
      <c r="I274" s="15">
        <v>0</v>
      </c>
      <c r="J274" s="258">
        <v>0.3</v>
      </c>
      <c r="K274" s="97">
        <f t="shared" si="206"/>
        <v>925.06799999999998</v>
      </c>
      <c r="L274" s="59">
        <f t="shared" si="207"/>
        <v>925.06799999999998</v>
      </c>
      <c r="M274" s="87">
        <f t="shared" si="208"/>
        <v>0</v>
      </c>
      <c r="N274" s="67">
        <f t="shared" si="209"/>
        <v>0</v>
      </c>
      <c r="O274" s="59">
        <f t="shared" si="210"/>
        <v>154.178</v>
      </c>
      <c r="P274" s="67">
        <f t="shared" si="211"/>
        <v>46.253399999999999</v>
      </c>
      <c r="Q274" s="68">
        <f t="shared" si="212"/>
        <v>555.04079999999999</v>
      </c>
      <c r="R274" s="68">
        <f t="shared" si="213"/>
        <v>133.70932872</v>
      </c>
      <c r="S274" s="69">
        <f t="shared" si="214"/>
        <v>688.75012872000002</v>
      </c>
    </row>
    <row r="275" spans="2:19" s="58" customFormat="1" x14ac:dyDescent="0.2">
      <c r="B275" s="88" t="s">
        <v>177</v>
      </c>
      <c r="C275" s="53" t="s">
        <v>124</v>
      </c>
      <c r="D275" s="13" t="s">
        <v>14</v>
      </c>
      <c r="E275" s="13">
        <v>10</v>
      </c>
      <c r="F275" s="13">
        <v>3</v>
      </c>
      <c r="G275" s="49">
        <v>1287</v>
      </c>
      <c r="H275" s="60">
        <v>769.62</v>
      </c>
      <c r="I275" s="15">
        <v>0</v>
      </c>
      <c r="J275" s="258">
        <v>0.5</v>
      </c>
      <c r="K275" s="97">
        <f t="shared" si="206"/>
        <v>923.54399999999998</v>
      </c>
      <c r="L275" s="59">
        <f t="shared" si="207"/>
        <v>923.54399999999998</v>
      </c>
      <c r="M275" s="87">
        <f t="shared" si="208"/>
        <v>0</v>
      </c>
      <c r="N275" s="67">
        <f t="shared" si="209"/>
        <v>0</v>
      </c>
      <c r="O275" s="59">
        <f t="shared" si="210"/>
        <v>153.92399999999998</v>
      </c>
      <c r="P275" s="67">
        <f t="shared" si="211"/>
        <v>76.961999999999989</v>
      </c>
      <c r="Q275" s="68">
        <f t="shared" si="212"/>
        <v>923.54399999999987</v>
      </c>
      <c r="R275" s="68">
        <f t="shared" si="213"/>
        <v>222.48174959999997</v>
      </c>
      <c r="S275" s="69">
        <f t="shared" si="214"/>
        <v>1146.0257495999999</v>
      </c>
    </row>
    <row r="276" spans="2:19" s="58" customFormat="1" x14ac:dyDescent="0.2">
      <c r="B276" s="88" t="s">
        <v>177</v>
      </c>
      <c r="C276" s="53" t="s">
        <v>124</v>
      </c>
      <c r="D276" s="13" t="s">
        <v>14</v>
      </c>
      <c r="E276" s="13">
        <v>10</v>
      </c>
      <c r="F276" s="13">
        <v>3</v>
      </c>
      <c r="G276" s="49">
        <v>1287</v>
      </c>
      <c r="H276" s="60">
        <v>768.35</v>
      </c>
      <c r="I276" s="15">
        <v>0</v>
      </c>
      <c r="J276" s="258">
        <v>8.9</v>
      </c>
      <c r="K276" s="97">
        <f t="shared" si="206"/>
        <v>922.02</v>
      </c>
      <c r="L276" s="59">
        <f t="shared" si="207"/>
        <v>922.02</v>
      </c>
      <c r="M276" s="87">
        <f t="shared" si="208"/>
        <v>0</v>
      </c>
      <c r="N276" s="67">
        <f t="shared" si="209"/>
        <v>0</v>
      </c>
      <c r="O276" s="59">
        <f t="shared" si="210"/>
        <v>153.66999999999996</v>
      </c>
      <c r="P276" s="67">
        <f t="shared" si="211"/>
        <v>1367.6629999999998</v>
      </c>
      <c r="Q276" s="68">
        <f t="shared" si="212"/>
        <v>16411.955999999998</v>
      </c>
      <c r="R276" s="68">
        <f t="shared" si="213"/>
        <v>3953.6402003999997</v>
      </c>
      <c r="S276" s="69">
        <f t="shared" si="214"/>
        <v>20365.596200399999</v>
      </c>
    </row>
    <row r="277" spans="2:19" s="58" customFormat="1" x14ac:dyDescent="0.2">
      <c r="B277" s="88" t="s">
        <v>177</v>
      </c>
      <c r="C277" s="53" t="s">
        <v>124</v>
      </c>
      <c r="D277" s="13" t="s">
        <v>14</v>
      </c>
      <c r="E277" s="13">
        <v>10</v>
      </c>
      <c r="F277" s="13">
        <v>3</v>
      </c>
      <c r="G277" s="49">
        <v>1287</v>
      </c>
      <c r="H277" s="60">
        <v>762</v>
      </c>
      <c r="I277" s="15">
        <v>0</v>
      </c>
      <c r="J277" s="258">
        <v>0.1</v>
      </c>
      <c r="K277" s="97">
        <f t="shared" si="206"/>
        <v>914.4</v>
      </c>
      <c r="L277" s="59">
        <f t="shared" si="207"/>
        <v>914.4</v>
      </c>
      <c r="M277" s="87">
        <f t="shared" si="208"/>
        <v>0</v>
      </c>
      <c r="N277" s="67">
        <f t="shared" si="209"/>
        <v>0</v>
      </c>
      <c r="O277" s="59">
        <f t="shared" si="210"/>
        <v>152.39999999999998</v>
      </c>
      <c r="P277" s="67">
        <f t="shared" si="211"/>
        <v>15.239999999999998</v>
      </c>
      <c r="Q277" s="68">
        <f t="shared" si="212"/>
        <v>182.88</v>
      </c>
      <c r="R277" s="68">
        <f t="shared" si="213"/>
        <v>44.055791999999997</v>
      </c>
      <c r="S277" s="69">
        <f t="shared" si="214"/>
        <v>226.93579199999999</v>
      </c>
    </row>
    <row r="278" spans="2:19" s="101" customFormat="1" x14ac:dyDescent="0.25">
      <c r="B278" s="119" t="s">
        <v>4</v>
      </c>
      <c r="C278" s="103"/>
      <c r="D278" s="103"/>
      <c r="E278" s="103"/>
      <c r="F278" s="103"/>
      <c r="G278" s="105"/>
      <c r="H278" s="106"/>
      <c r="I278" s="76"/>
      <c r="J278" s="123">
        <f>SUM(J258:J277)</f>
        <v>62.2</v>
      </c>
      <c r="K278" s="118"/>
      <c r="L278" s="76"/>
      <c r="M278" s="77"/>
      <c r="N278" s="78"/>
      <c r="O278" s="76"/>
      <c r="P278" s="78"/>
      <c r="Q278" s="79">
        <f t="shared" ref="Q278:S278" si="215">SUM(Q258:Q277)</f>
        <v>146174.90159999995</v>
      </c>
      <c r="R278" s="79">
        <f t="shared" si="215"/>
        <v>35213.53379543998</v>
      </c>
      <c r="S278" s="80">
        <f t="shared" si="215"/>
        <v>181388.43539543997</v>
      </c>
    </row>
    <row r="279" spans="2:19" ht="13.5" x14ac:dyDescent="0.25">
      <c r="B279" s="840" t="s">
        <v>178</v>
      </c>
      <c r="C279" s="841"/>
      <c r="D279" s="841"/>
      <c r="E279" s="841"/>
      <c r="F279" s="841"/>
      <c r="G279" s="39"/>
      <c r="H279" s="39"/>
      <c r="I279" s="39"/>
      <c r="J279" s="265">
        <f>SUM(J278)</f>
        <v>62.2</v>
      </c>
      <c r="K279" s="154"/>
      <c r="L279" s="39"/>
      <c r="M279" s="39"/>
      <c r="N279" s="39"/>
      <c r="O279" s="39"/>
      <c r="P279" s="39"/>
      <c r="Q279" s="143">
        <f t="shared" ref="Q279:S279" si="216">SUM(Q278)</f>
        <v>146174.90159999995</v>
      </c>
      <c r="R279" s="143">
        <f t="shared" si="216"/>
        <v>35213.53379543998</v>
      </c>
      <c r="S279" s="155">
        <f t="shared" si="216"/>
        <v>181388.43539543997</v>
      </c>
    </row>
    <row r="280" spans="2:19" s="101" customFormat="1" x14ac:dyDescent="0.25">
      <c r="B280" s="102" t="s">
        <v>20</v>
      </c>
      <c r="C280" s="103"/>
      <c r="D280" s="103"/>
      <c r="E280" s="103"/>
      <c r="F280" s="103"/>
      <c r="G280" s="105"/>
      <c r="H280" s="106"/>
      <c r="I280" s="76"/>
      <c r="J280" s="123">
        <f>J106+J134+J155+J186+J205+J236+J278+J97</f>
        <v>154.80000000000001</v>
      </c>
      <c r="K280" s="118"/>
      <c r="L280" s="76"/>
      <c r="M280" s="77"/>
      <c r="N280" s="78"/>
      <c r="O280" s="76"/>
      <c r="P280" s="78"/>
      <c r="Q280" s="79">
        <f t="shared" ref="Q280:S280" si="217">Q106+Q134+Q155+Q186+Q205+Q236+Q278+Q97</f>
        <v>344308.70977391291</v>
      </c>
      <c r="R280" s="79">
        <f t="shared" si="217"/>
        <v>82943.968184535595</v>
      </c>
      <c r="S280" s="80">
        <f t="shared" si="217"/>
        <v>427252.67795844853</v>
      </c>
    </row>
    <row r="281" spans="2:19" s="101" customFormat="1" x14ac:dyDescent="0.25">
      <c r="B281" s="102" t="s">
        <v>10</v>
      </c>
      <c r="C281" s="103"/>
      <c r="D281" s="103"/>
      <c r="E281" s="103"/>
      <c r="F281" s="103"/>
      <c r="G281" s="105"/>
      <c r="H281" s="106"/>
      <c r="I281" s="76"/>
      <c r="J281" s="123">
        <f>J112+J147+J166+J199+J215+J247</f>
        <v>300.09999999999997</v>
      </c>
      <c r="K281" s="118"/>
      <c r="L281" s="76"/>
      <c r="M281" s="77"/>
      <c r="N281" s="78"/>
      <c r="O281" s="76"/>
      <c r="P281" s="78"/>
      <c r="Q281" s="79">
        <f t="shared" ref="Q281:R281" si="218">Q112+Q147+Q166+Q199+Q215+Q247</f>
        <v>605539.47585882351</v>
      </c>
      <c r="R281" s="79">
        <f t="shared" si="218"/>
        <v>145874.45973439055</v>
      </c>
      <c r="S281" s="80">
        <f>S112+S147+S166+S199+S215+S247</f>
        <v>751413.93559321412</v>
      </c>
    </row>
    <row r="282" spans="2:19" s="101" customFormat="1" x14ac:dyDescent="0.25">
      <c r="B282" s="102" t="s">
        <v>11</v>
      </c>
      <c r="C282" s="103"/>
      <c r="D282" s="103"/>
      <c r="E282" s="103"/>
      <c r="F282" s="103"/>
      <c r="G282" s="105"/>
      <c r="H282" s="106"/>
      <c r="I282" s="76"/>
      <c r="J282" s="123">
        <f>J120+J254</f>
        <v>26</v>
      </c>
      <c r="K282" s="118"/>
      <c r="L282" s="76"/>
      <c r="M282" s="77"/>
      <c r="N282" s="78"/>
      <c r="O282" s="76"/>
      <c r="P282" s="78"/>
      <c r="Q282" s="79">
        <f t="shared" ref="Q282:S282" si="219">Q120+Q254</f>
        <v>40398.392727272723</v>
      </c>
      <c r="R282" s="79">
        <f t="shared" si="219"/>
        <v>9731.9728079999986</v>
      </c>
      <c r="S282" s="80">
        <f t="shared" si="219"/>
        <v>50130.365535272722</v>
      </c>
    </row>
    <row r="283" spans="2:19" s="101" customFormat="1" ht="75.75" customHeight="1" x14ac:dyDescent="0.25">
      <c r="B283" s="831" t="s">
        <v>254</v>
      </c>
      <c r="C283" s="832"/>
      <c r="D283" s="833"/>
      <c r="E283" s="103"/>
      <c r="F283" s="103"/>
      <c r="G283" s="105"/>
      <c r="H283" s="106"/>
      <c r="I283" s="76"/>
      <c r="J283" s="123">
        <v>119.27500000000001</v>
      </c>
      <c r="K283" s="118"/>
      <c r="L283" s="76"/>
      <c r="M283" s="77"/>
      <c r="N283" s="78"/>
      <c r="O283" s="76"/>
      <c r="P283" s="78"/>
      <c r="Q283" s="79">
        <v>15709.604000000003</v>
      </c>
      <c r="R283" s="79">
        <v>235171.8144</v>
      </c>
      <c r="S283" s="80">
        <v>291824.70448896004</v>
      </c>
    </row>
    <row r="284" spans="2:19" s="58" customFormat="1" ht="13.5" customHeight="1" thickBot="1" x14ac:dyDescent="0.25">
      <c r="B284" s="81" t="s">
        <v>204</v>
      </c>
      <c r="C284" s="82"/>
      <c r="D284" s="82"/>
      <c r="E284" s="82"/>
      <c r="F284" s="82"/>
      <c r="G284" s="108"/>
      <c r="H284" s="109"/>
      <c r="I284" s="109"/>
      <c r="J284" s="134">
        <f>J280+J281+J282+J283</f>
        <v>600.17499999999995</v>
      </c>
      <c r="K284" s="81"/>
      <c r="L284" s="82"/>
      <c r="M284" s="82"/>
      <c r="N284" s="82"/>
      <c r="O284" s="82"/>
      <c r="P284" s="82"/>
      <c r="Q284" s="83">
        <f t="shared" ref="Q284:R284" si="220">Q280+Q281+Q282+Q283</f>
        <v>1005956.1823600092</v>
      </c>
      <c r="R284" s="83">
        <f t="shared" si="220"/>
        <v>473722.21512692614</v>
      </c>
      <c r="S284" s="84">
        <f>S280+S281+S282+S283</f>
        <v>1520621.6835758956</v>
      </c>
    </row>
    <row r="285" spans="2:19" ht="6" customHeight="1" thickBot="1" x14ac:dyDescent="0.25"/>
    <row r="286" spans="2:19" s="2" customFormat="1" ht="16.5" customHeight="1" thickBot="1" x14ac:dyDescent="0.25">
      <c r="B286" s="859" t="s">
        <v>242</v>
      </c>
      <c r="C286" s="860"/>
      <c r="D286" s="860"/>
      <c r="E286" s="860"/>
      <c r="F286" s="860"/>
      <c r="G286" s="860"/>
      <c r="H286" s="860"/>
      <c r="I286" s="860"/>
      <c r="J286" s="860"/>
      <c r="K286" s="860"/>
      <c r="L286" s="860"/>
      <c r="M286" s="860"/>
      <c r="N286" s="860"/>
      <c r="O286" s="860"/>
      <c r="P286" s="860"/>
      <c r="Q286" s="860"/>
      <c r="R286" s="860"/>
      <c r="S286" s="861"/>
    </row>
    <row r="287" spans="2:19" s="2" customFormat="1" ht="13.5" customHeight="1" x14ac:dyDescent="0.2">
      <c r="B287" s="853" t="s">
        <v>212</v>
      </c>
      <c r="C287" s="854"/>
      <c r="D287" s="854"/>
      <c r="E287" s="854"/>
      <c r="F287" s="854"/>
      <c r="G287" s="854"/>
      <c r="H287" s="854"/>
      <c r="I287" s="854"/>
      <c r="J287" s="854"/>
      <c r="K287" s="854"/>
      <c r="L287" s="854"/>
      <c r="M287" s="854"/>
      <c r="N287" s="854"/>
      <c r="O287" s="854"/>
      <c r="P287" s="854"/>
      <c r="Q287" s="854"/>
      <c r="R287" s="854"/>
      <c r="S287" s="855"/>
    </row>
    <row r="288" spans="2:19" s="2" customFormat="1" x14ac:dyDescent="0.2">
      <c r="B288" s="862" t="s">
        <v>10</v>
      </c>
      <c r="C288" s="863"/>
      <c r="D288" s="863"/>
      <c r="E288" s="863"/>
      <c r="F288" s="864"/>
      <c r="G288" s="161"/>
      <c r="H288" s="161"/>
      <c r="I288" s="161"/>
      <c r="J288" s="329"/>
      <c r="K288" s="194"/>
      <c r="L288" s="175"/>
      <c r="M288" s="175"/>
      <c r="N288" s="175"/>
      <c r="O288" s="175"/>
      <c r="P288" s="175"/>
      <c r="Q288" s="175"/>
      <c r="R288" s="175"/>
      <c r="S288" s="162"/>
    </row>
    <row r="289" spans="2:19" x14ac:dyDescent="0.2">
      <c r="B289" s="163" t="s">
        <v>32</v>
      </c>
      <c r="C289" s="164" t="s">
        <v>21</v>
      </c>
      <c r="D289" s="165" t="s">
        <v>15</v>
      </c>
      <c r="E289" s="165">
        <v>8</v>
      </c>
      <c r="F289" s="165">
        <v>3</v>
      </c>
      <c r="G289" s="166">
        <v>1093</v>
      </c>
      <c r="H289" s="165">
        <v>939.8</v>
      </c>
      <c r="I289" s="165">
        <v>187.96</v>
      </c>
      <c r="J289" s="167">
        <v>0.4</v>
      </c>
      <c r="K289" s="97">
        <f>H289*1.2</f>
        <v>1127.76</v>
      </c>
      <c r="L289" s="59">
        <f t="shared" ref="L289" si="221">IF(K289&lt;=G289,K289,G289)</f>
        <v>1093</v>
      </c>
      <c r="M289" s="87">
        <f t="shared" ref="M289" si="222">N289-I289</f>
        <v>30.640000000000015</v>
      </c>
      <c r="N289" s="67">
        <f t="shared" ref="N289" si="223">I289/H289*L289</f>
        <v>218.60000000000002</v>
      </c>
      <c r="O289" s="59">
        <f t="shared" ref="O289" si="224">L289-H289+M289</f>
        <v>183.84000000000006</v>
      </c>
      <c r="P289" s="67">
        <f t="shared" ref="P289" si="225">O289*J289</f>
        <v>73.53600000000003</v>
      </c>
      <c r="Q289" s="68">
        <f t="shared" ref="Q289" si="226">P289*12</f>
        <v>882.43200000000036</v>
      </c>
      <c r="R289" s="68">
        <f t="shared" ref="R289" si="227">Q289*0.2409</f>
        <v>212.57786880000009</v>
      </c>
      <c r="S289" s="69">
        <f t="shared" ref="S289" si="228">Q289+R289</f>
        <v>1095.0098688000005</v>
      </c>
    </row>
    <row r="290" spans="2:19" s="101" customFormat="1" x14ac:dyDescent="0.25">
      <c r="B290" s="119" t="s">
        <v>4</v>
      </c>
      <c r="C290" s="103"/>
      <c r="D290" s="103"/>
      <c r="E290" s="103"/>
      <c r="F290" s="103"/>
      <c r="G290" s="105"/>
      <c r="H290" s="106"/>
      <c r="I290" s="76"/>
      <c r="J290" s="123">
        <f>J289</f>
        <v>0.4</v>
      </c>
      <c r="K290" s="118"/>
      <c r="L290" s="76"/>
      <c r="M290" s="77"/>
      <c r="N290" s="78"/>
      <c r="O290" s="76"/>
      <c r="P290" s="78"/>
      <c r="Q290" s="79">
        <f>Q289</f>
        <v>882.43200000000036</v>
      </c>
      <c r="R290" s="79">
        <f t="shared" ref="R290:S290" si="229">R289</f>
        <v>212.57786880000009</v>
      </c>
      <c r="S290" s="80">
        <f t="shared" si="229"/>
        <v>1095.0098688000005</v>
      </c>
    </row>
    <row r="291" spans="2:19" ht="13.5" x14ac:dyDescent="0.25">
      <c r="B291" s="840" t="s">
        <v>210</v>
      </c>
      <c r="C291" s="841"/>
      <c r="D291" s="841"/>
      <c r="E291" s="841"/>
      <c r="F291" s="841"/>
      <c r="G291" s="39"/>
      <c r="H291" s="39"/>
      <c r="I291" s="39"/>
      <c r="J291" s="265">
        <f>SUM(J290)</f>
        <v>0.4</v>
      </c>
      <c r="K291" s="154"/>
      <c r="L291" s="39"/>
      <c r="M291" s="39"/>
      <c r="N291" s="39"/>
      <c r="O291" s="39"/>
      <c r="P291" s="39"/>
      <c r="Q291" s="143">
        <f t="shared" ref="Q291" si="230">SUM(Q290)</f>
        <v>882.43200000000036</v>
      </c>
      <c r="R291" s="143">
        <f t="shared" ref="R291" si="231">SUM(R290)</f>
        <v>212.57786880000009</v>
      </c>
      <c r="S291" s="155">
        <f t="shared" ref="S291" si="232">SUM(S290)</f>
        <v>1095.0098688000005</v>
      </c>
    </row>
    <row r="292" spans="2:19" s="2" customFormat="1" ht="13.5" customHeight="1" x14ac:dyDescent="0.2">
      <c r="B292" s="853" t="s">
        <v>213</v>
      </c>
      <c r="C292" s="854"/>
      <c r="D292" s="854"/>
      <c r="E292" s="854"/>
      <c r="F292" s="854"/>
      <c r="G292" s="854"/>
      <c r="H292" s="854"/>
      <c r="I292" s="854"/>
      <c r="J292" s="854"/>
      <c r="K292" s="854"/>
      <c r="L292" s="854"/>
      <c r="M292" s="854"/>
      <c r="N292" s="854"/>
      <c r="O292" s="854"/>
      <c r="P292" s="854"/>
      <c r="Q292" s="854"/>
      <c r="R292" s="854"/>
      <c r="S292" s="855"/>
    </row>
    <row r="293" spans="2:19" ht="13.5" customHeight="1" x14ac:dyDescent="0.2">
      <c r="B293" s="837" t="s">
        <v>20</v>
      </c>
      <c r="C293" s="838"/>
      <c r="D293" s="838"/>
      <c r="E293" s="838"/>
      <c r="F293" s="839"/>
      <c r="G293" s="11"/>
      <c r="H293" s="45"/>
      <c r="I293" s="45"/>
      <c r="J293" s="323"/>
      <c r="K293" s="153"/>
      <c r="L293" s="61"/>
      <c r="M293" s="61"/>
      <c r="N293" s="61"/>
      <c r="O293" s="61"/>
      <c r="P293" s="61"/>
      <c r="Q293" s="61"/>
      <c r="R293" s="61"/>
      <c r="S293" s="150"/>
    </row>
    <row r="294" spans="2:19" x14ac:dyDescent="0.2">
      <c r="B294" s="168" t="s">
        <v>2</v>
      </c>
      <c r="C294" s="169" t="s">
        <v>21</v>
      </c>
      <c r="D294" s="170" t="s">
        <v>14</v>
      </c>
      <c r="E294" s="170">
        <v>10</v>
      </c>
      <c r="F294" s="170">
        <v>3</v>
      </c>
      <c r="G294" s="171">
        <v>1287</v>
      </c>
      <c r="H294" s="170">
        <v>1245</v>
      </c>
      <c r="I294" s="170">
        <v>124.5</v>
      </c>
      <c r="J294" s="172">
        <v>0.15</v>
      </c>
      <c r="K294" s="97">
        <f t="shared" ref="K294:K295" si="233">H294*1.2</f>
        <v>1494</v>
      </c>
      <c r="L294" s="59">
        <f>IF(K294&lt;=G294,K294,G294)</f>
        <v>1287</v>
      </c>
      <c r="M294" s="87">
        <f>N294-I294</f>
        <v>4.2000000000000171</v>
      </c>
      <c r="N294" s="67">
        <f>I294/H294*L294</f>
        <v>128.70000000000002</v>
      </c>
      <c r="O294" s="59">
        <f>L294-H294+M294</f>
        <v>46.200000000000017</v>
      </c>
      <c r="P294" s="67">
        <f>O294*J294</f>
        <v>6.9300000000000024</v>
      </c>
      <c r="Q294" s="68">
        <f>P294*12</f>
        <v>83.160000000000025</v>
      </c>
      <c r="R294" s="68">
        <f>Q294*0.2409</f>
        <v>20.033244000000007</v>
      </c>
      <c r="S294" s="69">
        <f>Q294+R294</f>
        <v>103.19324400000004</v>
      </c>
    </row>
    <row r="295" spans="2:19" x14ac:dyDescent="0.2">
      <c r="B295" s="90" t="s">
        <v>2</v>
      </c>
      <c r="C295" s="169" t="s">
        <v>21</v>
      </c>
      <c r="D295" s="170" t="s">
        <v>14</v>
      </c>
      <c r="E295" s="3">
        <v>10</v>
      </c>
      <c r="F295" s="3">
        <v>3</v>
      </c>
      <c r="G295" s="4">
        <v>1287</v>
      </c>
      <c r="H295" s="3">
        <v>825</v>
      </c>
      <c r="I295" s="3"/>
      <c r="J295" s="173">
        <v>1</v>
      </c>
      <c r="K295" s="97">
        <f t="shared" si="233"/>
        <v>990</v>
      </c>
      <c r="L295" s="59">
        <f>IF(K295&lt;=G295,K295,G295)</f>
        <v>990</v>
      </c>
      <c r="M295" s="87">
        <f>N295-I295</f>
        <v>0</v>
      </c>
      <c r="N295" s="67">
        <f>I295/H295*L295</f>
        <v>0</v>
      </c>
      <c r="O295" s="59">
        <f>L295-H295+M295</f>
        <v>165</v>
      </c>
      <c r="P295" s="67">
        <f>O295*J295</f>
        <v>165</v>
      </c>
      <c r="Q295" s="68">
        <f>P295*12</f>
        <v>1980</v>
      </c>
      <c r="R295" s="68">
        <f>Q295*0.2409</f>
        <v>476.98200000000003</v>
      </c>
      <c r="S295" s="69">
        <f>Q295+R295</f>
        <v>2456.982</v>
      </c>
    </row>
    <row r="296" spans="2:19" s="101" customFormat="1" x14ac:dyDescent="0.25">
      <c r="B296" s="119" t="s">
        <v>4</v>
      </c>
      <c r="C296" s="103"/>
      <c r="D296" s="103"/>
      <c r="E296" s="103"/>
      <c r="F296" s="103"/>
      <c r="G296" s="105"/>
      <c r="H296" s="106"/>
      <c r="I296" s="76"/>
      <c r="J296" s="123">
        <f>SUM(J294:J295)</f>
        <v>1.1499999999999999</v>
      </c>
      <c r="K296" s="118"/>
      <c r="L296" s="76"/>
      <c r="M296" s="77"/>
      <c r="N296" s="78"/>
      <c r="O296" s="76"/>
      <c r="P296" s="78"/>
      <c r="Q296" s="79">
        <f t="shared" ref="Q296:S296" si="234">SUM(Q294:Q295)</f>
        <v>2063.16</v>
      </c>
      <c r="R296" s="79">
        <f t="shared" si="234"/>
        <v>497.01524400000005</v>
      </c>
      <c r="S296" s="80">
        <f t="shared" si="234"/>
        <v>2560.175244</v>
      </c>
    </row>
    <row r="297" spans="2:19" s="2" customFormat="1" ht="12.75" customHeight="1" x14ac:dyDescent="0.2">
      <c r="B297" s="837" t="s">
        <v>10</v>
      </c>
      <c r="C297" s="838"/>
      <c r="D297" s="838"/>
      <c r="E297" s="838"/>
      <c r="F297" s="839"/>
      <c r="G297" s="11"/>
      <c r="H297" s="45"/>
      <c r="I297" s="45"/>
      <c r="J297" s="323"/>
      <c r="K297" s="153"/>
      <c r="L297" s="61"/>
      <c r="M297" s="61"/>
      <c r="N297" s="61"/>
      <c r="O297" s="61"/>
      <c r="P297" s="61"/>
      <c r="Q297" s="61"/>
      <c r="R297" s="61"/>
      <c r="S297" s="150"/>
    </row>
    <row r="298" spans="2:19" x14ac:dyDescent="0.2">
      <c r="B298" s="90" t="s">
        <v>12</v>
      </c>
      <c r="C298" s="174" t="s">
        <v>21</v>
      </c>
      <c r="D298" s="3" t="s">
        <v>205</v>
      </c>
      <c r="E298" s="3">
        <v>8</v>
      </c>
      <c r="F298" s="3">
        <v>3</v>
      </c>
      <c r="G298" s="4">
        <v>1093</v>
      </c>
      <c r="H298" s="3">
        <v>1080</v>
      </c>
      <c r="I298" s="3"/>
      <c r="J298" s="173">
        <v>0.5</v>
      </c>
      <c r="K298" s="97">
        <f t="shared" ref="K298:K315" si="235">H298*1.2</f>
        <v>1296</v>
      </c>
      <c r="L298" s="59">
        <f t="shared" ref="L298:L315" si="236">IF(K298&lt;=G298,K298,G298)</f>
        <v>1093</v>
      </c>
      <c r="M298" s="87">
        <f t="shared" ref="M298:M315" si="237">N298-I298</f>
        <v>0</v>
      </c>
      <c r="N298" s="67">
        <f t="shared" ref="N298:N315" si="238">I298/H298*L298</f>
        <v>0</v>
      </c>
      <c r="O298" s="59">
        <f t="shared" ref="O298:O315" si="239">L298-H298+M298</f>
        <v>13</v>
      </c>
      <c r="P298" s="67">
        <f t="shared" ref="P298:P315" si="240">O298*J298</f>
        <v>6.5</v>
      </c>
      <c r="Q298" s="68">
        <f t="shared" ref="Q298:Q315" si="241">P298*12</f>
        <v>78</v>
      </c>
      <c r="R298" s="68">
        <f t="shared" ref="R298:R315" si="242">Q298*0.2409</f>
        <v>18.790199999999999</v>
      </c>
      <c r="S298" s="69">
        <f t="shared" ref="S298:S315" si="243">Q298+R298</f>
        <v>96.790199999999999</v>
      </c>
    </row>
    <row r="299" spans="2:19" x14ac:dyDescent="0.2">
      <c r="B299" s="90" t="s">
        <v>12</v>
      </c>
      <c r="C299" s="174" t="s">
        <v>21</v>
      </c>
      <c r="D299" s="3" t="s">
        <v>205</v>
      </c>
      <c r="E299" s="3">
        <v>8</v>
      </c>
      <c r="F299" s="3">
        <v>3</v>
      </c>
      <c r="G299" s="4">
        <v>1093</v>
      </c>
      <c r="H299" s="3">
        <v>1048</v>
      </c>
      <c r="I299" s="3"/>
      <c r="J299" s="173">
        <v>0.75</v>
      </c>
      <c r="K299" s="97">
        <f t="shared" si="235"/>
        <v>1257.5999999999999</v>
      </c>
      <c r="L299" s="59">
        <f t="shared" si="236"/>
        <v>1093</v>
      </c>
      <c r="M299" s="87">
        <f t="shared" si="237"/>
        <v>0</v>
      </c>
      <c r="N299" s="67">
        <f t="shared" si="238"/>
        <v>0</v>
      </c>
      <c r="O299" s="59">
        <f t="shared" si="239"/>
        <v>45</v>
      </c>
      <c r="P299" s="67">
        <f t="shared" si="240"/>
        <v>33.75</v>
      </c>
      <c r="Q299" s="68">
        <f t="shared" si="241"/>
        <v>405</v>
      </c>
      <c r="R299" s="68">
        <f t="shared" si="242"/>
        <v>97.564499999999995</v>
      </c>
      <c r="S299" s="69">
        <f t="shared" si="243"/>
        <v>502.56450000000001</v>
      </c>
    </row>
    <row r="300" spans="2:19" x14ac:dyDescent="0.2">
      <c r="B300" s="90" t="s">
        <v>12</v>
      </c>
      <c r="C300" s="174" t="s">
        <v>21</v>
      </c>
      <c r="D300" s="3" t="s">
        <v>205</v>
      </c>
      <c r="E300" s="3">
        <v>8</v>
      </c>
      <c r="F300" s="3">
        <v>3</v>
      </c>
      <c r="G300" s="4">
        <v>1093</v>
      </c>
      <c r="H300" s="3">
        <v>889</v>
      </c>
      <c r="I300" s="3"/>
      <c r="J300" s="173">
        <v>1</v>
      </c>
      <c r="K300" s="97">
        <f t="shared" si="235"/>
        <v>1066.8</v>
      </c>
      <c r="L300" s="59">
        <f t="shared" si="236"/>
        <v>1066.8</v>
      </c>
      <c r="M300" s="87">
        <f t="shared" si="237"/>
        <v>0</v>
      </c>
      <c r="N300" s="67">
        <f t="shared" si="238"/>
        <v>0</v>
      </c>
      <c r="O300" s="59">
        <f t="shared" si="239"/>
        <v>177.79999999999995</v>
      </c>
      <c r="P300" s="67">
        <f t="shared" si="240"/>
        <v>177.79999999999995</v>
      </c>
      <c r="Q300" s="68">
        <f t="shared" si="241"/>
        <v>2133.5999999999995</v>
      </c>
      <c r="R300" s="68">
        <f t="shared" si="242"/>
        <v>513.98423999999989</v>
      </c>
      <c r="S300" s="69">
        <f t="shared" si="243"/>
        <v>2647.5842399999992</v>
      </c>
    </row>
    <row r="301" spans="2:19" x14ac:dyDescent="0.2">
      <c r="B301" s="90" t="s">
        <v>12</v>
      </c>
      <c r="C301" s="174" t="s">
        <v>21</v>
      </c>
      <c r="D301" s="3" t="s">
        <v>205</v>
      </c>
      <c r="E301" s="3">
        <v>8</v>
      </c>
      <c r="F301" s="3">
        <v>3</v>
      </c>
      <c r="G301" s="4">
        <v>1093</v>
      </c>
      <c r="H301" s="3">
        <v>750</v>
      </c>
      <c r="I301" s="3"/>
      <c r="J301" s="173">
        <v>1</v>
      </c>
      <c r="K301" s="97">
        <f t="shared" si="235"/>
        <v>900</v>
      </c>
      <c r="L301" s="59">
        <f t="shared" si="236"/>
        <v>900</v>
      </c>
      <c r="M301" s="87">
        <f t="shared" si="237"/>
        <v>0</v>
      </c>
      <c r="N301" s="67">
        <f t="shared" si="238"/>
        <v>0</v>
      </c>
      <c r="O301" s="59">
        <f t="shared" si="239"/>
        <v>150</v>
      </c>
      <c r="P301" s="67">
        <f t="shared" si="240"/>
        <v>150</v>
      </c>
      <c r="Q301" s="68">
        <f t="shared" si="241"/>
        <v>1800</v>
      </c>
      <c r="R301" s="68">
        <f t="shared" si="242"/>
        <v>433.62</v>
      </c>
      <c r="S301" s="69">
        <f t="shared" si="243"/>
        <v>2233.62</v>
      </c>
    </row>
    <row r="302" spans="2:19" x14ac:dyDescent="0.2">
      <c r="B302" s="90" t="s">
        <v>12</v>
      </c>
      <c r="C302" s="174" t="s">
        <v>21</v>
      </c>
      <c r="D302" s="3" t="s">
        <v>205</v>
      </c>
      <c r="E302" s="3">
        <v>8</v>
      </c>
      <c r="F302" s="3">
        <v>3</v>
      </c>
      <c r="G302" s="4">
        <v>1093</v>
      </c>
      <c r="H302" s="3">
        <v>762</v>
      </c>
      <c r="I302" s="3"/>
      <c r="J302" s="173">
        <v>0.25</v>
      </c>
      <c r="K302" s="97">
        <f t="shared" si="235"/>
        <v>914.4</v>
      </c>
      <c r="L302" s="59">
        <f t="shared" si="236"/>
        <v>914.4</v>
      </c>
      <c r="M302" s="87">
        <f t="shared" si="237"/>
        <v>0</v>
      </c>
      <c r="N302" s="67">
        <f t="shared" si="238"/>
        <v>0</v>
      </c>
      <c r="O302" s="59">
        <f t="shared" si="239"/>
        <v>152.39999999999998</v>
      </c>
      <c r="P302" s="67">
        <f t="shared" si="240"/>
        <v>38.099999999999994</v>
      </c>
      <c r="Q302" s="68">
        <f t="shared" si="241"/>
        <v>457.19999999999993</v>
      </c>
      <c r="R302" s="68">
        <f t="shared" si="242"/>
        <v>110.13947999999999</v>
      </c>
      <c r="S302" s="69">
        <f t="shared" si="243"/>
        <v>567.33947999999987</v>
      </c>
    </row>
    <row r="303" spans="2:19" x14ac:dyDescent="0.2">
      <c r="B303" s="90" t="s">
        <v>206</v>
      </c>
      <c r="C303" s="174" t="s">
        <v>21</v>
      </c>
      <c r="D303" s="3" t="s">
        <v>207</v>
      </c>
      <c r="E303" s="3">
        <v>8</v>
      </c>
      <c r="F303" s="3">
        <v>1</v>
      </c>
      <c r="G303" s="4">
        <v>745</v>
      </c>
      <c r="H303" s="3">
        <v>745</v>
      </c>
      <c r="I303" s="3"/>
      <c r="J303" s="173">
        <v>0.25</v>
      </c>
      <c r="K303" s="97">
        <f>H303*1.2</f>
        <v>894</v>
      </c>
      <c r="L303" s="59">
        <f t="shared" si="236"/>
        <v>745</v>
      </c>
      <c r="M303" s="87">
        <f t="shared" si="237"/>
        <v>0</v>
      </c>
      <c r="N303" s="67">
        <f t="shared" si="238"/>
        <v>0</v>
      </c>
      <c r="O303" s="59">
        <f t="shared" si="239"/>
        <v>0</v>
      </c>
      <c r="P303" s="67">
        <f t="shared" si="240"/>
        <v>0</v>
      </c>
      <c r="Q303" s="68">
        <f t="shared" si="241"/>
        <v>0</v>
      </c>
      <c r="R303" s="68">
        <f t="shared" si="242"/>
        <v>0</v>
      </c>
      <c r="S303" s="69">
        <f t="shared" si="243"/>
        <v>0</v>
      </c>
    </row>
    <row r="304" spans="2:19" x14ac:dyDescent="0.2">
      <c r="B304" s="90" t="s">
        <v>130</v>
      </c>
      <c r="C304" s="174" t="s">
        <v>21</v>
      </c>
      <c r="D304" s="3" t="s">
        <v>207</v>
      </c>
      <c r="E304" s="3">
        <v>8</v>
      </c>
      <c r="F304" s="3">
        <v>3</v>
      </c>
      <c r="G304" s="4">
        <v>1093</v>
      </c>
      <c r="H304" s="3">
        <v>991</v>
      </c>
      <c r="I304" s="3">
        <v>148.65</v>
      </c>
      <c r="J304" s="173">
        <v>0.3</v>
      </c>
      <c r="K304" s="97">
        <f t="shared" si="235"/>
        <v>1189.2</v>
      </c>
      <c r="L304" s="59">
        <f t="shared" si="236"/>
        <v>1093</v>
      </c>
      <c r="M304" s="87">
        <f t="shared" si="237"/>
        <v>15.299999999999983</v>
      </c>
      <c r="N304" s="67">
        <f t="shared" si="238"/>
        <v>163.95</v>
      </c>
      <c r="O304" s="59">
        <f t="shared" si="239"/>
        <v>117.29999999999998</v>
      </c>
      <c r="P304" s="67">
        <f t="shared" si="240"/>
        <v>35.189999999999991</v>
      </c>
      <c r="Q304" s="68">
        <f t="shared" si="241"/>
        <v>422.27999999999986</v>
      </c>
      <c r="R304" s="68">
        <f t="shared" si="242"/>
        <v>101.72725199999996</v>
      </c>
      <c r="S304" s="69">
        <f t="shared" si="243"/>
        <v>524.00725199999988</v>
      </c>
    </row>
    <row r="305" spans="2:19" x14ac:dyDescent="0.2">
      <c r="B305" s="90" t="s">
        <v>59</v>
      </c>
      <c r="C305" s="174" t="s">
        <v>22</v>
      </c>
      <c r="D305" s="3" t="s">
        <v>49</v>
      </c>
      <c r="E305" s="3">
        <v>8</v>
      </c>
      <c r="F305" s="3">
        <v>3</v>
      </c>
      <c r="G305" s="4">
        <v>1093</v>
      </c>
      <c r="H305" s="3">
        <v>737</v>
      </c>
      <c r="I305" s="3">
        <v>184.25</v>
      </c>
      <c r="J305" s="173">
        <v>0.5</v>
      </c>
      <c r="K305" s="97">
        <f t="shared" si="235"/>
        <v>884.4</v>
      </c>
      <c r="L305" s="59">
        <f t="shared" si="236"/>
        <v>884.4</v>
      </c>
      <c r="M305" s="87">
        <f t="shared" si="237"/>
        <v>36.849999999999994</v>
      </c>
      <c r="N305" s="67">
        <f t="shared" si="238"/>
        <v>221.1</v>
      </c>
      <c r="O305" s="59">
        <f t="shared" si="239"/>
        <v>184.24999999999997</v>
      </c>
      <c r="P305" s="67">
        <f t="shared" si="240"/>
        <v>92.124999999999986</v>
      </c>
      <c r="Q305" s="68">
        <f t="shared" si="241"/>
        <v>1105.4999999999998</v>
      </c>
      <c r="R305" s="68">
        <f t="shared" si="242"/>
        <v>266.31494999999995</v>
      </c>
      <c r="S305" s="69">
        <f t="shared" si="243"/>
        <v>1371.8149499999997</v>
      </c>
    </row>
    <row r="306" spans="2:19" x14ac:dyDescent="0.2">
      <c r="B306" s="90" t="s">
        <v>25</v>
      </c>
      <c r="C306" s="174" t="s">
        <v>22</v>
      </c>
      <c r="D306" s="3" t="s">
        <v>14</v>
      </c>
      <c r="E306" s="3">
        <v>7</v>
      </c>
      <c r="F306" s="3">
        <v>3</v>
      </c>
      <c r="G306" s="4">
        <v>996</v>
      </c>
      <c r="H306" s="3">
        <v>648</v>
      </c>
      <c r="I306" s="43">
        <v>97.2</v>
      </c>
      <c r="J306" s="173">
        <v>1</v>
      </c>
      <c r="K306" s="97">
        <f t="shared" si="235"/>
        <v>777.6</v>
      </c>
      <c r="L306" s="59">
        <f t="shared" si="236"/>
        <v>777.6</v>
      </c>
      <c r="M306" s="87">
        <f t="shared" si="237"/>
        <v>19.439999999999998</v>
      </c>
      <c r="N306" s="67">
        <f t="shared" si="238"/>
        <v>116.64</v>
      </c>
      <c r="O306" s="59">
        <f t="shared" si="239"/>
        <v>149.04000000000002</v>
      </c>
      <c r="P306" s="67">
        <f t="shared" si="240"/>
        <v>149.04000000000002</v>
      </c>
      <c r="Q306" s="68">
        <f t="shared" si="241"/>
        <v>1788.4800000000002</v>
      </c>
      <c r="R306" s="68">
        <f t="shared" si="242"/>
        <v>430.84483200000005</v>
      </c>
      <c r="S306" s="69">
        <f t="shared" si="243"/>
        <v>2219.3248320000002</v>
      </c>
    </row>
    <row r="307" spans="2:19" x14ac:dyDescent="0.2">
      <c r="B307" s="90" t="s">
        <v>25</v>
      </c>
      <c r="C307" s="174" t="s">
        <v>22</v>
      </c>
      <c r="D307" s="3" t="s">
        <v>14</v>
      </c>
      <c r="E307" s="3">
        <v>7</v>
      </c>
      <c r="F307" s="3">
        <v>3</v>
      </c>
      <c r="G307" s="4">
        <v>996</v>
      </c>
      <c r="H307" s="3">
        <v>648</v>
      </c>
      <c r="I307" s="43">
        <v>64.8</v>
      </c>
      <c r="J307" s="173">
        <v>2</v>
      </c>
      <c r="K307" s="97">
        <f t="shared" si="235"/>
        <v>777.6</v>
      </c>
      <c r="L307" s="59">
        <f t="shared" si="236"/>
        <v>777.6</v>
      </c>
      <c r="M307" s="87">
        <f t="shared" si="237"/>
        <v>12.959999999999994</v>
      </c>
      <c r="N307" s="67">
        <f t="shared" si="238"/>
        <v>77.759999999999991</v>
      </c>
      <c r="O307" s="59">
        <f t="shared" si="239"/>
        <v>142.56</v>
      </c>
      <c r="P307" s="67">
        <f t="shared" si="240"/>
        <v>285.12</v>
      </c>
      <c r="Q307" s="68">
        <f t="shared" si="241"/>
        <v>3421.44</v>
      </c>
      <c r="R307" s="68">
        <f t="shared" si="242"/>
        <v>824.22489600000006</v>
      </c>
      <c r="S307" s="69">
        <f t="shared" si="243"/>
        <v>4245.6648960000002</v>
      </c>
    </row>
    <row r="308" spans="2:19" x14ac:dyDescent="0.2">
      <c r="B308" s="90" t="s">
        <v>25</v>
      </c>
      <c r="C308" s="174" t="s">
        <v>22</v>
      </c>
      <c r="D308" s="3" t="s">
        <v>14</v>
      </c>
      <c r="E308" s="3">
        <v>7</v>
      </c>
      <c r="F308" s="3">
        <v>2</v>
      </c>
      <c r="G308" s="4">
        <v>835</v>
      </c>
      <c r="H308" s="3">
        <v>762</v>
      </c>
      <c r="I308" s="3"/>
      <c r="J308" s="173">
        <v>1.25</v>
      </c>
      <c r="K308" s="97">
        <f t="shared" si="235"/>
        <v>914.4</v>
      </c>
      <c r="L308" s="59">
        <f t="shared" si="236"/>
        <v>835</v>
      </c>
      <c r="M308" s="87">
        <f t="shared" si="237"/>
        <v>0</v>
      </c>
      <c r="N308" s="67">
        <f t="shared" si="238"/>
        <v>0</v>
      </c>
      <c r="O308" s="59">
        <f t="shared" si="239"/>
        <v>73</v>
      </c>
      <c r="P308" s="67">
        <f t="shared" si="240"/>
        <v>91.25</v>
      </c>
      <c r="Q308" s="68">
        <f t="shared" si="241"/>
        <v>1095</v>
      </c>
      <c r="R308" s="68">
        <f t="shared" si="242"/>
        <v>263.78550000000001</v>
      </c>
      <c r="S308" s="69">
        <f t="shared" si="243"/>
        <v>1358.7855</v>
      </c>
    </row>
    <row r="309" spans="2:19" x14ac:dyDescent="0.2">
      <c r="B309" s="90" t="s">
        <v>25</v>
      </c>
      <c r="C309" s="174" t="s">
        <v>22</v>
      </c>
      <c r="D309" s="3" t="s">
        <v>14</v>
      </c>
      <c r="E309" s="3">
        <v>7</v>
      </c>
      <c r="F309" s="3">
        <v>3</v>
      </c>
      <c r="G309" s="4">
        <v>996</v>
      </c>
      <c r="H309" s="3">
        <v>850</v>
      </c>
      <c r="I309" s="3"/>
      <c r="J309" s="173">
        <v>0.5</v>
      </c>
      <c r="K309" s="97">
        <f t="shared" si="235"/>
        <v>1020</v>
      </c>
      <c r="L309" s="59">
        <f t="shared" si="236"/>
        <v>996</v>
      </c>
      <c r="M309" s="87">
        <f t="shared" si="237"/>
        <v>0</v>
      </c>
      <c r="N309" s="67">
        <f t="shared" si="238"/>
        <v>0</v>
      </c>
      <c r="O309" s="59">
        <f t="shared" si="239"/>
        <v>146</v>
      </c>
      <c r="P309" s="67">
        <f t="shared" si="240"/>
        <v>73</v>
      </c>
      <c r="Q309" s="68">
        <f t="shared" si="241"/>
        <v>876</v>
      </c>
      <c r="R309" s="68">
        <f t="shared" si="242"/>
        <v>211.0284</v>
      </c>
      <c r="S309" s="69">
        <f t="shared" si="243"/>
        <v>1087.0283999999999</v>
      </c>
    </row>
    <row r="310" spans="2:19" x14ac:dyDescent="0.2">
      <c r="B310" s="90" t="s">
        <v>25</v>
      </c>
      <c r="C310" s="174" t="s">
        <v>22</v>
      </c>
      <c r="D310" s="3" t="s">
        <v>14</v>
      </c>
      <c r="E310" s="3">
        <v>7</v>
      </c>
      <c r="F310" s="3">
        <v>3</v>
      </c>
      <c r="G310" s="4">
        <v>996</v>
      </c>
      <c r="H310" s="3">
        <v>724</v>
      </c>
      <c r="I310" s="3"/>
      <c r="J310" s="173">
        <v>1</v>
      </c>
      <c r="K310" s="97">
        <f t="shared" si="235"/>
        <v>868.8</v>
      </c>
      <c r="L310" s="59">
        <f t="shared" si="236"/>
        <v>868.8</v>
      </c>
      <c r="M310" s="87">
        <f t="shared" si="237"/>
        <v>0</v>
      </c>
      <c r="N310" s="67">
        <f t="shared" si="238"/>
        <v>0</v>
      </c>
      <c r="O310" s="59">
        <f t="shared" si="239"/>
        <v>144.79999999999995</v>
      </c>
      <c r="P310" s="67">
        <f t="shared" si="240"/>
        <v>144.79999999999995</v>
      </c>
      <c r="Q310" s="68">
        <f t="shared" si="241"/>
        <v>1737.5999999999995</v>
      </c>
      <c r="R310" s="68">
        <f t="shared" si="242"/>
        <v>418.58783999999986</v>
      </c>
      <c r="S310" s="69">
        <f t="shared" si="243"/>
        <v>2156.1878399999991</v>
      </c>
    </row>
    <row r="311" spans="2:19" x14ac:dyDescent="0.2">
      <c r="B311" s="90" t="s">
        <v>25</v>
      </c>
      <c r="C311" s="174" t="s">
        <v>22</v>
      </c>
      <c r="D311" s="3" t="s">
        <v>14</v>
      </c>
      <c r="E311" s="3">
        <v>7</v>
      </c>
      <c r="F311" s="3">
        <v>3</v>
      </c>
      <c r="G311" s="4">
        <v>996</v>
      </c>
      <c r="H311" s="3">
        <v>700</v>
      </c>
      <c r="I311" s="3"/>
      <c r="J311" s="173">
        <v>1</v>
      </c>
      <c r="K311" s="97">
        <f t="shared" si="235"/>
        <v>840</v>
      </c>
      <c r="L311" s="59">
        <f t="shared" si="236"/>
        <v>840</v>
      </c>
      <c r="M311" s="87">
        <f t="shared" si="237"/>
        <v>0</v>
      </c>
      <c r="N311" s="67">
        <f t="shared" si="238"/>
        <v>0</v>
      </c>
      <c r="O311" s="59">
        <f t="shared" si="239"/>
        <v>140</v>
      </c>
      <c r="P311" s="67">
        <f t="shared" si="240"/>
        <v>140</v>
      </c>
      <c r="Q311" s="68">
        <f t="shared" si="241"/>
        <v>1680</v>
      </c>
      <c r="R311" s="68">
        <f t="shared" si="242"/>
        <v>404.71199999999999</v>
      </c>
      <c r="S311" s="69">
        <f t="shared" si="243"/>
        <v>2084.712</v>
      </c>
    </row>
    <row r="312" spans="2:19" x14ac:dyDescent="0.2">
      <c r="B312" s="90" t="s">
        <v>25</v>
      </c>
      <c r="C312" s="174" t="s">
        <v>22</v>
      </c>
      <c r="D312" s="3" t="s">
        <v>14</v>
      </c>
      <c r="E312" s="3">
        <v>7</v>
      </c>
      <c r="F312" s="3">
        <v>3</v>
      </c>
      <c r="G312" s="4">
        <v>996</v>
      </c>
      <c r="H312" s="3">
        <v>660</v>
      </c>
      <c r="I312" s="3"/>
      <c r="J312" s="173">
        <v>0.7</v>
      </c>
      <c r="K312" s="97">
        <f t="shared" si="235"/>
        <v>792</v>
      </c>
      <c r="L312" s="59">
        <f t="shared" si="236"/>
        <v>792</v>
      </c>
      <c r="M312" s="87">
        <f t="shared" si="237"/>
        <v>0</v>
      </c>
      <c r="N312" s="67">
        <f t="shared" si="238"/>
        <v>0</v>
      </c>
      <c r="O312" s="59">
        <f t="shared" si="239"/>
        <v>132</v>
      </c>
      <c r="P312" s="67">
        <f t="shared" si="240"/>
        <v>92.399999999999991</v>
      </c>
      <c r="Q312" s="68">
        <f t="shared" si="241"/>
        <v>1108.8</v>
      </c>
      <c r="R312" s="68">
        <f t="shared" si="242"/>
        <v>267.10991999999999</v>
      </c>
      <c r="S312" s="69">
        <f t="shared" si="243"/>
        <v>1375.9099200000001</v>
      </c>
    </row>
    <row r="313" spans="2:19" x14ac:dyDescent="0.2">
      <c r="B313" s="90" t="s">
        <v>25</v>
      </c>
      <c r="C313" s="174" t="s">
        <v>22</v>
      </c>
      <c r="D313" s="3" t="s">
        <v>45</v>
      </c>
      <c r="E313" s="3">
        <v>6</v>
      </c>
      <c r="F313" s="3">
        <v>3</v>
      </c>
      <c r="G313" s="4">
        <v>899</v>
      </c>
      <c r="H313" s="3">
        <v>899</v>
      </c>
      <c r="I313" s="3"/>
      <c r="J313" s="173">
        <v>1</v>
      </c>
      <c r="K313" s="97">
        <f t="shared" si="235"/>
        <v>1078.8</v>
      </c>
      <c r="L313" s="59">
        <f t="shared" si="236"/>
        <v>899</v>
      </c>
      <c r="M313" s="87">
        <f t="shared" si="237"/>
        <v>0</v>
      </c>
      <c r="N313" s="67">
        <f t="shared" si="238"/>
        <v>0</v>
      </c>
      <c r="O313" s="59">
        <f t="shared" si="239"/>
        <v>0</v>
      </c>
      <c r="P313" s="67">
        <f t="shared" si="240"/>
        <v>0</v>
      </c>
      <c r="Q313" s="68">
        <f t="shared" si="241"/>
        <v>0</v>
      </c>
      <c r="R313" s="68">
        <f t="shared" si="242"/>
        <v>0</v>
      </c>
      <c r="S313" s="69">
        <f t="shared" si="243"/>
        <v>0</v>
      </c>
    </row>
    <row r="314" spans="2:19" x14ac:dyDescent="0.2">
      <c r="B314" s="90" t="s">
        <v>25</v>
      </c>
      <c r="C314" s="174" t="s">
        <v>22</v>
      </c>
      <c r="D314" s="3" t="s">
        <v>14</v>
      </c>
      <c r="E314" s="3">
        <v>7</v>
      </c>
      <c r="F314" s="3">
        <v>3</v>
      </c>
      <c r="G314" s="4">
        <v>996</v>
      </c>
      <c r="H314" s="3">
        <v>635</v>
      </c>
      <c r="I314" s="3"/>
      <c r="J314" s="173">
        <v>2</v>
      </c>
      <c r="K314" s="97">
        <f>H314*1.2</f>
        <v>762</v>
      </c>
      <c r="L314" s="59">
        <f t="shared" si="236"/>
        <v>762</v>
      </c>
      <c r="M314" s="87">
        <f t="shared" si="237"/>
        <v>0</v>
      </c>
      <c r="N314" s="67">
        <f t="shared" si="238"/>
        <v>0</v>
      </c>
      <c r="O314" s="59">
        <f t="shared" si="239"/>
        <v>127</v>
      </c>
      <c r="P314" s="67">
        <f t="shared" si="240"/>
        <v>254</v>
      </c>
      <c r="Q314" s="68">
        <f t="shared" si="241"/>
        <v>3048</v>
      </c>
      <c r="R314" s="68">
        <f t="shared" si="242"/>
        <v>734.26319999999998</v>
      </c>
      <c r="S314" s="69">
        <f t="shared" si="243"/>
        <v>3782.2631999999999</v>
      </c>
    </row>
    <row r="315" spans="2:19" x14ac:dyDescent="0.2">
      <c r="B315" s="120" t="s">
        <v>25</v>
      </c>
      <c r="C315" s="195" t="s">
        <v>22</v>
      </c>
      <c r="D315" s="121" t="s">
        <v>45</v>
      </c>
      <c r="E315" s="121">
        <v>6</v>
      </c>
      <c r="F315" s="121">
        <v>3</v>
      </c>
      <c r="G315" s="122">
        <v>899</v>
      </c>
      <c r="H315" s="121">
        <v>640</v>
      </c>
      <c r="I315" s="121"/>
      <c r="J315" s="196">
        <v>0.1</v>
      </c>
      <c r="K315" s="97">
        <f t="shared" si="235"/>
        <v>768</v>
      </c>
      <c r="L315" s="59">
        <f t="shared" si="236"/>
        <v>768</v>
      </c>
      <c r="M315" s="87">
        <f t="shared" si="237"/>
        <v>0</v>
      </c>
      <c r="N315" s="67">
        <f t="shared" si="238"/>
        <v>0</v>
      </c>
      <c r="O315" s="59">
        <f t="shared" si="239"/>
        <v>128</v>
      </c>
      <c r="P315" s="67">
        <f t="shared" si="240"/>
        <v>12.8</v>
      </c>
      <c r="Q315" s="68">
        <f t="shared" si="241"/>
        <v>153.60000000000002</v>
      </c>
      <c r="R315" s="68">
        <f t="shared" si="242"/>
        <v>37.002240000000008</v>
      </c>
      <c r="S315" s="69">
        <f t="shared" si="243"/>
        <v>190.60224000000002</v>
      </c>
    </row>
    <row r="316" spans="2:19" s="101" customFormat="1" x14ac:dyDescent="0.25">
      <c r="B316" s="119" t="s">
        <v>4</v>
      </c>
      <c r="C316" s="103"/>
      <c r="D316" s="103"/>
      <c r="E316" s="103"/>
      <c r="F316" s="103"/>
      <c r="G316" s="105"/>
      <c r="H316" s="106"/>
      <c r="I316" s="76"/>
      <c r="J316" s="123">
        <f>SUM(J298:J315)</f>
        <v>15.1</v>
      </c>
      <c r="K316" s="118"/>
      <c r="L316" s="76"/>
      <c r="M316" s="77"/>
      <c r="N316" s="78"/>
      <c r="O316" s="76"/>
      <c r="P316" s="78"/>
      <c r="Q316" s="79">
        <f t="shared" ref="Q316:S316" si="244">SUM(Q298:Q315)</f>
        <v>21310.499999999996</v>
      </c>
      <c r="R316" s="79">
        <f t="shared" si="244"/>
        <v>5133.6994500000001</v>
      </c>
      <c r="S316" s="80">
        <f t="shared" si="244"/>
        <v>26444.19945</v>
      </c>
    </row>
    <row r="317" spans="2:19" ht="13.5" x14ac:dyDescent="0.25">
      <c r="B317" s="840" t="s">
        <v>211</v>
      </c>
      <c r="C317" s="841"/>
      <c r="D317" s="841"/>
      <c r="E317" s="841"/>
      <c r="F317" s="841"/>
      <c r="G317" s="39"/>
      <c r="H317" s="39"/>
      <c r="I317" s="39"/>
      <c r="J317" s="265">
        <f>J316+J296</f>
        <v>16.25</v>
      </c>
      <c r="K317" s="154"/>
      <c r="L317" s="39"/>
      <c r="M317" s="39"/>
      <c r="N317" s="39"/>
      <c r="O317" s="39"/>
      <c r="P317" s="39"/>
      <c r="Q317" s="143">
        <f t="shared" ref="Q317:S317" si="245">Q316+Q296</f>
        <v>23373.659999999996</v>
      </c>
      <c r="R317" s="143">
        <f t="shared" si="245"/>
        <v>5630.7146940000002</v>
      </c>
      <c r="S317" s="155">
        <f t="shared" si="245"/>
        <v>29004.374693999998</v>
      </c>
    </row>
    <row r="318" spans="2:19" s="2" customFormat="1" ht="13.5" customHeight="1" x14ac:dyDescent="0.2">
      <c r="B318" s="853" t="s">
        <v>208</v>
      </c>
      <c r="C318" s="854"/>
      <c r="D318" s="854"/>
      <c r="E318" s="854"/>
      <c r="F318" s="854"/>
      <c r="G318" s="854"/>
      <c r="H318" s="854"/>
      <c r="I318" s="854"/>
      <c r="J318" s="854"/>
      <c r="K318" s="854"/>
      <c r="L318" s="854"/>
      <c r="M318" s="854"/>
      <c r="N318" s="854"/>
      <c r="O318" s="854"/>
      <c r="P318" s="854"/>
      <c r="Q318" s="854"/>
      <c r="R318" s="854"/>
      <c r="S318" s="855"/>
    </row>
    <row r="319" spans="2:19" ht="13.5" customHeight="1" x14ac:dyDescent="0.2">
      <c r="B319" s="837" t="s">
        <v>20</v>
      </c>
      <c r="C319" s="838"/>
      <c r="D319" s="838"/>
      <c r="E319" s="838"/>
      <c r="F319" s="839"/>
      <c r="G319" s="11"/>
      <c r="H319" s="45"/>
      <c r="I319" s="45"/>
      <c r="J319" s="323"/>
      <c r="K319" s="153"/>
      <c r="L319" s="61"/>
      <c r="M319" s="61"/>
      <c r="N319" s="61"/>
      <c r="O319" s="61"/>
      <c r="P319" s="61"/>
      <c r="Q319" s="61"/>
      <c r="R319" s="61"/>
      <c r="S319" s="150"/>
    </row>
    <row r="320" spans="2:19" x14ac:dyDescent="0.2">
      <c r="B320" s="168" t="s">
        <v>209</v>
      </c>
      <c r="C320" s="176" t="s">
        <v>13</v>
      </c>
      <c r="D320" s="170" t="s">
        <v>14</v>
      </c>
      <c r="E320" s="170">
        <v>10</v>
      </c>
      <c r="F320" s="170">
        <v>3</v>
      </c>
      <c r="G320" s="171">
        <v>1287</v>
      </c>
      <c r="H320" s="170">
        <v>933</v>
      </c>
      <c r="I320" s="170"/>
      <c r="J320" s="172">
        <v>1</v>
      </c>
      <c r="K320" s="97">
        <f t="shared" ref="K320:K325" si="246">H320*1.2</f>
        <v>1119.5999999999999</v>
      </c>
      <c r="L320" s="59">
        <f t="shared" ref="L320:L325" si="247">IF(K320&lt;=G320,K320,G320)</f>
        <v>1119.5999999999999</v>
      </c>
      <c r="M320" s="87">
        <f t="shared" ref="M320:M325" si="248">N320-I320</f>
        <v>0</v>
      </c>
      <c r="N320" s="67">
        <f t="shared" ref="N320:N325" si="249">I320/H320*L320</f>
        <v>0</v>
      </c>
      <c r="O320" s="59">
        <f t="shared" ref="O320:O325" si="250">L320-H320+M320</f>
        <v>186.59999999999991</v>
      </c>
      <c r="P320" s="67">
        <f t="shared" ref="P320:P325" si="251">O320*J320</f>
        <v>186.59999999999991</v>
      </c>
      <c r="Q320" s="68">
        <f t="shared" ref="Q320:Q325" si="252">P320*12</f>
        <v>2239.1999999999989</v>
      </c>
      <c r="R320" s="68">
        <f t="shared" ref="R320:R325" si="253">Q320*0.2409</f>
        <v>539.42327999999975</v>
      </c>
      <c r="S320" s="69">
        <f t="shared" ref="S320:S325" si="254">Q320+R320</f>
        <v>2778.6232799999989</v>
      </c>
    </row>
    <row r="321" spans="2:19" x14ac:dyDescent="0.2">
      <c r="B321" s="90" t="s">
        <v>209</v>
      </c>
      <c r="C321" s="5" t="s">
        <v>13</v>
      </c>
      <c r="D321" s="3" t="s">
        <v>63</v>
      </c>
      <c r="E321" s="3">
        <v>9</v>
      </c>
      <c r="F321" s="3">
        <v>3</v>
      </c>
      <c r="G321" s="4">
        <v>1190</v>
      </c>
      <c r="H321" s="3">
        <v>1190</v>
      </c>
      <c r="I321" s="3"/>
      <c r="J321" s="173">
        <v>0.4</v>
      </c>
      <c r="K321" s="97">
        <f t="shared" si="246"/>
        <v>1428</v>
      </c>
      <c r="L321" s="59">
        <f t="shared" si="247"/>
        <v>1190</v>
      </c>
      <c r="M321" s="87">
        <f t="shared" si="248"/>
        <v>0</v>
      </c>
      <c r="N321" s="67">
        <f t="shared" si="249"/>
        <v>0</v>
      </c>
      <c r="O321" s="59">
        <f t="shared" si="250"/>
        <v>0</v>
      </c>
      <c r="P321" s="67">
        <f t="shared" si="251"/>
        <v>0</v>
      </c>
      <c r="Q321" s="68">
        <f t="shared" si="252"/>
        <v>0</v>
      </c>
      <c r="R321" s="68">
        <f t="shared" si="253"/>
        <v>0</v>
      </c>
      <c r="S321" s="69">
        <f t="shared" si="254"/>
        <v>0</v>
      </c>
    </row>
    <row r="322" spans="2:19" x14ac:dyDescent="0.2">
      <c r="B322" s="90" t="s">
        <v>209</v>
      </c>
      <c r="C322" s="5" t="s">
        <v>13</v>
      </c>
      <c r="D322" s="3" t="s">
        <v>37</v>
      </c>
      <c r="E322" s="3">
        <v>8</v>
      </c>
      <c r="F322" s="3">
        <v>3</v>
      </c>
      <c r="G322" s="4">
        <v>1093</v>
      </c>
      <c r="H322" s="3">
        <v>790</v>
      </c>
      <c r="I322" s="3"/>
      <c r="J322" s="173">
        <v>1</v>
      </c>
      <c r="K322" s="97">
        <f t="shared" si="246"/>
        <v>948</v>
      </c>
      <c r="L322" s="59">
        <f t="shared" si="247"/>
        <v>948</v>
      </c>
      <c r="M322" s="87">
        <f t="shared" si="248"/>
        <v>0</v>
      </c>
      <c r="N322" s="67">
        <f t="shared" si="249"/>
        <v>0</v>
      </c>
      <c r="O322" s="59">
        <f t="shared" si="250"/>
        <v>158</v>
      </c>
      <c r="P322" s="67">
        <f t="shared" si="251"/>
        <v>158</v>
      </c>
      <c r="Q322" s="68">
        <f t="shared" si="252"/>
        <v>1896</v>
      </c>
      <c r="R322" s="68">
        <f t="shared" si="253"/>
        <v>456.74639999999999</v>
      </c>
      <c r="S322" s="69">
        <f t="shared" si="254"/>
        <v>2352.7464</v>
      </c>
    </row>
    <row r="323" spans="2:19" x14ac:dyDescent="0.2">
      <c r="B323" s="90" t="s">
        <v>209</v>
      </c>
      <c r="C323" s="5" t="s">
        <v>13</v>
      </c>
      <c r="D323" s="3" t="s">
        <v>63</v>
      </c>
      <c r="E323" s="3">
        <v>9</v>
      </c>
      <c r="F323" s="3">
        <v>2</v>
      </c>
      <c r="G323" s="4">
        <v>1015</v>
      </c>
      <c r="H323" s="3">
        <v>795</v>
      </c>
      <c r="I323" s="3"/>
      <c r="J323" s="173">
        <v>0.4</v>
      </c>
      <c r="K323" s="97">
        <f t="shared" si="246"/>
        <v>954</v>
      </c>
      <c r="L323" s="59">
        <f t="shared" si="247"/>
        <v>954</v>
      </c>
      <c r="M323" s="87">
        <f t="shared" si="248"/>
        <v>0</v>
      </c>
      <c r="N323" s="67">
        <f t="shared" si="249"/>
        <v>0</v>
      </c>
      <c r="O323" s="59">
        <f t="shared" si="250"/>
        <v>159</v>
      </c>
      <c r="P323" s="67">
        <f t="shared" si="251"/>
        <v>63.6</v>
      </c>
      <c r="Q323" s="68">
        <f t="shared" si="252"/>
        <v>763.2</v>
      </c>
      <c r="R323" s="68">
        <f t="shared" si="253"/>
        <v>183.85488000000001</v>
      </c>
      <c r="S323" s="69">
        <f t="shared" si="254"/>
        <v>947.05488000000003</v>
      </c>
    </row>
    <row r="324" spans="2:19" x14ac:dyDescent="0.2">
      <c r="B324" s="90" t="s">
        <v>209</v>
      </c>
      <c r="C324" s="5" t="s">
        <v>13</v>
      </c>
      <c r="D324" s="3" t="s">
        <v>63</v>
      </c>
      <c r="E324" s="3">
        <v>9</v>
      </c>
      <c r="F324" s="3">
        <v>2</v>
      </c>
      <c r="G324" s="4">
        <v>1015</v>
      </c>
      <c r="H324" s="3">
        <v>600</v>
      </c>
      <c r="I324" s="3"/>
      <c r="J324" s="173">
        <v>1</v>
      </c>
      <c r="K324" s="97">
        <f t="shared" si="246"/>
        <v>720</v>
      </c>
      <c r="L324" s="59">
        <f t="shared" si="247"/>
        <v>720</v>
      </c>
      <c r="M324" s="87">
        <f t="shared" si="248"/>
        <v>0</v>
      </c>
      <c r="N324" s="67">
        <f t="shared" si="249"/>
        <v>0</v>
      </c>
      <c r="O324" s="59">
        <f t="shared" si="250"/>
        <v>120</v>
      </c>
      <c r="P324" s="67">
        <f t="shared" si="251"/>
        <v>120</v>
      </c>
      <c r="Q324" s="68">
        <f t="shared" si="252"/>
        <v>1440</v>
      </c>
      <c r="R324" s="68">
        <f t="shared" si="253"/>
        <v>346.89600000000002</v>
      </c>
      <c r="S324" s="69">
        <f t="shared" si="254"/>
        <v>1786.896</v>
      </c>
    </row>
    <row r="325" spans="2:19" x14ac:dyDescent="0.2">
      <c r="B325" s="90" t="s">
        <v>65</v>
      </c>
      <c r="C325" s="5" t="s">
        <v>13</v>
      </c>
      <c r="D325" s="3" t="s">
        <v>37</v>
      </c>
      <c r="E325" s="3">
        <v>8</v>
      </c>
      <c r="F325" s="3">
        <v>1</v>
      </c>
      <c r="G325" s="4">
        <v>745</v>
      </c>
      <c r="H325" s="3">
        <v>500</v>
      </c>
      <c r="I325" s="3"/>
      <c r="J325" s="173">
        <v>1</v>
      </c>
      <c r="K325" s="97">
        <f t="shared" si="246"/>
        <v>600</v>
      </c>
      <c r="L325" s="59">
        <f t="shared" si="247"/>
        <v>600</v>
      </c>
      <c r="M325" s="87">
        <f t="shared" si="248"/>
        <v>0</v>
      </c>
      <c r="N325" s="67">
        <f t="shared" si="249"/>
        <v>0</v>
      </c>
      <c r="O325" s="59">
        <f t="shared" si="250"/>
        <v>100</v>
      </c>
      <c r="P325" s="67">
        <f t="shared" si="251"/>
        <v>100</v>
      </c>
      <c r="Q325" s="68">
        <f t="shared" si="252"/>
        <v>1200</v>
      </c>
      <c r="R325" s="68">
        <f t="shared" si="253"/>
        <v>289.08</v>
      </c>
      <c r="S325" s="69">
        <f t="shared" si="254"/>
        <v>1489.08</v>
      </c>
    </row>
    <row r="326" spans="2:19" s="101" customFormat="1" x14ac:dyDescent="0.25">
      <c r="B326" s="119" t="s">
        <v>4</v>
      </c>
      <c r="C326" s="103"/>
      <c r="D326" s="103"/>
      <c r="E326" s="103"/>
      <c r="F326" s="103"/>
      <c r="G326" s="105"/>
      <c r="H326" s="106"/>
      <c r="I326" s="76"/>
      <c r="J326" s="123">
        <f>SUM(J320:J325)</f>
        <v>4.8</v>
      </c>
      <c r="K326" s="118"/>
      <c r="L326" s="76"/>
      <c r="M326" s="77"/>
      <c r="N326" s="78"/>
      <c r="O326" s="76"/>
      <c r="P326" s="78"/>
      <c r="Q326" s="79">
        <f t="shared" ref="Q326:S326" si="255">SUM(Q320:Q325)</f>
        <v>7538.3999999999987</v>
      </c>
      <c r="R326" s="79">
        <f t="shared" si="255"/>
        <v>1816.0005599999997</v>
      </c>
      <c r="S326" s="80">
        <f t="shared" si="255"/>
        <v>9354.4005599999982</v>
      </c>
    </row>
    <row r="327" spans="2:19" s="2" customFormat="1" ht="12.75" customHeight="1" x14ac:dyDescent="0.2">
      <c r="B327" s="837" t="s">
        <v>10</v>
      </c>
      <c r="C327" s="838"/>
      <c r="D327" s="838"/>
      <c r="E327" s="838"/>
      <c r="F327" s="839"/>
      <c r="G327" s="11"/>
      <c r="H327" s="45"/>
      <c r="I327" s="45"/>
      <c r="J327" s="323"/>
      <c r="K327" s="153"/>
      <c r="L327" s="61"/>
      <c r="M327" s="61"/>
      <c r="N327" s="61"/>
      <c r="O327" s="61"/>
      <c r="P327" s="61"/>
      <c r="Q327" s="61"/>
      <c r="R327" s="61"/>
      <c r="S327" s="150"/>
    </row>
    <row r="328" spans="2:19" x14ac:dyDescent="0.2">
      <c r="B328" s="90" t="s">
        <v>25</v>
      </c>
      <c r="C328" s="5" t="s">
        <v>44</v>
      </c>
      <c r="D328" s="3" t="s">
        <v>14</v>
      </c>
      <c r="E328" s="3">
        <v>7</v>
      </c>
      <c r="F328" s="3">
        <v>3</v>
      </c>
      <c r="G328" s="4">
        <v>996</v>
      </c>
      <c r="H328" s="3">
        <v>756</v>
      </c>
      <c r="I328" s="3"/>
      <c r="J328" s="173">
        <v>1</v>
      </c>
      <c r="K328" s="97">
        <f>H328*1.2</f>
        <v>907.19999999999993</v>
      </c>
      <c r="L328" s="59">
        <f t="shared" ref="L328:L329" si="256">IF(K328&lt;=G328,K328,G328)</f>
        <v>907.19999999999993</v>
      </c>
      <c r="M328" s="87">
        <f t="shared" ref="M328:M329" si="257">N328-I328</f>
        <v>0</v>
      </c>
      <c r="N328" s="67">
        <f t="shared" ref="N328:N329" si="258">I328/H328*L328</f>
        <v>0</v>
      </c>
      <c r="O328" s="59">
        <f t="shared" ref="O328:O329" si="259">L328-H328+M328</f>
        <v>151.19999999999993</v>
      </c>
      <c r="P328" s="67">
        <f t="shared" ref="P328:P329" si="260">O328*J328</f>
        <v>151.19999999999993</v>
      </c>
      <c r="Q328" s="68">
        <f t="shared" ref="Q328:Q329" si="261">P328*12</f>
        <v>1814.3999999999992</v>
      </c>
      <c r="R328" s="68">
        <f t="shared" ref="R328:R329" si="262">Q328*0.2409</f>
        <v>437.08895999999982</v>
      </c>
      <c r="S328" s="69">
        <f t="shared" ref="S328:S329" si="263">Q328+R328</f>
        <v>2251.4889599999988</v>
      </c>
    </row>
    <row r="329" spans="2:19" x14ac:dyDescent="0.2">
      <c r="B329" s="90" t="s">
        <v>25</v>
      </c>
      <c r="C329" s="5" t="s">
        <v>44</v>
      </c>
      <c r="D329" s="3" t="s">
        <v>14</v>
      </c>
      <c r="E329" s="3">
        <v>7</v>
      </c>
      <c r="F329" s="3">
        <v>2</v>
      </c>
      <c r="G329" s="4">
        <v>835</v>
      </c>
      <c r="H329" s="3">
        <v>600</v>
      </c>
      <c r="I329" s="3"/>
      <c r="J329" s="173">
        <v>1</v>
      </c>
      <c r="K329" s="97">
        <f t="shared" ref="K329" si="264">H329*1.2</f>
        <v>720</v>
      </c>
      <c r="L329" s="59">
        <f t="shared" si="256"/>
        <v>720</v>
      </c>
      <c r="M329" s="87">
        <f t="shared" si="257"/>
        <v>0</v>
      </c>
      <c r="N329" s="67">
        <f t="shared" si="258"/>
        <v>0</v>
      </c>
      <c r="O329" s="59">
        <f t="shared" si="259"/>
        <v>120</v>
      </c>
      <c r="P329" s="67">
        <f t="shared" si="260"/>
        <v>120</v>
      </c>
      <c r="Q329" s="68">
        <f t="shared" si="261"/>
        <v>1440</v>
      </c>
      <c r="R329" s="68">
        <f t="shared" si="262"/>
        <v>346.89600000000002</v>
      </c>
      <c r="S329" s="69">
        <f t="shared" si="263"/>
        <v>1786.896</v>
      </c>
    </row>
    <row r="330" spans="2:19" s="101" customFormat="1" x14ac:dyDescent="0.25">
      <c r="B330" s="119" t="s">
        <v>4</v>
      </c>
      <c r="C330" s="103"/>
      <c r="D330" s="103"/>
      <c r="E330" s="103"/>
      <c r="F330" s="103"/>
      <c r="G330" s="105"/>
      <c r="H330" s="106"/>
      <c r="I330" s="76"/>
      <c r="J330" s="123">
        <f>SUM(J328:J329)</f>
        <v>2</v>
      </c>
      <c r="K330" s="118"/>
      <c r="L330" s="76"/>
      <c r="M330" s="77"/>
      <c r="N330" s="78"/>
      <c r="O330" s="76"/>
      <c r="P330" s="78"/>
      <c r="Q330" s="79">
        <f t="shared" ref="Q330:S330" si="265">SUM(Q328:Q329)</f>
        <v>3254.3999999999992</v>
      </c>
      <c r="R330" s="79">
        <f t="shared" si="265"/>
        <v>783.98495999999977</v>
      </c>
      <c r="S330" s="80">
        <f t="shared" si="265"/>
        <v>4038.3849599999985</v>
      </c>
    </row>
    <row r="331" spans="2:19" ht="13.5" x14ac:dyDescent="0.25">
      <c r="B331" s="840" t="s">
        <v>256</v>
      </c>
      <c r="C331" s="841"/>
      <c r="D331" s="841"/>
      <c r="E331" s="841"/>
      <c r="F331" s="841"/>
      <c r="G331" s="39"/>
      <c r="H331" s="39"/>
      <c r="I331" s="39"/>
      <c r="J331" s="265">
        <f>J330+J326</f>
        <v>6.8</v>
      </c>
      <c r="K331" s="154"/>
      <c r="L331" s="39"/>
      <c r="M331" s="39"/>
      <c r="N331" s="39"/>
      <c r="O331" s="39"/>
      <c r="P331" s="39"/>
      <c r="Q331" s="143">
        <f t="shared" ref="Q331:S331" si="266">Q330+Q326</f>
        <v>10792.799999999997</v>
      </c>
      <c r="R331" s="143">
        <f t="shared" si="266"/>
        <v>2599.9855199999993</v>
      </c>
      <c r="S331" s="155">
        <f t="shared" si="266"/>
        <v>13392.785519999998</v>
      </c>
    </row>
    <row r="332" spans="2:19" s="101" customFormat="1" x14ac:dyDescent="0.25">
      <c r="B332" s="102" t="s">
        <v>20</v>
      </c>
      <c r="C332" s="103"/>
      <c r="D332" s="103"/>
      <c r="E332" s="103"/>
      <c r="F332" s="103"/>
      <c r="G332" s="105"/>
      <c r="H332" s="106"/>
      <c r="I332" s="76"/>
      <c r="J332" s="123">
        <f>J326+J296</f>
        <v>5.9499999999999993</v>
      </c>
      <c r="K332" s="118"/>
      <c r="L332" s="76"/>
      <c r="M332" s="77"/>
      <c r="N332" s="78"/>
      <c r="O332" s="76"/>
      <c r="P332" s="78"/>
      <c r="Q332" s="79">
        <f t="shared" ref="Q332:S332" si="267">Q326+Q296</f>
        <v>9601.5599999999977</v>
      </c>
      <c r="R332" s="79">
        <f t="shared" si="267"/>
        <v>2313.0158039999997</v>
      </c>
      <c r="S332" s="80">
        <f t="shared" si="267"/>
        <v>11914.575803999998</v>
      </c>
    </row>
    <row r="333" spans="2:19" s="101" customFormat="1" x14ac:dyDescent="0.25">
      <c r="B333" s="102" t="s">
        <v>10</v>
      </c>
      <c r="C333" s="103"/>
      <c r="D333" s="103"/>
      <c r="E333" s="103"/>
      <c r="F333" s="103"/>
      <c r="G333" s="105"/>
      <c r="H333" s="106"/>
      <c r="I333" s="76"/>
      <c r="J333" s="123">
        <f>J290+J316+J330</f>
        <v>17.5</v>
      </c>
      <c r="K333" s="118"/>
      <c r="L333" s="76"/>
      <c r="M333" s="77"/>
      <c r="N333" s="78"/>
      <c r="O333" s="76"/>
      <c r="P333" s="78"/>
      <c r="Q333" s="79">
        <f t="shared" ref="Q333:S333" si="268">Q290+Q316+Q330</f>
        <v>25447.331999999995</v>
      </c>
      <c r="R333" s="79">
        <f t="shared" si="268"/>
        <v>6130.2622787999999</v>
      </c>
      <c r="S333" s="80">
        <f t="shared" si="268"/>
        <v>31577.594278799999</v>
      </c>
    </row>
    <row r="334" spans="2:19" s="101" customFormat="1" x14ac:dyDescent="0.25">
      <c r="B334" s="102" t="s">
        <v>11</v>
      </c>
      <c r="C334" s="103"/>
      <c r="D334" s="103"/>
      <c r="E334" s="103"/>
      <c r="F334" s="103"/>
      <c r="G334" s="105"/>
      <c r="H334" s="106"/>
      <c r="I334" s="76"/>
      <c r="J334" s="123"/>
      <c r="K334" s="118"/>
      <c r="L334" s="76"/>
      <c r="M334" s="77"/>
      <c r="N334" s="78"/>
      <c r="O334" s="76"/>
      <c r="P334" s="78"/>
      <c r="Q334" s="79"/>
      <c r="R334" s="79"/>
      <c r="S334" s="80"/>
    </row>
    <row r="335" spans="2:19" s="58" customFormat="1" ht="13.5" customHeight="1" thickBot="1" x14ac:dyDescent="0.25">
      <c r="B335" s="81" t="s">
        <v>216</v>
      </c>
      <c r="C335" s="82"/>
      <c r="D335" s="82"/>
      <c r="E335" s="82"/>
      <c r="F335" s="82"/>
      <c r="G335" s="108"/>
      <c r="H335" s="109"/>
      <c r="I335" s="109"/>
      <c r="J335" s="134">
        <f>J332+J333+J334</f>
        <v>23.45</v>
      </c>
      <c r="K335" s="81"/>
      <c r="L335" s="82"/>
      <c r="M335" s="82"/>
      <c r="N335" s="82"/>
      <c r="O335" s="82"/>
      <c r="P335" s="82"/>
      <c r="Q335" s="83">
        <f t="shared" ref="Q335:S335" si="269">Q332+Q333+Q334</f>
        <v>35048.891999999993</v>
      </c>
      <c r="R335" s="83">
        <f t="shared" si="269"/>
        <v>8443.2780827999995</v>
      </c>
      <c r="S335" s="84">
        <f t="shared" si="269"/>
        <v>43492.170082799996</v>
      </c>
    </row>
    <row r="336" spans="2:19" ht="6" customHeight="1" thickBot="1" x14ac:dyDescent="0.25"/>
    <row r="337" spans="2:19" s="177" customFormat="1" ht="16.5" customHeight="1" thickBot="1" x14ac:dyDescent="0.3">
      <c r="B337" s="842" t="s">
        <v>214</v>
      </c>
      <c r="C337" s="843"/>
      <c r="D337" s="843"/>
      <c r="E337" s="843"/>
      <c r="F337" s="843"/>
      <c r="G337" s="843"/>
      <c r="H337" s="843"/>
      <c r="I337" s="843"/>
      <c r="J337" s="843"/>
      <c r="K337" s="65"/>
      <c r="L337" s="65"/>
      <c r="M337" s="65"/>
      <c r="N337" s="65"/>
      <c r="O337" s="65"/>
      <c r="P337" s="65"/>
      <c r="Q337" s="65"/>
      <c r="R337" s="65"/>
      <c r="S337" s="66"/>
    </row>
    <row r="338" spans="2:19" s="178" customFormat="1" ht="3" customHeight="1" x14ac:dyDescent="0.2">
      <c r="B338" s="844"/>
      <c r="C338" s="845"/>
      <c r="D338" s="845"/>
      <c r="E338" s="845"/>
      <c r="F338" s="845"/>
      <c r="G338" s="845"/>
      <c r="H338" s="845"/>
      <c r="I338" s="845"/>
      <c r="J338" s="846"/>
      <c r="K338" s="847"/>
      <c r="L338" s="848"/>
      <c r="M338" s="848"/>
      <c r="N338" s="848"/>
      <c r="O338" s="848"/>
      <c r="P338" s="848"/>
      <c r="Q338" s="848"/>
      <c r="R338" s="848"/>
      <c r="S338" s="849"/>
    </row>
    <row r="339" spans="2:19" s="101" customFormat="1" x14ac:dyDescent="0.25">
      <c r="B339" s="102" t="s">
        <v>20</v>
      </c>
      <c r="C339" s="103"/>
      <c r="D339" s="103"/>
      <c r="E339" s="103"/>
      <c r="F339" s="104"/>
      <c r="G339" s="105"/>
      <c r="H339" s="106"/>
      <c r="I339" s="76"/>
      <c r="J339" s="123">
        <v>64.024999999999991</v>
      </c>
      <c r="K339" s="75"/>
      <c r="L339" s="76"/>
      <c r="M339" s="77"/>
      <c r="N339" s="78"/>
      <c r="O339" s="76"/>
      <c r="P339" s="78"/>
      <c r="Q339" s="79">
        <v>15906.615999999995</v>
      </c>
      <c r="R339" s="79">
        <v>131922.74280000004</v>
      </c>
      <c r="S339" s="80">
        <v>163702.93154051999</v>
      </c>
    </row>
    <row r="340" spans="2:19" s="101" customFormat="1" x14ac:dyDescent="0.25">
      <c r="B340" s="102" t="s">
        <v>10</v>
      </c>
      <c r="C340" s="103"/>
      <c r="D340" s="103"/>
      <c r="E340" s="103"/>
      <c r="F340" s="104"/>
      <c r="G340" s="105"/>
      <c r="H340" s="106"/>
      <c r="I340" s="76"/>
      <c r="J340" s="123">
        <v>98.46</v>
      </c>
      <c r="K340" s="75"/>
      <c r="L340" s="76"/>
      <c r="M340" s="77"/>
      <c r="N340" s="78"/>
      <c r="O340" s="76"/>
      <c r="P340" s="78"/>
      <c r="Q340" s="79">
        <v>10415.941999999999</v>
      </c>
      <c r="R340" s="79">
        <v>167383.7328</v>
      </c>
      <c r="S340" s="80">
        <v>207706.47403151996</v>
      </c>
    </row>
    <row r="341" spans="2:19" s="101" customFormat="1" x14ac:dyDescent="0.25">
      <c r="B341" s="124" t="s">
        <v>11</v>
      </c>
      <c r="C341" s="125"/>
      <c r="D341" s="125"/>
      <c r="E341" s="125"/>
      <c r="F341" s="125"/>
      <c r="G341" s="126"/>
      <c r="H341" s="127"/>
      <c r="I341" s="128"/>
      <c r="J341" s="197">
        <v>2</v>
      </c>
      <c r="K341" s="129"/>
      <c r="L341" s="128"/>
      <c r="M341" s="130"/>
      <c r="N341" s="131"/>
      <c r="O341" s="128"/>
      <c r="P341" s="131"/>
      <c r="Q341" s="132">
        <v>102.258</v>
      </c>
      <c r="R341" s="132">
        <v>2454.192</v>
      </c>
      <c r="S341" s="133">
        <v>3045.4068527999998</v>
      </c>
    </row>
    <row r="342" spans="2:19" s="58" customFormat="1" ht="15" customHeight="1" thickBot="1" x14ac:dyDescent="0.25">
      <c r="B342" s="81" t="s">
        <v>215</v>
      </c>
      <c r="C342" s="82"/>
      <c r="D342" s="82"/>
      <c r="E342" s="82"/>
      <c r="F342" s="82"/>
      <c r="G342" s="108"/>
      <c r="H342" s="109"/>
      <c r="I342" s="109"/>
      <c r="J342" s="134">
        <f>J339+J340+J341</f>
        <v>164.48499999999999</v>
      </c>
      <c r="K342" s="81"/>
      <c r="L342" s="82"/>
      <c r="M342" s="82"/>
      <c r="N342" s="82"/>
      <c r="O342" s="82"/>
      <c r="P342" s="82"/>
      <c r="Q342" s="83">
        <f>Q339+Q340+Q341</f>
        <v>26424.815999999995</v>
      </c>
      <c r="R342" s="83">
        <f>R339+R340+R341</f>
        <v>301760.66759999999</v>
      </c>
      <c r="S342" s="84">
        <f>S339+S340+S341</f>
        <v>374454.81242483994</v>
      </c>
    </row>
    <row r="343" spans="2:19" ht="6" customHeight="1" thickBot="1" x14ac:dyDescent="0.25"/>
    <row r="344" spans="2:19" s="101" customFormat="1" ht="14.25" x14ac:dyDescent="0.25">
      <c r="B344" s="208" t="s">
        <v>20</v>
      </c>
      <c r="C344" s="209"/>
      <c r="D344" s="209"/>
      <c r="E344" s="209"/>
      <c r="F344" s="209"/>
      <c r="G344" s="210"/>
      <c r="H344" s="211"/>
      <c r="I344" s="212"/>
      <c r="J344" s="213">
        <f>J62+J78+J280+J332+J339</f>
        <v>318.02499999999998</v>
      </c>
      <c r="K344" s="214"/>
      <c r="L344" s="215"/>
      <c r="M344" s="209"/>
      <c r="N344" s="215"/>
      <c r="O344" s="215"/>
      <c r="P344" s="215"/>
      <c r="Q344" s="216">
        <f t="shared" ref="Q344:S344" si="270">Q62+Q78+Q280+Q332+Q339</f>
        <v>424909.23497988004</v>
      </c>
      <c r="R344" s="216">
        <f t="shared" si="270"/>
        <v>230451.47371225312</v>
      </c>
      <c r="S344" s="217">
        <f t="shared" si="270"/>
        <v>671234.2814326532</v>
      </c>
    </row>
    <row r="345" spans="2:19" s="101" customFormat="1" ht="14.25" x14ac:dyDescent="0.25">
      <c r="B345" s="218" t="s">
        <v>10</v>
      </c>
      <c r="C345" s="219"/>
      <c r="D345" s="219"/>
      <c r="E345" s="219"/>
      <c r="F345" s="219"/>
      <c r="G345" s="220"/>
      <c r="H345" s="221"/>
      <c r="I345" s="222"/>
      <c r="J345" s="223">
        <f>J63+J86+J281+J333+J340</f>
        <v>484.96</v>
      </c>
      <c r="K345" s="224"/>
      <c r="L345" s="225"/>
      <c r="M345" s="219"/>
      <c r="N345" s="225"/>
      <c r="O345" s="225"/>
      <c r="P345" s="225"/>
      <c r="Q345" s="226">
        <f t="shared" ref="Q345:S345" si="271">Q63+Q86+Q281+Q333+Q340</f>
        <v>666333.82079703873</v>
      </c>
      <c r="R345" s="226">
        <f t="shared" si="271"/>
        <v>325394.34980220656</v>
      </c>
      <c r="S345" s="227">
        <f t="shared" si="271"/>
        <v>1021634.9698307652</v>
      </c>
    </row>
    <row r="346" spans="2:19" s="101" customFormat="1" ht="14.25" x14ac:dyDescent="0.25">
      <c r="B346" s="218" t="s">
        <v>11</v>
      </c>
      <c r="C346" s="219"/>
      <c r="D346" s="219"/>
      <c r="E346" s="219"/>
      <c r="F346" s="219"/>
      <c r="G346" s="220"/>
      <c r="H346" s="221"/>
      <c r="I346" s="222"/>
      <c r="J346" s="223">
        <f>J64+J282+J334+J341</f>
        <v>35.700000000000003</v>
      </c>
      <c r="K346" s="224"/>
      <c r="L346" s="225"/>
      <c r="M346" s="219"/>
      <c r="N346" s="225"/>
      <c r="O346" s="225"/>
      <c r="P346" s="225"/>
      <c r="Q346" s="226">
        <f t="shared" ref="Q346:S346" si="272">Q64+Q282+Q334+Q341</f>
        <v>49415.153834729012</v>
      </c>
      <c r="R346" s="226">
        <f t="shared" si="272"/>
        <v>14333.66860658622</v>
      </c>
      <c r="S346" s="227">
        <f t="shared" si="272"/>
        <v>64237.779294115222</v>
      </c>
    </row>
    <row r="347" spans="2:19" s="101" customFormat="1" ht="97.5" customHeight="1" x14ac:dyDescent="0.25">
      <c r="B347" s="834" t="s">
        <v>254</v>
      </c>
      <c r="C347" s="835"/>
      <c r="D347" s="836"/>
      <c r="E347" s="219"/>
      <c r="F347" s="219"/>
      <c r="G347" s="220"/>
      <c r="H347" s="221"/>
      <c r="I347" s="222"/>
      <c r="J347" s="223">
        <f>J283</f>
        <v>119.27500000000001</v>
      </c>
      <c r="K347" s="224"/>
      <c r="L347" s="225"/>
      <c r="M347" s="219"/>
      <c r="N347" s="225"/>
      <c r="O347" s="225"/>
      <c r="P347" s="225"/>
      <c r="Q347" s="226">
        <f t="shared" ref="Q347:S347" si="273">Q283</f>
        <v>15709.604000000003</v>
      </c>
      <c r="R347" s="226">
        <f t="shared" si="273"/>
        <v>235171.8144</v>
      </c>
      <c r="S347" s="227">
        <f t="shared" si="273"/>
        <v>291824.70448896004</v>
      </c>
    </row>
    <row r="348" spans="2:19" s="228" customFormat="1" ht="15" thickBot="1" x14ac:dyDescent="0.3">
      <c r="B348" s="229" t="s">
        <v>243</v>
      </c>
      <c r="C348" s="230"/>
      <c r="D348" s="230"/>
      <c r="E348" s="230"/>
      <c r="F348" s="230"/>
      <c r="G348" s="231"/>
      <c r="H348" s="232"/>
      <c r="I348" s="232"/>
      <c r="J348" s="233">
        <f>SUM(J344:J346)+J347</f>
        <v>957.95999999999992</v>
      </c>
      <c r="K348" s="234"/>
      <c r="L348" s="235"/>
      <c r="M348" s="235"/>
      <c r="N348" s="235"/>
      <c r="O348" s="235"/>
      <c r="P348" s="235"/>
      <c r="Q348" s="236">
        <f>SUM(Q344:Q346)+Q347</f>
        <v>1156367.8136116478</v>
      </c>
      <c r="R348" s="236">
        <f t="shared" ref="R348" si="274">SUM(R344:R346)+R347</f>
        <v>805351.30652104586</v>
      </c>
      <c r="S348" s="237">
        <f>SUM(S344:S346)+S347</f>
        <v>2048931.7350464936</v>
      </c>
    </row>
    <row r="352" spans="2:19" x14ac:dyDescent="0.2">
      <c r="J352" s="330"/>
      <c r="K352" s="238"/>
      <c r="L352" s="238"/>
      <c r="M352" s="238"/>
      <c r="N352" s="238"/>
      <c r="O352" s="238"/>
      <c r="P352" s="238"/>
      <c r="Q352" s="238"/>
      <c r="R352" s="238"/>
      <c r="S352" s="238"/>
    </row>
    <row r="353" spans="10:19" x14ac:dyDescent="0.2">
      <c r="J353" s="330"/>
      <c r="K353" s="238"/>
      <c r="L353" s="238"/>
      <c r="M353" s="238"/>
      <c r="N353" s="238"/>
      <c r="O353" s="238"/>
      <c r="P353" s="238"/>
      <c r="Q353" s="238"/>
      <c r="R353" s="238"/>
      <c r="S353" s="238"/>
    </row>
  </sheetData>
  <mergeCells count="73">
    <mergeCell ref="B148:F148"/>
    <mergeCell ref="B167:F167"/>
    <mergeCell ref="B123:F123"/>
    <mergeCell ref="B135:F135"/>
    <mergeCell ref="B150:F150"/>
    <mergeCell ref="B156:F156"/>
    <mergeCell ref="B169:F169"/>
    <mergeCell ref="B187:F187"/>
    <mergeCell ref="B202:F202"/>
    <mergeCell ref="B206:F206"/>
    <mergeCell ref="B219:F219"/>
    <mergeCell ref="B217:F217"/>
    <mergeCell ref="B200:F200"/>
    <mergeCell ref="B216:F216"/>
    <mergeCell ref="B237:F237"/>
    <mergeCell ref="B248:F248"/>
    <mergeCell ref="B257:F257"/>
    <mergeCell ref="B92:S92"/>
    <mergeCell ref="B68:S68"/>
    <mergeCell ref="B121:F121"/>
    <mergeCell ref="B107:F107"/>
    <mergeCell ref="B113:F113"/>
    <mergeCell ref="B100:S100"/>
    <mergeCell ref="B99:S99"/>
    <mergeCell ref="B101:F101"/>
    <mergeCell ref="B79:E79"/>
    <mergeCell ref="B87:E87"/>
    <mergeCell ref="B69:E69"/>
    <mergeCell ref="B93:S93"/>
    <mergeCell ref="B94:F94"/>
    <mergeCell ref="B98:F98"/>
    <mergeCell ref="B67:S67"/>
    <mergeCell ref="B36:E36"/>
    <mergeCell ref="B44:E44"/>
    <mergeCell ref="B51:E51"/>
    <mergeCell ref="B35:S35"/>
    <mergeCell ref="I1:J1"/>
    <mergeCell ref="B4:J4"/>
    <mergeCell ref="B26:J26"/>
    <mergeCell ref="B11:C11"/>
    <mergeCell ref="B28:E28"/>
    <mergeCell ref="B3:S3"/>
    <mergeCell ref="K7:S7"/>
    <mergeCell ref="B9:S9"/>
    <mergeCell ref="B10:S10"/>
    <mergeCell ref="B27:S27"/>
    <mergeCell ref="B7:J7"/>
    <mergeCell ref="R5:S5"/>
    <mergeCell ref="K338:S338"/>
    <mergeCell ref="B122:S122"/>
    <mergeCell ref="B149:S149"/>
    <mergeCell ref="B168:S168"/>
    <mergeCell ref="B201:S201"/>
    <mergeCell ref="B218:S218"/>
    <mergeCell ref="B256:S256"/>
    <mergeCell ref="B286:S286"/>
    <mergeCell ref="B287:S287"/>
    <mergeCell ref="B292:S292"/>
    <mergeCell ref="B291:F291"/>
    <mergeCell ref="B288:F288"/>
    <mergeCell ref="B318:S318"/>
    <mergeCell ref="B317:F317"/>
    <mergeCell ref="B255:F255"/>
    <mergeCell ref="B279:F279"/>
    <mergeCell ref="B283:D283"/>
    <mergeCell ref="B347:D347"/>
    <mergeCell ref="B297:F297"/>
    <mergeCell ref="B327:F327"/>
    <mergeCell ref="B331:F331"/>
    <mergeCell ref="B293:F293"/>
    <mergeCell ref="B319:F319"/>
    <mergeCell ref="B337:J337"/>
    <mergeCell ref="B338:J338"/>
  </mergeCells>
  <printOptions horizontalCentered="1"/>
  <pageMargins left="0.31496062992125984" right="0.31496062992125984" top="0.74803149606299213" bottom="0.55118110236220474" header="0.31496062992125984" footer="0.31496062992125984"/>
  <pageSetup paperSize="9" scale="65" orientation="landscape" r:id="rId1"/>
  <headerFooter>
    <oddFooter>&amp;L&amp;X&amp;Z&amp;F&amp;D&amp;T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L181"/>
  <sheetViews>
    <sheetView view="pageBreakPreview" zoomScale="60" zoomScaleNormal="80" workbookViewId="0">
      <pane ySplit="5" topLeftCell="A138" activePane="bottomLeft" state="frozen"/>
      <selection activeCell="Z28" sqref="Z28"/>
      <selection pane="bottomLeft" activeCell="B187" sqref="B187"/>
    </sheetView>
  </sheetViews>
  <sheetFormatPr defaultRowHeight="15" x14ac:dyDescent="0.25"/>
  <cols>
    <col min="1" max="1" width="27" style="180" customWidth="1"/>
    <col min="2" max="2" width="11.28515625" style="180" customWidth="1"/>
    <col min="3" max="3" width="11.5703125" style="180" customWidth="1"/>
    <col min="4" max="4" width="10.5703125" style="312" customWidth="1"/>
    <col min="5" max="5" width="10.28515625" style="180" customWidth="1"/>
    <col min="6" max="6" width="11.85546875" style="190" customWidth="1"/>
    <col min="7" max="7" width="10.85546875" style="180" bestFit="1" customWidth="1"/>
    <col min="8" max="9" width="13.42578125" style="180" bestFit="1" customWidth="1"/>
    <col min="10" max="16384" width="9.140625" style="180"/>
  </cols>
  <sheetData>
    <row r="1" spans="1:12" ht="21" customHeight="1" x14ac:dyDescent="0.3">
      <c r="A1" s="185"/>
      <c r="B1" s="179"/>
      <c r="C1" s="179"/>
      <c r="D1" s="310"/>
      <c r="E1" s="868"/>
      <c r="F1" s="868"/>
      <c r="H1" s="817" t="s">
        <v>627</v>
      </c>
      <c r="I1" s="817"/>
      <c r="J1" s="185"/>
      <c r="K1" s="185"/>
      <c r="L1" s="185"/>
    </row>
    <row r="2" spans="1:12" s="181" customFormat="1" ht="34.5" customHeight="1" thickBot="1" x14ac:dyDescent="0.3">
      <c r="A2" s="924" t="s">
        <v>217</v>
      </c>
      <c r="B2" s="924"/>
      <c r="C2" s="924"/>
      <c r="D2" s="924"/>
      <c r="E2" s="924"/>
      <c r="F2" s="924"/>
      <c r="G2" s="925"/>
      <c r="H2" s="925"/>
      <c r="I2" s="925"/>
    </row>
    <row r="3" spans="1:12" s="182" customFormat="1" ht="16.5" customHeight="1" x14ac:dyDescent="0.25">
      <c r="A3" s="919" t="s">
        <v>8</v>
      </c>
      <c r="B3" s="919"/>
      <c r="C3" s="919"/>
      <c r="D3" s="919"/>
      <c r="E3" s="919"/>
      <c r="F3" s="920"/>
      <c r="G3" s="926" t="s">
        <v>241</v>
      </c>
      <c r="H3" s="927"/>
      <c r="I3" s="928"/>
    </row>
    <row r="4" spans="1:12" s="183" customFormat="1" ht="36.75" customHeight="1" x14ac:dyDescent="0.25">
      <c r="A4" s="921" t="s">
        <v>0</v>
      </c>
      <c r="B4" s="921" t="s">
        <v>219</v>
      </c>
      <c r="C4" s="921" t="s">
        <v>220</v>
      </c>
      <c r="D4" s="922" t="s">
        <v>221</v>
      </c>
      <c r="E4" s="921" t="s">
        <v>222</v>
      </c>
      <c r="F4" s="923" t="s">
        <v>223</v>
      </c>
      <c r="G4" s="929" t="s">
        <v>246</v>
      </c>
      <c r="H4" s="921" t="s">
        <v>239</v>
      </c>
      <c r="I4" s="930" t="s">
        <v>240</v>
      </c>
    </row>
    <row r="5" spans="1:12" s="183" customFormat="1" ht="36.75" customHeight="1" x14ac:dyDescent="0.25">
      <c r="A5" s="921"/>
      <c r="B5" s="921"/>
      <c r="C5" s="921"/>
      <c r="D5" s="922"/>
      <c r="E5" s="921"/>
      <c r="F5" s="923"/>
      <c r="G5" s="929"/>
      <c r="H5" s="921"/>
      <c r="I5" s="930"/>
    </row>
    <row r="6" spans="1:12" s="184" customFormat="1" ht="12.75" x14ac:dyDescent="0.25">
      <c r="A6" s="916" t="s">
        <v>224</v>
      </c>
      <c r="B6" s="917"/>
      <c r="C6" s="917"/>
      <c r="D6" s="917"/>
      <c r="E6" s="917"/>
      <c r="F6" s="917"/>
      <c r="G6" s="917"/>
      <c r="H6" s="917"/>
      <c r="I6" s="918"/>
    </row>
    <row r="7" spans="1:12" ht="15" customHeight="1" x14ac:dyDescent="0.25">
      <c r="A7" s="913" t="s">
        <v>225</v>
      </c>
      <c r="B7" s="914"/>
      <c r="C7" s="914"/>
      <c r="D7" s="914"/>
      <c r="E7" s="914"/>
      <c r="F7" s="914"/>
      <c r="G7" s="914"/>
      <c r="H7" s="914"/>
      <c r="I7" s="915"/>
    </row>
    <row r="8" spans="1:12" x14ac:dyDescent="0.25">
      <c r="A8" s="249" t="s">
        <v>20</v>
      </c>
      <c r="B8" s="269">
        <f>SUM(B9:B98)</f>
        <v>64.024999999999991</v>
      </c>
      <c r="C8" s="11"/>
      <c r="D8" s="33"/>
      <c r="E8" s="11"/>
      <c r="F8" s="204"/>
      <c r="G8" s="239">
        <f>SUM(G9:G98)</f>
        <v>15906.615999999995</v>
      </c>
      <c r="H8" s="34">
        <f t="shared" ref="H8:I8" si="0">SUM(H9:H98)</f>
        <v>131922.74280000004</v>
      </c>
      <c r="I8" s="240">
        <f t="shared" si="0"/>
        <v>163702.93154051999</v>
      </c>
    </row>
    <row r="9" spans="1:12" x14ac:dyDescent="0.25">
      <c r="A9" s="20" t="s">
        <v>2</v>
      </c>
      <c r="B9" s="276">
        <v>0.5</v>
      </c>
      <c r="C9" s="42">
        <v>1480</v>
      </c>
      <c r="D9" s="38"/>
      <c r="E9" s="42"/>
      <c r="F9" s="188">
        <f>C9+D9+E9</f>
        <v>1480</v>
      </c>
      <c r="G9" s="241">
        <f>F9*0.2</f>
        <v>296</v>
      </c>
      <c r="H9" s="242">
        <f>G9*12*B9</f>
        <v>1776</v>
      </c>
      <c r="I9" s="243">
        <f>H9*1.2409</f>
        <v>2203.8383999999996</v>
      </c>
    </row>
    <row r="10" spans="1:12" x14ac:dyDescent="0.25">
      <c r="A10" s="20" t="s">
        <v>2</v>
      </c>
      <c r="B10" s="276">
        <v>1</v>
      </c>
      <c r="C10" s="42">
        <v>1066.02</v>
      </c>
      <c r="D10" s="38"/>
      <c r="E10" s="42">
        <v>84.5</v>
      </c>
      <c r="F10" s="188">
        <f>C10+D10+E10</f>
        <v>1150.52</v>
      </c>
      <c r="G10" s="241">
        <f t="shared" ref="G10:G73" si="1">F10*0.2</f>
        <v>230.10400000000001</v>
      </c>
      <c r="H10" s="242">
        <f t="shared" ref="H10:H73" si="2">G10*12*B10</f>
        <v>2761.248</v>
      </c>
      <c r="I10" s="243">
        <f t="shared" ref="I10:I73" si="3">H10*1.2409</f>
        <v>3426.4326431999998</v>
      </c>
    </row>
    <row r="11" spans="1:12" x14ac:dyDescent="0.25">
      <c r="A11" s="20" t="s">
        <v>2</v>
      </c>
      <c r="B11" s="276">
        <v>0.35</v>
      </c>
      <c r="C11" s="42">
        <v>1030</v>
      </c>
      <c r="D11" s="38"/>
      <c r="E11" s="42">
        <v>103</v>
      </c>
      <c r="F11" s="188">
        <f t="shared" ref="F11:F73" si="4">C11+D11+E11</f>
        <v>1133</v>
      </c>
      <c r="G11" s="241">
        <f t="shared" si="1"/>
        <v>226.60000000000002</v>
      </c>
      <c r="H11" s="242">
        <f t="shared" si="2"/>
        <v>951.72</v>
      </c>
      <c r="I11" s="243">
        <f t="shared" si="3"/>
        <v>1180.9893479999998</v>
      </c>
    </row>
    <row r="12" spans="1:12" x14ac:dyDescent="0.25">
      <c r="A12" s="20" t="s">
        <v>2</v>
      </c>
      <c r="B12" s="276">
        <v>0.25</v>
      </c>
      <c r="C12" s="42">
        <v>993.6</v>
      </c>
      <c r="D12" s="38">
        <v>149.04</v>
      </c>
      <c r="E12" s="42">
        <v>198.72</v>
      </c>
      <c r="F12" s="188">
        <f>C12+D12+E12</f>
        <v>1341.3600000000001</v>
      </c>
      <c r="G12" s="241">
        <f t="shared" si="1"/>
        <v>268.27200000000005</v>
      </c>
      <c r="H12" s="242">
        <f t="shared" si="2"/>
        <v>804.81600000000014</v>
      </c>
      <c r="I12" s="243">
        <f t="shared" si="3"/>
        <v>998.69617440000013</v>
      </c>
    </row>
    <row r="13" spans="1:12" x14ac:dyDescent="0.25">
      <c r="A13" s="20" t="s">
        <v>2</v>
      </c>
      <c r="B13" s="276">
        <v>0.25</v>
      </c>
      <c r="C13" s="42">
        <v>993.6</v>
      </c>
      <c r="D13" s="38">
        <v>49.68</v>
      </c>
      <c r="E13" s="42">
        <v>198.72</v>
      </c>
      <c r="F13" s="188">
        <f t="shared" si="4"/>
        <v>1242</v>
      </c>
      <c r="G13" s="241">
        <f t="shared" si="1"/>
        <v>248.4</v>
      </c>
      <c r="H13" s="242">
        <f t="shared" si="2"/>
        <v>745.2</v>
      </c>
      <c r="I13" s="243">
        <f t="shared" si="3"/>
        <v>924.71867999999995</v>
      </c>
    </row>
    <row r="14" spans="1:12" x14ac:dyDescent="0.25">
      <c r="A14" s="20" t="s">
        <v>2</v>
      </c>
      <c r="B14" s="276">
        <f>0.75+0.75</f>
        <v>1.5</v>
      </c>
      <c r="C14" s="42">
        <v>974</v>
      </c>
      <c r="D14" s="38">
        <v>146.1</v>
      </c>
      <c r="E14" s="42">
        <v>97.4</v>
      </c>
      <c r="F14" s="188">
        <f t="shared" si="4"/>
        <v>1217.5</v>
      </c>
      <c r="G14" s="241">
        <f t="shared" si="1"/>
        <v>243.5</v>
      </c>
      <c r="H14" s="242">
        <f t="shared" si="2"/>
        <v>4383</v>
      </c>
      <c r="I14" s="243">
        <f t="shared" si="3"/>
        <v>5438.8646999999992</v>
      </c>
    </row>
    <row r="15" spans="1:12" x14ac:dyDescent="0.25">
      <c r="A15" s="20" t="s">
        <v>2</v>
      </c>
      <c r="B15" s="276">
        <v>0.5</v>
      </c>
      <c r="C15" s="42">
        <v>967</v>
      </c>
      <c r="D15" s="38"/>
      <c r="E15" s="42">
        <v>96.7</v>
      </c>
      <c r="F15" s="188">
        <f t="shared" si="4"/>
        <v>1063.7</v>
      </c>
      <c r="G15" s="241">
        <f t="shared" si="1"/>
        <v>212.74</v>
      </c>
      <c r="H15" s="242">
        <f t="shared" si="2"/>
        <v>1276.44</v>
      </c>
      <c r="I15" s="243">
        <f t="shared" si="3"/>
        <v>1583.9343959999999</v>
      </c>
    </row>
    <row r="16" spans="1:12" x14ac:dyDescent="0.25">
      <c r="A16" s="20" t="s">
        <v>2</v>
      </c>
      <c r="B16" s="276">
        <v>0.5</v>
      </c>
      <c r="C16" s="42">
        <v>939</v>
      </c>
      <c r="D16" s="38"/>
      <c r="E16" s="42"/>
      <c r="F16" s="188">
        <f>C16+D16+E16</f>
        <v>939</v>
      </c>
      <c r="G16" s="241">
        <f t="shared" si="1"/>
        <v>187.8</v>
      </c>
      <c r="H16" s="242">
        <f t="shared" si="2"/>
        <v>1126.8000000000002</v>
      </c>
      <c r="I16" s="243">
        <f t="shared" si="3"/>
        <v>1398.24612</v>
      </c>
    </row>
    <row r="17" spans="1:9" x14ac:dyDescent="0.25">
      <c r="A17" s="20" t="s">
        <v>2</v>
      </c>
      <c r="B17" s="276">
        <v>0.5</v>
      </c>
      <c r="C17" s="42">
        <v>900</v>
      </c>
      <c r="D17" s="38"/>
      <c r="E17" s="42">
        <v>270</v>
      </c>
      <c r="F17" s="188">
        <f>C17+D17+E17</f>
        <v>1170</v>
      </c>
      <c r="G17" s="241">
        <f t="shared" si="1"/>
        <v>234</v>
      </c>
      <c r="H17" s="242">
        <f t="shared" si="2"/>
        <v>1404</v>
      </c>
      <c r="I17" s="243">
        <f t="shared" si="3"/>
        <v>1742.2235999999998</v>
      </c>
    </row>
    <row r="18" spans="1:9" x14ac:dyDescent="0.25">
      <c r="A18" s="20" t="s">
        <v>2</v>
      </c>
      <c r="B18" s="276">
        <v>1</v>
      </c>
      <c r="C18" s="42">
        <v>899</v>
      </c>
      <c r="D18" s="38">
        <v>134</v>
      </c>
      <c r="E18" s="42">
        <v>224</v>
      </c>
      <c r="F18" s="188">
        <f t="shared" si="4"/>
        <v>1257</v>
      </c>
      <c r="G18" s="241">
        <f t="shared" si="1"/>
        <v>251.4</v>
      </c>
      <c r="H18" s="242">
        <f t="shared" si="2"/>
        <v>3016.8</v>
      </c>
      <c r="I18" s="243">
        <f t="shared" si="3"/>
        <v>3743.5471199999997</v>
      </c>
    </row>
    <row r="19" spans="1:9" x14ac:dyDescent="0.25">
      <c r="A19" s="20" t="s">
        <v>2</v>
      </c>
      <c r="B19" s="276">
        <v>0.5</v>
      </c>
      <c r="C19" s="42">
        <v>899</v>
      </c>
      <c r="D19" s="38">
        <v>134.85</v>
      </c>
      <c r="E19" s="42">
        <v>134.85</v>
      </c>
      <c r="F19" s="188">
        <f>C19+D19+E19</f>
        <v>1168.6999999999998</v>
      </c>
      <c r="G19" s="241">
        <f t="shared" si="1"/>
        <v>233.73999999999998</v>
      </c>
      <c r="H19" s="242">
        <f t="shared" si="2"/>
        <v>1402.4399999999998</v>
      </c>
      <c r="I19" s="243">
        <f t="shared" si="3"/>
        <v>1740.2877959999996</v>
      </c>
    </row>
    <row r="20" spans="1:9" x14ac:dyDescent="0.25">
      <c r="A20" s="20" t="s">
        <v>2</v>
      </c>
      <c r="B20" s="276">
        <v>1</v>
      </c>
      <c r="C20" s="42">
        <v>899</v>
      </c>
      <c r="D20" s="38">
        <v>17.98</v>
      </c>
      <c r="E20" s="42">
        <v>26.97</v>
      </c>
      <c r="F20" s="188">
        <f t="shared" si="4"/>
        <v>943.95</v>
      </c>
      <c r="G20" s="241">
        <f t="shared" si="1"/>
        <v>188.79000000000002</v>
      </c>
      <c r="H20" s="242">
        <f t="shared" si="2"/>
        <v>2265.4800000000005</v>
      </c>
      <c r="I20" s="243">
        <f t="shared" si="3"/>
        <v>2811.2341320000005</v>
      </c>
    </row>
    <row r="21" spans="1:9" x14ac:dyDescent="0.25">
      <c r="A21" s="20" t="s">
        <v>2</v>
      </c>
      <c r="B21" s="276">
        <v>1</v>
      </c>
      <c r="C21" s="42">
        <v>870</v>
      </c>
      <c r="D21" s="38"/>
      <c r="E21" s="42">
        <v>221</v>
      </c>
      <c r="F21" s="188">
        <f t="shared" si="4"/>
        <v>1091</v>
      </c>
      <c r="G21" s="241">
        <f t="shared" si="1"/>
        <v>218.20000000000002</v>
      </c>
      <c r="H21" s="242">
        <f t="shared" si="2"/>
        <v>2618.4</v>
      </c>
      <c r="I21" s="243">
        <f t="shared" si="3"/>
        <v>3249.17256</v>
      </c>
    </row>
    <row r="22" spans="1:9" x14ac:dyDescent="0.25">
      <c r="A22" s="20" t="s">
        <v>2</v>
      </c>
      <c r="B22" s="276">
        <f>2.375+1</f>
        <v>3.375</v>
      </c>
      <c r="C22" s="42">
        <v>850</v>
      </c>
      <c r="D22" s="38"/>
      <c r="E22" s="42">
        <v>85</v>
      </c>
      <c r="F22" s="188">
        <f t="shared" si="4"/>
        <v>935</v>
      </c>
      <c r="G22" s="241">
        <f t="shared" si="1"/>
        <v>187</v>
      </c>
      <c r="H22" s="242">
        <f t="shared" si="2"/>
        <v>7573.5</v>
      </c>
      <c r="I22" s="243">
        <f t="shared" si="3"/>
        <v>9397.95615</v>
      </c>
    </row>
    <row r="23" spans="1:9" x14ac:dyDescent="0.25">
      <c r="A23" s="20" t="s">
        <v>2</v>
      </c>
      <c r="B23" s="276">
        <v>0.75</v>
      </c>
      <c r="C23" s="42">
        <v>848</v>
      </c>
      <c r="D23" s="38"/>
      <c r="E23" s="42">
        <v>84.8</v>
      </c>
      <c r="F23" s="188">
        <f t="shared" si="4"/>
        <v>932.8</v>
      </c>
      <c r="G23" s="241">
        <f t="shared" si="1"/>
        <v>186.56</v>
      </c>
      <c r="H23" s="242">
        <f t="shared" si="2"/>
        <v>1679.0400000000002</v>
      </c>
      <c r="I23" s="243">
        <f t="shared" si="3"/>
        <v>2083.5207359999999</v>
      </c>
    </row>
    <row r="24" spans="1:9" x14ac:dyDescent="0.25">
      <c r="A24" s="20" t="s">
        <v>2</v>
      </c>
      <c r="B24" s="276">
        <v>0.5</v>
      </c>
      <c r="C24" s="42">
        <v>820</v>
      </c>
      <c r="D24" s="38"/>
      <c r="E24" s="42">
        <v>82</v>
      </c>
      <c r="F24" s="188">
        <f t="shared" si="4"/>
        <v>902</v>
      </c>
      <c r="G24" s="241">
        <f t="shared" si="1"/>
        <v>180.4</v>
      </c>
      <c r="H24" s="242">
        <f t="shared" si="2"/>
        <v>1082.4000000000001</v>
      </c>
      <c r="I24" s="243">
        <f t="shared" si="3"/>
        <v>1343.1501599999999</v>
      </c>
    </row>
    <row r="25" spans="1:9" x14ac:dyDescent="0.25">
      <c r="A25" s="20" t="s">
        <v>2</v>
      </c>
      <c r="B25" s="276">
        <v>0.5</v>
      </c>
      <c r="C25" s="42">
        <v>810</v>
      </c>
      <c r="D25" s="38"/>
      <c r="E25" s="42">
        <v>80.099999999999994</v>
      </c>
      <c r="F25" s="188">
        <f t="shared" si="4"/>
        <v>890.1</v>
      </c>
      <c r="G25" s="241">
        <f t="shared" si="1"/>
        <v>178.02</v>
      </c>
      <c r="H25" s="242">
        <f t="shared" si="2"/>
        <v>1068.1200000000001</v>
      </c>
      <c r="I25" s="243">
        <f t="shared" si="3"/>
        <v>1325.430108</v>
      </c>
    </row>
    <row r="26" spans="1:9" x14ac:dyDescent="0.25">
      <c r="A26" s="20" t="s">
        <v>2</v>
      </c>
      <c r="B26" s="277">
        <v>0.5</v>
      </c>
      <c r="C26" s="186">
        <v>792</v>
      </c>
      <c r="D26" s="188">
        <v>118.8</v>
      </c>
      <c r="E26" s="186">
        <v>79.2</v>
      </c>
      <c r="F26" s="188">
        <f t="shared" si="4"/>
        <v>990</v>
      </c>
      <c r="G26" s="241">
        <f t="shared" si="1"/>
        <v>198</v>
      </c>
      <c r="H26" s="242">
        <f t="shared" si="2"/>
        <v>1188</v>
      </c>
      <c r="I26" s="243">
        <f t="shared" si="3"/>
        <v>1474.1891999999998</v>
      </c>
    </row>
    <row r="27" spans="1:9" x14ac:dyDescent="0.25">
      <c r="A27" s="20" t="s">
        <v>2</v>
      </c>
      <c r="B27" s="277">
        <v>0.25</v>
      </c>
      <c r="C27" s="186">
        <v>792</v>
      </c>
      <c r="D27" s="188"/>
      <c r="E27" s="186"/>
      <c r="F27" s="188">
        <f t="shared" si="4"/>
        <v>792</v>
      </c>
      <c r="G27" s="241">
        <f t="shared" si="1"/>
        <v>158.4</v>
      </c>
      <c r="H27" s="242">
        <f t="shared" si="2"/>
        <v>475.20000000000005</v>
      </c>
      <c r="I27" s="243">
        <f t="shared" si="3"/>
        <v>589.67568000000006</v>
      </c>
    </row>
    <row r="28" spans="1:9" x14ac:dyDescent="0.25">
      <c r="A28" s="20" t="s">
        <v>2</v>
      </c>
      <c r="B28" s="277">
        <v>0.97499999999999998</v>
      </c>
      <c r="C28" s="186">
        <v>790.07</v>
      </c>
      <c r="D28" s="188"/>
      <c r="E28" s="186">
        <v>79</v>
      </c>
      <c r="F28" s="188">
        <f t="shared" si="4"/>
        <v>869.07</v>
      </c>
      <c r="G28" s="241">
        <f t="shared" si="1"/>
        <v>173.81400000000002</v>
      </c>
      <c r="H28" s="242">
        <f t="shared" si="2"/>
        <v>2033.6238000000001</v>
      </c>
      <c r="I28" s="243">
        <f t="shared" si="3"/>
        <v>2523.52377342</v>
      </c>
    </row>
    <row r="29" spans="1:9" x14ac:dyDescent="0.25">
      <c r="A29" s="20" t="s">
        <v>2</v>
      </c>
      <c r="B29" s="277">
        <v>1</v>
      </c>
      <c r="C29" s="186">
        <v>782.01</v>
      </c>
      <c r="D29" s="188"/>
      <c r="E29" s="186">
        <v>78.2</v>
      </c>
      <c r="F29" s="188">
        <f t="shared" si="4"/>
        <v>860.21</v>
      </c>
      <c r="G29" s="241">
        <f t="shared" si="1"/>
        <v>172.04200000000003</v>
      </c>
      <c r="H29" s="242">
        <f t="shared" si="2"/>
        <v>2064.5040000000004</v>
      </c>
      <c r="I29" s="243">
        <f t="shared" si="3"/>
        <v>2561.8430136000002</v>
      </c>
    </row>
    <row r="30" spans="1:9" x14ac:dyDescent="0.25">
      <c r="A30" s="20" t="s">
        <v>2</v>
      </c>
      <c r="B30" s="277">
        <v>1</v>
      </c>
      <c r="C30" s="186">
        <v>771</v>
      </c>
      <c r="D30" s="188"/>
      <c r="E30" s="186">
        <v>77.099999999999994</v>
      </c>
      <c r="F30" s="188">
        <f t="shared" si="4"/>
        <v>848.1</v>
      </c>
      <c r="G30" s="241">
        <f t="shared" si="1"/>
        <v>169.62</v>
      </c>
      <c r="H30" s="242">
        <f t="shared" si="2"/>
        <v>2035.44</v>
      </c>
      <c r="I30" s="243">
        <f t="shared" si="3"/>
        <v>2525.7774959999997</v>
      </c>
    </row>
    <row r="31" spans="1:9" x14ac:dyDescent="0.25">
      <c r="A31" s="20" t="s">
        <v>2</v>
      </c>
      <c r="B31" s="276">
        <v>0.3</v>
      </c>
      <c r="C31" s="42">
        <v>750</v>
      </c>
      <c r="D31" s="38"/>
      <c r="E31" s="42"/>
      <c r="F31" s="188">
        <f t="shared" si="4"/>
        <v>750</v>
      </c>
      <c r="G31" s="241">
        <f t="shared" si="1"/>
        <v>150</v>
      </c>
      <c r="H31" s="242">
        <f t="shared" si="2"/>
        <v>540</v>
      </c>
      <c r="I31" s="243">
        <f t="shared" si="3"/>
        <v>670.0859999999999</v>
      </c>
    </row>
    <row r="32" spans="1:9" x14ac:dyDescent="0.25">
      <c r="A32" s="20" t="s">
        <v>2</v>
      </c>
      <c r="B32" s="276">
        <v>0.8</v>
      </c>
      <c r="C32" s="42">
        <v>747.5</v>
      </c>
      <c r="D32" s="38"/>
      <c r="E32" s="42"/>
      <c r="F32" s="188">
        <f t="shared" si="4"/>
        <v>747.5</v>
      </c>
      <c r="G32" s="241">
        <f t="shared" si="1"/>
        <v>149.5</v>
      </c>
      <c r="H32" s="242">
        <f t="shared" si="2"/>
        <v>1435.2</v>
      </c>
      <c r="I32" s="243">
        <f t="shared" si="3"/>
        <v>1780.93968</v>
      </c>
    </row>
    <row r="33" spans="1:9" x14ac:dyDescent="0.25">
      <c r="A33" s="20" t="s">
        <v>2</v>
      </c>
      <c r="B33" s="276">
        <v>1.5</v>
      </c>
      <c r="C33" s="42">
        <v>740</v>
      </c>
      <c r="D33" s="38"/>
      <c r="E33" s="42">
        <v>74</v>
      </c>
      <c r="F33" s="188">
        <f t="shared" si="4"/>
        <v>814</v>
      </c>
      <c r="G33" s="241">
        <f t="shared" si="1"/>
        <v>162.80000000000001</v>
      </c>
      <c r="H33" s="242">
        <f t="shared" si="2"/>
        <v>2930.4</v>
      </c>
      <c r="I33" s="243">
        <f t="shared" si="3"/>
        <v>3636.3333599999996</v>
      </c>
    </row>
    <row r="34" spans="1:9" x14ac:dyDescent="0.25">
      <c r="A34" s="20" t="s">
        <v>2</v>
      </c>
      <c r="B34" s="276">
        <v>1</v>
      </c>
      <c r="C34" s="42">
        <v>736.26</v>
      </c>
      <c r="D34" s="38"/>
      <c r="E34" s="42">
        <v>73.63</v>
      </c>
      <c r="F34" s="188">
        <f t="shared" si="4"/>
        <v>809.89</v>
      </c>
      <c r="G34" s="241">
        <f t="shared" si="1"/>
        <v>161.97800000000001</v>
      </c>
      <c r="H34" s="242">
        <f t="shared" si="2"/>
        <v>1943.7360000000001</v>
      </c>
      <c r="I34" s="243">
        <f t="shared" si="3"/>
        <v>2411.9820024000001</v>
      </c>
    </row>
    <row r="35" spans="1:9" x14ac:dyDescent="0.25">
      <c r="A35" s="20" t="s">
        <v>2</v>
      </c>
      <c r="B35" s="276">
        <v>0.5</v>
      </c>
      <c r="C35" s="42">
        <v>666.74</v>
      </c>
      <c r="D35" s="38"/>
      <c r="E35" s="42">
        <v>66.67</v>
      </c>
      <c r="F35" s="188">
        <f t="shared" si="4"/>
        <v>733.41</v>
      </c>
      <c r="G35" s="241">
        <f t="shared" si="1"/>
        <v>146.68199999999999</v>
      </c>
      <c r="H35" s="242">
        <f t="shared" si="2"/>
        <v>880.09199999999987</v>
      </c>
      <c r="I35" s="243">
        <f t="shared" si="3"/>
        <v>1092.1061627999998</v>
      </c>
    </row>
    <row r="36" spans="1:9" x14ac:dyDescent="0.25">
      <c r="A36" s="20" t="s">
        <v>2</v>
      </c>
      <c r="B36" s="276">
        <v>0.5</v>
      </c>
      <c r="C36" s="42">
        <v>666.76</v>
      </c>
      <c r="D36" s="38"/>
      <c r="E36" s="42">
        <v>66.680000000000007</v>
      </c>
      <c r="F36" s="188">
        <f t="shared" si="4"/>
        <v>733.44</v>
      </c>
      <c r="G36" s="241">
        <f t="shared" si="1"/>
        <v>146.68800000000002</v>
      </c>
      <c r="H36" s="242">
        <f t="shared" si="2"/>
        <v>880.12800000000016</v>
      </c>
      <c r="I36" s="243">
        <f t="shared" si="3"/>
        <v>1092.1508352000001</v>
      </c>
    </row>
    <row r="37" spans="1:9" x14ac:dyDescent="0.25">
      <c r="A37" s="20" t="s">
        <v>123</v>
      </c>
      <c r="B37" s="276">
        <v>0.2</v>
      </c>
      <c r="C37" s="42">
        <v>1425</v>
      </c>
      <c r="D37" s="38"/>
      <c r="E37" s="42"/>
      <c r="F37" s="188">
        <f t="shared" si="4"/>
        <v>1425</v>
      </c>
      <c r="G37" s="241">
        <f t="shared" si="1"/>
        <v>285</v>
      </c>
      <c r="H37" s="242">
        <f t="shared" si="2"/>
        <v>684</v>
      </c>
      <c r="I37" s="243">
        <f t="shared" si="3"/>
        <v>848.77559999999994</v>
      </c>
    </row>
    <row r="38" spans="1:9" x14ac:dyDescent="0.25">
      <c r="A38" s="20" t="s">
        <v>123</v>
      </c>
      <c r="B38" s="276">
        <v>1</v>
      </c>
      <c r="C38" s="42">
        <v>923</v>
      </c>
      <c r="D38" s="38">
        <v>46.15</v>
      </c>
      <c r="E38" s="42">
        <v>92.3</v>
      </c>
      <c r="F38" s="188">
        <f t="shared" si="4"/>
        <v>1061.45</v>
      </c>
      <c r="G38" s="241">
        <f t="shared" si="1"/>
        <v>212.29000000000002</v>
      </c>
      <c r="H38" s="242">
        <f t="shared" si="2"/>
        <v>2547.4800000000005</v>
      </c>
      <c r="I38" s="243">
        <f t="shared" si="3"/>
        <v>3161.1679320000003</v>
      </c>
    </row>
    <row r="39" spans="1:9" x14ac:dyDescent="0.25">
      <c r="A39" s="20" t="s">
        <v>123</v>
      </c>
      <c r="B39" s="276">
        <v>0.75</v>
      </c>
      <c r="C39" s="42">
        <v>917</v>
      </c>
      <c r="D39" s="38">
        <v>45.86</v>
      </c>
      <c r="E39" s="42">
        <v>91.7</v>
      </c>
      <c r="F39" s="188">
        <f t="shared" si="4"/>
        <v>1054.56</v>
      </c>
      <c r="G39" s="241">
        <f t="shared" si="1"/>
        <v>210.91200000000001</v>
      </c>
      <c r="H39" s="242">
        <f t="shared" si="2"/>
        <v>1898.2080000000001</v>
      </c>
      <c r="I39" s="243">
        <f t="shared" si="3"/>
        <v>2355.4863071999998</v>
      </c>
    </row>
    <row r="40" spans="1:9" x14ac:dyDescent="0.25">
      <c r="A40" s="20" t="s">
        <v>123</v>
      </c>
      <c r="B40" s="276">
        <v>0.25</v>
      </c>
      <c r="C40" s="42">
        <v>899</v>
      </c>
      <c r="D40" s="38">
        <v>107.88</v>
      </c>
      <c r="E40" s="42">
        <v>89.9</v>
      </c>
      <c r="F40" s="188">
        <f t="shared" si="4"/>
        <v>1096.78</v>
      </c>
      <c r="G40" s="241">
        <f t="shared" si="1"/>
        <v>219.35599999999999</v>
      </c>
      <c r="H40" s="242">
        <f t="shared" si="2"/>
        <v>658.06799999999998</v>
      </c>
      <c r="I40" s="243">
        <f t="shared" si="3"/>
        <v>816.59658119999995</v>
      </c>
    </row>
    <row r="41" spans="1:9" x14ac:dyDescent="0.25">
      <c r="A41" s="20" t="s">
        <v>123</v>
      </c>
      <c r="B41" s="276">
        <v>0.25</v>
      </c>
      <c r="C41" s="42">
        <v>899</v>
      </c>
      <c r="D41" s="38">
        <v>17.98</v>
      </c>
      <c r="E41" s="42">
        <v>8.98</v>
      </c>
      <c r="F41" s="188">
        <f t="shared" si="4"/>
        <v>925.96</v>
      </c>
      <c r="G41" s="241">
        <f t="shared" si="1"/>
        <v>185.19200000000001</v>
      </c>
      <c r="H41" s="242">
        <f t="shared" si="2"/>
        <v>555.57600000000002</v>
      </c>
      <c r="I41" s="243">
        <f t="shared" si="3"/>
        <v>689.41425839999999</v>
      </c>
    </row>
    <row r="42" spans="1:9" x14ac:dyDescent="0.25">
      <c r="A42" s="20" t="s">
        <v>123</v>
      </c>
      <c r="B42" s="276">
        <v>0.5</v>
      </c>
      <c r="C42" s="42">
        <v>899</v>
      </c>
      <c r="D42" s="38"/>
      <c r="E42" s="42"/>
      <c r="F42" s="188">
        <f t="shared" si="4"/>
        <v>899</v>
      </c>
      <c r="G42" s="241">
        <f t="shared" si="1"/>
        <v>179.8</v>
      </c>
      <c r="H42" s="242">
        <f t="shared" si="2"/>
        <v>1078.8000000000002</v>
      </c>
      <c r="I42" s="243">
        <f t="shared" si="3"/>
        <v>1338.6829200000002</v>
      </c>
    </row>
    <row r="43" spans="1:9" x14ac:dyDescent="0.25">
      <c r="A43" s="20" t="s">
        <v>123</v>
      </c>
      <c r="B43" s="276">
        <v>0.3</v>
      </c>
      <c r="C43" s="42">
        <v>801</v>
      </c>
      <c r="D43" s="38"/>
      <c r="E43" s="42">
        <v>80.099999999999994</v>
      </c>
      <c r="F43" s="188">
        <f t="shared" si="4"/>
        <v>881.1</v>
      </c>
      <c r="G43" s="241">
        <f t="shared" si="1"/>
        <v>176.22000000000003</v>
      </c>
      <c r="H43" s="242">
        <f t="shared" si="2"/>
        <v>634.39200000000005</v>
      </c>
      <c r="I43" s="243">
        <f t="shared" si="3"/>
        <v>787.21703279999997</v>
      </c>
    </row>
    <row r="44" spans="1:9" x14ac:dyDescent="0.25">
      <c r="A44" s="20" t="s">
        <v>123</v>
      </c>
      <c r="B44" s="276">
        <v>0.4</v>
      </c>
      <c r="C44" s="42">
        <v>589</v>
      </c>
      <c r="D44" s="38"/>
      <c r="E44" s="42">
        <v>117.8</v>
      </c>
      <c r="F44" s="188">
        <f t="shared" si="4"/>
        <v>706.8</v>
      </c>
      <c r="G44" s="241">
        <f t="shared" si="1"/>
        <v>141.35999999999999</v>
      </c>
      <c r="H44" s="242">
        <f t="shared" si="2"/>
        <v>678.52799999999991</v>
      </c>
      <c r="I44" s="243">
        <f t="shared" si="3"/>
        <v>841.98539519999986</v>
      </c>
    </row>
    <row r="45" spans="1:9" x14ac:dyDescent="0.25">
      <c r="A45" s="20" t="s">
        <v>228</v>
      </c>
      <c r="B45" s="276">
        <v>0.1</v>
      </c>
      <c r="C45" s="42">
        <v>929</v>
      </c>
      <c r="D45" s="38">
        <v>46.45</v>
      </c>
      <c r="E45" s="42">
        <v>92.9</v>
      </c>
      <c r="F45" s="188">
        <f t="shared" si="4"/>
        <v>1068.3500000000001</v>
      </c>
      <c r="G45" s="241">
        <f t="shared" si="1"/>
        <v>213.67000000000004</v>
      </c>
      <c r="H45" s="242">
        <f t="shared" si="2"/>
        <v>256.40400000000005</v>
      </c>
      <c r="I45" s="243">
        <f t="shared" si="3"/>
        <v>318.17172360000006</v>
      </c>
    </row>
    <row r="46" spans="1:9" x14ac:dyDescent="0.25">
      <c r="A46" s="20" t="s">
        <v>65</v>
      </c>
      <c r="B46" s="276">
        <v>1</v>
      </c>
      <c r="C46" s="42">
        <v>850</v>
      </c>
      <c r="D46" s="38"/>
      <c r="E46" s="42">
        <v>85</v>
      </c>
      <c r="F46" s="188">
        <f t="shared" si="4"/>
        <v>935</v>
      </c>
      <c r="G46" s="241">
        <f t="shared" si="1"/>
        <v>187</v>
      </c>
      <c r="H46" s="242">
        <f t="shared" si="2"/>
        <v>2244</v>
      </c>
      <c r="I46" s="243">
        <f t="shared" si="3"/>
        <v>2784.5795999999996</v>
      </c>
    </row>
    <row r="47" spans="1:9" x14ac:dyDescent="0.25">
      <c r="A47" s="20" t="s">
        <v>65</v>
      </c>
      <c r="B47" s="276">
        <v>0.5</v>
      </c>
      <c r="C47" s="42">
        <v>820</v>
      </c>
      <c r="D47" s="38"/>
      <c r="E47" s="42">
        <v>82</v>
      </c>
      <c r="F47" s="188">
        <f t="shared" si="4"/>
        <v>902</v>
      </c>
      <c r="G47" s="241">
        <f t="shared" si="1"/>
        <v>180.4</v>
      </c>
      <c r="H47" s="242">
        <f t="shared" si="2"/>
        <v>1082.4000000000001</v>
      </c>
      <c r="I47" s="243">
        <f t="shared" si="3"/>
        <v>1343.1501599999999</v>
      </c>
    </row>
    <row r="48" spans="1:9" x14ac:dyDescent="0.25">
      <c r="A48" s="20" t="s">
        <v>65</v>
      </c>
      <c r="B48" s="276">
        <v>0.75</v>
      </c>
      <c r="C48" s="42">
        <v>816</v>
      </c>
      <c r="D48" s="38">
        <v>40.799999999999997</v>
      </c>
      <c r="E48" s="42">
        <v>81.599999999999994</v>
      </c>
      <c r="F48" s="188">
        <f t="shared" si="4"/>
        <v>938.4</v>
      </c>
      <c r="G48" s="241">
        <f t="shared" si="1"/>
        <v>187.68</v>
      </c>
      <c r="H48" s="242">
        <f t="shared" si="2"/>
        <v>1689.12</v>
      </c>
      <c r="I48" s="243">
        <f t="shared" si="3"/>
        <v>2096.0290079999995</v>
      </c>
    </row>
    <row r="49" spans="1:9" x14ac:dyDescent="0.25">
      <c r="A49" s="20" t="s">
        <v>65</v>
      </c>
      <c r="B49" s="276">
        <v>0.75</v>
      </c>
      <c r="C49" s="42">
        <v>810</v>
      </c>
      <c r="D49" s="38">
        <v>16.2</v>
      </c>
      <c r="E49" s="42">
        <v>81</v>
      </c>
      <c r="F49" s="188">
        <f t="shared" si="4"/>
        <v>907.2</v>
      </c>
      <c r="G49" s="241">
        <f t="shared" si="1"/>
        <v>181.44000000000003</v>
      </c>
      <c r="H49" s="242">
        <f t="shared" si="2"/>
        <v>1632.96</v>
      </c>
      <c r="I49" s="243">
        <f t="shared" si="3"/>
        <v>2026.3400639999998</v>
      </c>
    </row>
    <row r="50" spans="1:9" x14ac:dyDescent="0.25">
      <c r="A50" s="20" t="s">
        <v>65</v>
      </c>
      <c r="B50" s="276">
        <v>0.2</v>
      </c>
      <c r="C50" s="42">
        <v>792</v>
      </c>
      <c r="D50" s="38">
        <v>79.2</v>
      </c>
      <c r="E50" s="42">
        <v>118.8</v>
      </c>
      <c r="F50" s="188">
        <f t="shared" si="4"/>
        <v>990</v>
      </c>
      <c r="G50" s="241">
        <f t="shared" si="1"/>
        <v>198</v>
      </c>
      <c r="H50" s="242">
        <f t="shared" si="2"/>
        <v>475.20000000000005</v>
      </c>
      <c r="I50" s="243">
        <f t="shared" si="3"/>
        <v>589.67568000000006</v>
      </c>
    </row>
    <row r="51" spans="1:9" x14ac:dyDescent="0.25">
      <c r="A51" s="20" t="s">
        <v>65</v>
      </c>
      <c r="B51" s="276">
        <v>0.5</v>
      </c>
      <c r="C51" s="42">
        <v>792</v>
      </c>
      <c r="D51" s="38"/>
      <c r="E51" s="42">
        <v>79.2</v>
      </c>
      <c r="F51" s="188">
        <f t="shared" si="4"/>
        <v>871.2</v>
      </c>
      <c r="G51" s="241">
        <f t="shared" si="1"/>
        <v>174.24</v>
      </c>
      <c r="H51" s="242">
        <f t="shared" si="2"/>
        <v>1045.44</v>
      </c>
      <c r="I51" s="243">
        <f t="shared" si="3"/>
        <v>1297.2864959999999</v>
      </c>
    </row>
    <row r="52" spans="1:9" x14ac:dyDescent="0.25">
      <c r="A52" s="20" t="s">
        <v>65</v>
      </c>
      <c r="B52" s="276">
        <v>1.5</v>
      </c>
      <c r="C52" s="42">
        <v>792</v>
      </c>
      <c r="D52" s="38">
        <v>15.84</v>
      </c>
      <c r="E52" s="42">
        <v>23.76</v>
      </c>
      <c r="F52" s="188">
        <f t="shared" si="4"/>
        <v>831.6</v>
      </c>
      <c r="G52" s="241">
        <f t="shared" si="1"/>
        <v>166.32000000000002</v>
      </c>
      <c r="H52" s="242">
        <f t="shared" si="2"/>
        <v>2993.76</v>
      </c>
      <c r="I52" s="243">
        <f t="shared" si="3"/>
        <v>3714.956784</v>
      </c>
    </row>
    <row r="53" spans="1:9" x14ac:dyDescent="0.25">
      <c r="A53" s="20" t="s">
        <v>65</v>
      </c>
      <c r="B53" s="276">
        <v>1.5</v>
      </c>
      <c r="C53" s="42">
        <v>696</v>
      </c>
      <c r="D53" s="38">
        <v>41.76</v>
      </c>
      <c r="E53" s="42">
        <v>69.599999999999994</v>
      </c>
      <c r="F53" s="188">
        <f t="shared" si="4"/>
        <v>807.36</v>
      </c>
      <c r="G53" s="241">
        <f t="shared" si="1"/>
        <v>161.47200000000001</v>
      </c>
      <c r="H53" s="242">
        <f t="shared" si="2"/>
        <v>2906.4960000000001</v>
      </c>
      <c r="I53" s="243">
        <f t="shared" si="3"/>
        <v>3606.6708863999997</v>
      </c>
    </row>
    <row r="54" spans="1:9" x14ac:dyDescent="0.25">
      <c r="A54" s="20" t="s">
        <v>65</v>
      </c>
      <c r="B54" s="276">
        <v>0.6</v>
      </c>
      <c r="C54" s="42">
        <v>690</v>
      </c>
      <c r="D54" s="38"/>
      <c r="E54" s="42">
        <v>22</v>
      </c>
      <c r="F54" s="188">
        <f t="shared" si="4"/>
        <v>712</v>
      </c>
      <c r="G54" s="241">
        <f t="shared" si="1"/>
        <v>142.4</v>
      </c>
      <c r="H54" s="242">
        <f t="shared" si="2"/>
        <v>1025.28</v>
      </c>
      <c r="I54" s="243">
        <f t="shared" si="3"/>
        <v>1272.2699519999999</v>
      </c>
    </row>
    <row r="55" spans="1:9" x14ac:dyDescent="0.25">
      <c r="A55" s="20" t="s">
        <v>65</v>
      </c>
      <c r="B55" s="276">
        <v>0.5</v>
      </c>
      <c r="C55" s="42">
        <v>669.76</v>
      </c>
      <c r="D55" s="38"/>
      <c r="E55" s="42">
        <v>66.97</v>
      </c>
      <c r="F55" s="188">
        <f t="shared" si="4"/>
        <v>736.73</v>
      </c>
      <c r="G55" s="241">
        <f t="shared" si="1"/>
        <v>147.346</v>
      </c>
      <c r="H55" s="242">
        <f t="shared" si="2"/>
        <v>884.07600000000002</v>
      </c>
      <c r="I55" s="243">
        <f t="shared" si="3"/>
        <v>1097.0499083999998</v>
      </c>
    </row>
    <row r="56" spans="1:9" x14ac:dyDescent="0.25">
      <c r="A56" s="20" t="s">
        <v>65</v>
      </c>
      <c r="B56" s="276">
        <v>0.5</v>
      </c>
      <c r="C56" s="42">
        <v>595</v>
      </c>
      <c r="D56" s="38"/>
      <c r="E56" s="42">
        <v>11.9</v>
      </c>
      <c r="F56" s="188">
        <f t="shared" si="4"/>
        <v>606.9</v>
      </c>
      <c r="G56" s="241">
        <f t="shared" si="1"/>
        <v>121.38</v>
      </c>
      <c r="H56" s="242">
        <f t="shared" si="2"/>
        <v>728.28</v>
      </c>
      <c r="I56" s="243">
        <f t="shared" si="3"/>
        <v>903.72265199999993</v>
      </c>
    </row>
    <row r="57" spans="1:9" x14ac:dyDescent="0.25">
      <c r="A57" s="20" t="s">
        <v>65</v>
      </c>
      <c r="B57" s="276">
        <v>0.25</v>
      </c>
      <c r="C57" s="42">
        <v>595</v>
      </c>
      <c r="D57" s="38"/>
      <c r="E57" s="42"/>
      <c r="F57" s="188">
        <f t="shared" si="4"/>
        <v>595</v>
      </c>
      <c r="G57" s="241">
        <f t="shared" si="1"/>
        <v>119</v>
      </c>
      <c r="H57" s="242">
        <f t="shared" si="2"/>
        <v>357</v>
      </c>
      <c r="I57" s="243">
        <f t="shared" si="3"/>
        <v>443.00129999999996</v>
      </c>
    </row>
    <row r="58" spans="1:9" x14ac:dyDescent="0.25">
      <c r="A58" s="20" t="s">
        <v>65</v>
      </c>
      <c r="B58" s="276">
        <v>1</v>
      </c>
      <c r="C58" s="42">
        <v>590</v>
      </c>
      <c r="D58" s="38"/>
      <c r="E58" s="42">
        <v>170</v>
      </c>
      <c r="F58" s="188">
        <f t="shared" si="4"/>
        <v>760</v>
      </c>
      <c r="G58" s="241">
        <f t="shared" si="1"/>
        <v>152</v>
      </c>
      <c r="H58" s="242">
        <f t="shared" si="2"/>
        <v>1824</v>
      </c>
      <c r="I58" s="243">
        <f t="shared" si="3"/>
        <v>2263.4015999999997</v>
      </c>
    </row>
    <row r="59" spans="1:9" x14ac:dyDescent="0.25">
      <c r="A59" s="20" t="s">
        <v>65</v>
      </c>
      <c r="B59" s="276">
        <v>0.4</v>
      </c>
      <c r="C59" s="42">
        <v>480</v>
      </c>
      <c r="D59" s="38"/>
      <c r="E59" s="42">
        <v>96</v>
      </c>
      <c r="F59" s="188">
        <f t="shared" si="4"/>
        <v>576</v>
      </c>
      <c r="G59" s="241">
        <f t="shared" si="1"/>
        <v>115.2</v>
      </c>
      <c r="H59" s="242">
        <f t="shared" si="2"/>
        <v>552.96</v>
      </c>
      <c r="I59" s="243">
        <f t="shared" si="3"/>
        <v>686.16806399999996</v>
      </c>
    </row>
    <row r="60" spans="1:9" x14ac:dyDescent="0.25">
      <c r="A60" s="20" t="s">
        <v>130</v>
      </c>
      <c r="B60" s="276">
        <v>0.17499999999999999</v>
      </c>
      <c r="C60" s="42">
        <v>844.97</v>
      </c>
      <c r="D60" s="38"/>
      <c r="E60" s="42">
        <v>62.4</v>
      </c>
      <c r="F60" s="188">
        <f t="shared" si="4"/>
        <v>907.37</v>
      </c>
      <c r="G60" s="241">
        <f t="shared" si="1"/>
        <v>181.47400000000002</v>
      </c>
      <c r="H60" s="242">
        <f t="shared" si="2"/>
        <v>381.09539999999998</v>
      </c>
      <c r="I60" s="243">
        <f t="shared" si="3"/>
        <v>472.90128185999993</v>
      </c>
    </row>
    <row r="61" spans="1:9" x14ac:dyDescent="0.25">
      <c r="A61" s="20" t="s">
        <v>130</v>
      </c>
      <c r="B61" s="276">
        <v>0.5</v>
      </c>
      <c r="C61" s="42">
        <v>800</v>
      </c>
      <c r="D61" s="38"/>
      <c r="E61" s="42"/>
      <c r="F61" s="188">
        <f t="shared" si="4"/>
        <v>800</v>
      </c>
      <c r="G61" s="241">
        <f t="shared" si="1"/>
        <v>160</v>
      </c>
      <c r="H61" s="242">
        <f t="shared" si="2"/>
        <v>960</v>
      </c>
      <c r="I61" s="243">
        <f t="shared" si="3"/>
        <v>1191.2639999999999</v>
      </c>
    </row>
    <row r="62" spans="1:9" x14ac:dyDescent="0.25">
      <c r="A62" s="20" t="s">
        <v>130</v>
      </c>
      <c r="B62" s="276">
        <v>3.8</v>
      </c>
      <c r="C62" s="42">
        <v>600</v>
      </c>
      <c r="D62" s="38"/>
      <c r="E62" s="42">
        <v>60</v>
      </c>
      <c r="F62" s="188">
        <f t="shared" si="4"/>
        <v>660</v>
      </c>
      <c r="G62" s="241">
        <f t="shared" si="1"/>
        <v>132</v>
      </c>
      <c r="H62" s="242">
        <f t="shared" si="2"/>
        <v>6019.2</v>
      </c>
      <c r="I62" s="243">
        <f t="shared" si="3"/>
        <v>7469.2252799999987</v>
      </c>
    </row>
    <row r="63" spans="1:9" x14ac:dyDescent="0.25">
      <c r="A63" s="20" t="s">
        <v>130</v>
      </c>
      <c r="B63" s="276">
        <v>1</v>
      </c>
      <c r="C63" s="42">
        <v>595</v>
      </c>
      <c r="D63" s="38">
        <v>71.400000000000006</v>
      </c>
      <c r="E63" s="42">
        <v>59.5</v>
      </c>
      <c r="F63" s="188">
        <f t="shared" si="4"/>
        <v>725.9</v>
      </c>
      <c r="G63" s="241">
        <f t="shared" si="1"/>
        <v>145.18</v>
      </c>
      <c r="H63" s="242">
        <f t="shared" si="2"/>
        <v>1742.16</v>
      </c>
      <c r="I63" s="243">
        <f t="shared" si="3"/>
        <v>2161.846344</v>
      </c>
    </row>
    <row r="64" spans="1:9" x14ac:dyDescent="0.25">
      <c r="A64" s="20" t="s">
        <v>130</v>
      </c>
      <c r="B64" s="276">
        <v>1</v>
      </c>
      <c r="C64" s="42">
        <v>590</v>
      </c>
      <c r="D64" s="38"/>
      <c r="E64" s="42">
        <v>155</v>
      </c>
      <c r="F64" s="188">
        <f t="shared" si="4"/>
        <v>745</v>
      </c>
      <c r="G64" s="241">
        <f t="shared" si="1"/>
        <v>149</v>
      </c>
      <c r="H64" s="242">
        <f t="shared" si="2"/>
        <v>1788</v>
      </c>
      <c r="I64" s="243">
        <f t="shared" si="3"/>
        <v>2218.7291999999998</v>
      </c>
    </row>
    <row r="65" spans="1:9" x14ac:dyDescent="0.25">
      <c r="A65" s="20" t="s">
        <v>130</v>
      </c>
      <c r="B65" s="276">
        <v>1.5</v>
      </c>
      <c r="C65" s="42">
        <v>574</v>
      </c>
      <c r="D65" s="38">
        <v>86.1</v>
      </c>
      <c r="E65" s="42">
        <v>57.4</v>
      </c>
      <c r="F65" s="188">
        <f t="shared" si="4"/>
        <v>717.5</v>
      </c>
      <c r="G65" s="241">
        <f t="shared" si="1"/>
        <v>143.5</v>
      </c>
      <c r="H65" s="242">
        <f t="shared" si="2"/>
        <v>2583</v>
      </c>
      <c r="I65" s="243">
        <f t="shared" si="3"/>
        <v>3205.2446999999997</v>
      </c>
    </row>
    <row r="66" spans="1:9" x14ac:dyDescent="0.25">
      <c r="A66" s="20" t="s">
        <v>130</v>
      </c>
      <c r="B66" s="276">
        <v>1</v>
      </c>
      <c r="C66" s="42">
        <v>568</v>
      </c>
      <c r="D66" s="38">
        <v>28.4</v>
      </c>
      <c r="E66" s="42">
        <v>56.8</v>
      </c>
      <c r="F66" s="188">
        <f t="shared" si="4"/>
        <v>653.19999999999993</v>
      </c>
      <c r="G66" s="241">
        <f t="shared" si="1"/>
        <v>130.63999999999999</v>
      </c>
      <c r="H66" s="242">
        <f t="shared" si="2"/>
        <v>1567.6799999999998</v>
      </c>
      <c r="I66" s="243">
        <f t="shared" si="3"/>
        <v>1945.3341119999995</v>
      </c>
    </row>
    <row r="67" spans="1:9" s="185" customFormat="1" x14ac:dyDescent="0.25">
      <c r="A67" s="187" t="s">
        <v>130</v>
      </c>
      <c r="B67" s="277">
        <v>0.8</v>
      </c>
      <c r="C67" s="186">
        <v>538</v>
      </c>
      <c r="D67" s="188">
        <v>53.8</v>
      </c>
      <c r="E67" s="186">
        <v>53.8</v>
      </c>
      <c r="F67" s="188">
        <f t="shared" si="4"/>
        <v>645.59999999999991</v>
      </c>
      <c r="G67" s="241">
        <f t="shared" si="1"/>
        <v>129.11999999999998</v>
      </c>
      <c r="H67" s="242">
        <f t="shared" si="2"/>
        <v>1239.5519999999997</v>
      </c>
      <c r="I67" s="243">
        <f t="shared" si="3"/>
        <v>1538.1600767999994</v>
      </c>
    </row>
    <row r="68" spans="1:9" s="185" customFormat="1" x14ac:dyDescent="0.25">
      <c r="A68" s="20" t="s">
        <v>130</v>
      </c>
      <c r="B68" s="276">
        <v>0.75</v>
      </c>
      <c r="C68" s="42">
        <v>528</v>
      </c>
      <c r="D68" s="38"/>
      <c r="E68" s="42">
        <v>52.8</v>
      </c>
      <c r="F68" s="188">
        <f t="shared" si="4"/>
        <v>580.79999999999995</v>
      </c>
      <c r="G68" s="241">
        <f t="shared" si="1"/>
        <v>116.16</v>
      </c>
      <c r="H68" s="242">
        <f t="shared" si="2"/>
        <v>1045.44</v>
      </c>
      <c r="I68" s="243">
        <f t="shared" si="3"/>
        <v>1297.2864959999999</v>
      </c>
    </row>
    <row r="69" spans="1:9" x14ac:dyDescent="0.25">
      <c r="A69" s="20" t="s">
        <v>130</v>
      </c>
      <c r="B69" s="276">
        <v>1</v>
      </c>
      <c r="C69" s="42">
        <v>524</v>
      </c>
      <c r="D69" s="38">
        <v>62.88</v>
      </c>
      <c r="E69" s="42">
        <v>104.8</v>
      </c>
      <c r="F69" s="188">
        <f t="shared" si="4"/>
        <v>691.68</v>
      </c>
      <c r="G69" s="241">
        <f t="shared" si="1"/>
        <v>138.33599999999998</v>
      </c>
      <c r="H69" s="242">
        <f t="shared" si="2"/>
        <v>1660.0319999999997</v>
      </c>
      <c r="I69" s="243">
        <f t="shared" si="3"/>
        <v>2059.9337087999993</v>
      </c>
    </row>
    <row r="70" spans="1:9" x14ac:dyDescent="0.25">
      <c r="A70" s="20" t="s">
        <v>130</v>
      </c>
      <c r="B70" s="276">
        <v>0.3</v>
      </c>
      <c r="C70" s="42">
        <v>524</v>
      </c>
      <c r="D70" s="38">
        <v>52.4</v>
      </c>
      <c r="E70" s="42">
        <v>78.599999999999994</v>
      </c>
      <c r="F70" s="188">
        <f t="shared" si="4"/>
        <v>655</v>
      </c>
      <c r="G70" s="241">
        <f t="shared" si="1"/>
        <v>131</v>
      </c>
      <c r="H70" s="242">
        <f t="shared" si="2"/>
        <v>471.59999999999997</v>
      </c>
      <c r="I70" s="243">
        <f t="shared" si="3"/>
        <v>585.20843999999988</v>
      </c>
    </row>
    <row r="71" spans="1:9" x14ac:dyDescent="0.25">
      <c r="A71" s="20" t="s">
        <v>130</v>
      </c>
      <c r="B71" s="276">
        <v>1</v>
      </c>
      <c r="C71" s="42">
        <v>524</v>
      </c>
      <c r="D71" s="38">
        <v>52.4</v>
      </c>
      <c r="E71" s="42">
        <v>52.4</v>
      </c>
      <c r="F71" s="188">
        <f t="shared" si="4"/>
        <v>628.79999999999995</v>
      </c>
      <c r="G71" s="241">
        <f t="shared" si="1"/>
        <v>125.75999999999999</v>
      </c>
      <c r="H71" s="242">
        <f t="shared" si="2"/>
        <v>1509.12</v>
      </c>
      <c r="I71" s="243">
        <f t="shared" si="3"/>
        <v>1872.6670079999997</v>
      </c>
    </row>
    <row r="72" spans="1:9" x14ac:dyDescent="0.25">
      <c r="A72" s="20" t="s">
        <v>130</v>
      </c>
      <c r="B72" s="276">
        <v>0.5</v>
      </c>
      <c r="C72" s="42">
        <v>520.29999999999995</v>
      </c>
      <c r="D72" s="38"/>
      <c r="E72" s="42"/>
      <c r="F72" s="188">
        <f t="shared" si="4"/>
        <v>520.29999999999995</v>
      </c>
      <c r="G72" s="241">
        <f t="shared" si="1"/>
        <v>104.06</v>
      </c>
      <c r="H72" s="242">
        <f t="shared" si="2"/>
        <v>624.36</v>
      </c>
      <c r="I72" s="243">
        <f t="shared" si="3"/>
        <v>774.76832399999989</v>
      </c>
    </row>
    <row r="73" spans="1:9" x14ac:dyDescent="0.25">
      <c r="A73" s="20" t="s">
        <v>130</v>
      </c>
      <c r="B73" s="276">
        <v>0.5</v>
      </c>
      <c r="C73" s="42">
        <v>466</v>
      </c>
      <c r="D73" s="38">
        <v>32.619999999999997</v>
      </c>
      <c r="E73" s="42">
        <v>46.6</v>
      </c>
      <c r="F73" s="188">
        <f t="shared" si="4"/>
        <v>545.22</v>
      </c>
      <c r="G73" s="241">
        <f t="shared" si="1"/>
        <v>109.04400000000001</v>
      </c>
      <c r="H73" s="242">
        <f t="shared" si="2"/>
        <v>654.26400000000012</v>
      </c>
      <c r="I73" s="243">
        <f t="shared" si="3"/>
        <v>811.87619760000007</v>
      </c>
    </row>
    <row r="74" spans="1:9" x14ac:dyDescent="0.25">
      <c r="A74" s="20" t="s">
        <v>130</v>
      </c>
      <c r="B74" s="276">
        <v>1</v>
      </c>
      <c r="C74" s="42">
        <v>466</v>
      </c>
      <c r="D74" s="38">
        <v>9.32</v>
      </c>
      <c r="E74" s="42">
        <v>46.6</v>
      </c>
      <c r="F74" s="188">
        <f t="shared" ref="F74:F97" si="5">C74+D74+E74</f>
        <v>521.91999999999996</v>
      </c>
      <c r="G74" s="241">
        <f t="shared" ref="G74:G98" si="6">F74*0.2</f>
        <v>104.384</v>
      </c>
      <c r="H74" s="242">
        <f t="shared" ref="H74:H98" si="7">G74*12*B74</f>
        <v>1252.6079999999999</v>
      </c>
      <c r="I74" s="243">
        <f t="shared" ref="I74:I98" si="8">H74*1.2409</f>
        <v>1554.3612671999997</v>
      </c>
    </row>
    <row r="75" spans="1:9" x14ac:dyDescent="0.25">
      <c r="A75" s="20" t="s">
        <v>56</v>
      </c>
      <c r="B75" s="276">
        <v>0.2</v>
      </c>
      <c r="C75" s="42">
        <v>1425</v>
      </c>
      <c r="D75" s="38"/>
      <c r="E75" s="42"/>
      <c r="F75" s="188">
        <f t="shared" si="5"/>
        <v>1425</v>
      </c>
      <c r="G75" s="241">
        <f t="shared" si="6"/>
        <v>285</v>
      </c>
      <c r="H75" s="242">
        <f t="shared" si="7"/>
        <v>684</v>
      </c>
      <c r="I75" s="243">
        <f t="shared" si="8"/>
        <v>848.77559999999994</v>
      </c>
    </row>
    <row r="76" spans="1:9" x14ac:dyDescent="0.25">
      <c r="A76" s="20" t="s">
        <v>56</v>
      </c>
      <c r="B76" s="276">
        <v>0.5</v>
      </c>
      <c r="C76" s="42">
        <v>927</v>
      </c>
      <c r="D76" s="38"/>
      <c r="E76" s="42">
        <v>231.75</v>
      </c>
      <c r="F76" s="188">
        <f t="shared" si="5"/>
        <v>1158.75</v>
      </c>
      <c r="G76" s="241">
        <f t="shared" si="6"/>
        <v>231.75</v>
      </c>
      <c r="H76" s="242">
        <f t="shared" si="7"/>
        <v>1390.5</v>
      </c>
      <c r="I76" s="243">
        <f t="shared" si="8"/>
        <v>1725.4714499999998</v>
      </c>
    </row>
    <row r="77" spans="1:9" x14ac:dyDescent="0.25">
      <c r="A77" s="20" t="s">
        <v>56</v>
      </c>
      <c r="B77" s="276">
        <v>0.5</v>
      </c>
      <c r="C77" s="42">
        <v>904</v>
      </c>
      <c r="D77" s="38"/>
      <c r="E77" s="42"/>
      <c r="F77" s="188">
        <f t="shared" si="5"/>
        <v>904</v>
      </c>
      <c r="G77" s="241">
        <f t="shared" si="6"/>
        <v>180.8</v>
      </c>
      <c r="H77" s="242">
        <f t="shared" si="7"/>
        <v>1084.8000000000002</v>
      </c>
      <c r="I77" s="243">
        <f t="shared" si="8"/>
        <v>1346.12832</v>
      </c>
    </row>
    <row r="78" spans="1:9" x14ac:dyDescent="0.25">
      <c r="A78" s="20" t="s">
        <v>56</v>
      </c>
      <c r="B78" s="276">
        <v>0.5</v>
      </c>
      <c r="C78" s="42">
        <v>899</v>
      </c>
      <c r="D78" s="38"/>
      <c r="E78" s="42"/>
      <c r="F78" s="188">
        <f t="shared" si="5"/>
        <v>899</v>
      </c>
      <c r="G78" s="241">
        <f t="shared" si="6"/>
        <v>179.8</v>
      </c>
      <c r="H78" s="242">
        <f t="shared" si="7"/>
        <v>1078.8000000000002</v>
      </c>
      <c r="I78" s="243">
        <f t="shared" si="8"/>
        <v>1338.6829200000002</v>
      </c>
    </row>
    <row r="79" spans="1:9" x14ac:dyDescent="0.25">
      <c r="A79" s="20" t="s">
        <v>56</v>
      </c>
      <c r="B79" s="276">
        <v>0.5</v>
      </c>
      <c r="C79" s="42">
        <v>899</v>
      </c>
      <c r="D79" s="38">
        <v>62.93</v>
      </c>
      <c r="E79" s="42">
        <v>89.9</v>
      </c>
      <c r="F79" s="188">
        <f t="shared" si="5"/>
        <v>1051.83</v>
      </c>
      <c r="G79" s="241">
        <f t="shared" si="6"/>
        <v>210.36599999999999</v>
      </c>
      <c r="H79" s="242">
        <f t="shared" si="7"/>
        <v>1262.1959999999999</v>
      </c>
      <c r="I79" s="243">
        <f t="shared" si="8"/>
        <v>1566.2590163999998</v>
      </c>
    </row>
    <row r="80" spans="1:9" x14ac:dyDescent="0.25">
      <c r="A80" s="20" t="s">
        <v>56</v>
      </c>
      <c r="B80" s="276">
        <v>0.5</v>
      </c>
      <c r="C80" s="42">
        <v>899</v>
      </c>
      <c r="D80" s="38">
        <v>17.98</v>
      </c>
      <c r="E80" s="42">
        <v>8.98</v>
      </c>
      <c r="F80" s="188">
        <f t="shared" si="5"/>
        <v>925.96</v>
      </c>
      <c r="G80" s="241">
        <f t="shared" si="6"/>
        <v>185.19200000000001</v>
      </c>
      <c r="H80" s="242">
        <f t="shared" si="7"/>
        <v>1111.152</v>
      </c>
      <c r="I80" s="243">
        <f t="shared" si="8"/>
        <v>1378.8285168</v>
      </c>
    </row>
    <row r="81" spans="1:9" x14ac:dyDescent="0.25">
      <c r="A81" s="20" t="s">
        <v>56</v>
      </c>
      <c r="B81" s="276">
        <v>0.25</v>
      </c>
      <c r="C81" s="42">
        <v>801</v>
      </c>
      <c r="D81" s="38"/>
      <c r="E81" s="42">
        <v>80.099999999999994</v>
      </c>
      <c r="F81" s="188">
        <f t="shared" si="5"/>
        <v>881.1</v>
      </c>
      <c r="G81" s="241">
        <f t="shared" si="6"/>
        <v>176.22000000000003</v>
      </c>
      <c r="H81" s="242">
        <f t="shared" si="7"/>
        <v>528.66000000000008</v>
      </c>
      <c r="I81" s="243">
        <f t="shared" si="8"/>
        <v>656.01419400000009</v>
      </c>
    </row>
    <row r="82" spans="1:9" x14ac:dyDescent="0.25">
      <c r="A82" s="20" t="s">
        <v>230</v>
      </c>
      <c r="B82" s="276">
        <v>0.75</v>
      </c>
      <c r="C82" s="42">
        <v>947</v>
      </c>
      <c r="D82" s="38">
        <v>113.64</v>
      </c>
      <c r="E82" s="42">
        <v>94.7</v>
      </c>
      <c r="F82" s="188">
        <f t="shared" si="5"/>
        <v>1155.3400000000001</v>
      </c>
      <c r="G82" s="241">
        <f t="shared" si="6"/>
        <v>231.06800000000004</v>
      </c>
      <c r="H82" s="242">
        <f t="shared" si="7"/>
        <v>2079.6120000000005</v>
      </c>
      <c r="I82" s="243">
        <f t="shared" si="8"/>
        <v>2580.5905308000006</v>
      </c>
    </row>
    <row r="83" spans="1:9" x14ac:dyDescent="0.25">
      <c r="A83" s="20" t="s">
        <v>82</v>
      </c>
      <c r="B83" s="276">
        <v>0.3</v>
      </c>
      <c r="C83" s="42">
        <v>1051.03</v>
      </c>
      <c r="D83" s="38"/>
      <c r="E83" s="42">
        <v>83</v>
      </c>
      <c r="F83" s="188">
        <f t="shared" si="5"/>
        <v>1134.03</v>
      </c>
      <c r="G83" s="241">
        <f t="shared" si="6"/>
        <v>226.80600000000001</v>
      </c>
      <c r="H83" s="242">
        <f t="shared" si="7"/>
        <v>816.50159999999994</v>
      </c>
      <c r="I83" s="243">
        <f t="shared" si="8"/>
        <v>1013.1968354399999</v>
      </c>
    </row>
    <row r="84" spans="1:9" ht="26.25" x14ac:dyDescent="0.25">
      <c r="A84" s="247" t="s">
        <v>231</v>
      </c>
      <c r="B84" s="276">
        <v>0.75</v>
      </c>
      <c r="C84" s="42">
        <v>600</v>
      </c>
      <c r="D84" s="38">
        <v>12</v>
      </c>
      <c r="E84" s="42">
        <v>6</v>
      </c>
      <c r="F84" s="188">
        <f t="shared" si="5"/>
        <v>618</v>
      </c>
      <c r="G84" s="241">
        <f t="shared" si="6"/>
        <v>123.60000000000001</v>
      </c>
      <c r="H84" s="242">
        <f t="shared" si="7"/>
        <v>1112.4000000000001</v>
      </c>
      <c r="I84" s="243">
        <f t="shared" si="8"/>
        <v>1380.37716</v>
      </c>
    </row>
    <row r="85" spans="1:9" x14ac:dyDescent="0.25">
      <c r="A85" s="20" t="s">
        <v>62</v>
      </c>
      <c r="B85" s="277">
        <v>1.5</v>
      </c>
      <c r="C85" s="186">
        <v>850</v>
      </c>
      <c r="D85" s="188"/>
      <c r="E85" s="186">
        <v>85</v>
      </c>
      <c r="F85" s="188">
        <f t="shared" si="5"/>
        <v>935</v>
      </c>
      <c r="G85" s="241">
        <f t="shared" si="6"/>
        <v>187</v>
      </c>
      <c r="H85" s="242">
        <f t="shared" si="7"/>
        <v>3366</v>
      </c>
      <c r="I85" s="243">
        <f t="shared" si="8"/>
        <v>4176.8693999999996</v>
      </c>
    </row>
    <row r="86" spans="1:9" x14ac:dyDescent="0.25">
      <c r="A86" s="20" t="s">
        <v>62</v>
      </c>
      <c r="B86" s="277">
        <v>0.5</v>
      </c>
      <c r="C86" s="186">
        <v>792</v>
      </c>
      <c r="D86" s="188">
        <v>118.8</v>
      </c>
      <c r="E86" s="186">
        <v>79.2</v>
      </c>
      <c r="F86" s="188">
        <f t="shared" si="5"/>
        <v>990</v>
      </c>
      <c r="G86" s="241">
        <f t="shared" si="6"/>
        <v>198</v>
      </c>
      <c r="H86" s="242">
        <f t="shared" si="7"/>
        <v>1188</v>
      </c>
      <c r="I86" s="243">
        <f t="shared" si="8"/>
        <v>1474.1891999999998</v>
      </c>
    </row>
    <row r="87" spans="1:9" x14ac:dyDescent="0.25">
      <c r="A87" s="20" t="s">
        <v>62</v>
      </c>
      <c r="B87" s="277">
        <v>1</v>
      </c>
      <c r="C87" s="186">
        <v>774.76</v>
      </c>
      <c r="D87" s="188"/>
      <c r="E87" s="186">
        <v>77.48</v>
      </c>
      <c r="F87" s="188">
        <f t="shared" si="5"/>
        <v>852.24</v>
      </c>
      <c r="G87" s="241">
        <f t="shared" si="6"/>
        <v>170.44800000000001</v>
      </c>
      <c r="H87" s="242">
        <f t="shared" si="7"/>
        <v>2045.3760000000002</v>
      </c>
      <c r="I87" s="243">
        <f t="shared" si="8"/>
        <v>2538.1070783999999</v>
      </c>
    </row>
    <row r="88" spans="1:9" x14ac:dyDescent="0.25">
      <c r="A88" s="20" t="s">
        <v>232</v>
      </c>
      <c r="B88" s="276">
        <v>0.3</v>
      </c>
      <c r="C88" s="42">
        <v>917</v>
      </c>
      <c r="D88" s="38"/>
      <c r="E88" s="42">
        <v>91.7</v>
      </c>
      <c r="F88" s="188">
        <f t="shared" si="5"/>
        <v>1008.7</v>
      </c>
      <c r="G88" s="241">
        <f t="shared" si="6"/>
        <v>201.74</v>
      </c>
      <c r="H88" s="242">
        <f t="shared" si="7"/>
        <v>726.26400000000001</v>
      </c>
      <c r="I88" s="243">
        <f t="shared" si="8"/>
        <v>901.22099759999992</v>
      </c>
    </row>
    <row r="89" spans="1:9" x14ac:dyDescent="0.25">
      <c r="A89" s="20" t="s">
        <v>99</v>
      </c>
      <c r="B89" s="276">
        <v>1</v>
      </c>
      <c r="C89" s="42">
        <v>810</v>
      </c>
      <c r="D89" s="38">
        <v>40.5</v>
      </c>
      <c r="E89" s="42">
        <v>81</v>
      </c>
      <c r="F89" s="188">
        <f t="shared" si="5"/>
        <v>931.5</v>
      </c>
      <c r="G89" s="241">
        <f t="shared" si="6"/>
        <v>186.3</v>
      </c>
      <c r="H89" s="242">
        <f t="shared" si="7"/>
        <v>2235.6000000000004</v>
      </c>
      <c r="I89" s="243">
        <f t="shared" si="8"/>
        <v>2774.1560400000003</v>
      </c>
    </row>
    <row r="90" spans="1:9" x14ac:dyDescent="0.25">
      <c r="A90" s="20" t="s">
        <v>233</v>
      </c>
      <c r="B90" s="276">
        <v>0.3</v>
      </c>
      <c r="C90" s="42">
        <v>780</v>
      </c>
      <c r="D90" s="38"/>
      <c r="E90" s="42"/>
      <c r="F90" s="188">
        <f t="shared" si="5"/>
        <v>780</v>
      </c>
      <c r="G90" s="241">
        <f t="shared" si="6"/>
        <v>156</v>
      </c>
      <c r="H90" s="242">
        <f t="shared" si="7"/>
        <v>561.6</v>
      </c>
      <c r="I90" s="243">
        <f t="shared" si="8"/>
        <v>696.88943999999992</v>
      </c>
    </row>
    <row r="91" spans="1:9" x14ac:dyDescent="0.25">
      <c r="A91" s="20" t="s">
        <v>233</v>
      </c>
      <c r="B91" s="276">
        <v>0.5</v>
      </c>
      <c r="C91" s="42">
        <v>598</v>
      </c>
      <c r="D91" s="38"/>
      <c r="E91" s="42"/>
      <c r="F91" s="188">
        <f t="shared" si="5"/>
        <v>598</v>
      </c>
      <c r="G91" s="241">
        <f t="shared" si="6"/>
        <v>119.60000000000001</v>
      </c>
      <c r="H91" s="242">
        <f t="shared" si="7"/>
        <v>717.6</v>
      </c>
      <c r="I91" s="243">
        <f t="shared" si="8"/>
        <v>890.46983999999998</v>
      </c>
    </row>
    <row r="92" spans="1:9" x14ac:dyDescent="0.25">
      <c r="A92" s="20" t="s">
        <v>234</v>
      </c>
      <c r="B92" s="276">
        <v>0.25</v>
      </c>
      <c r="C92" s="42">
        <v>627</v>
      </c>
      <c r="D92" s="38">
        <v>43.89</v>
      </c>
      <c r="E92" s="42">
        <v>125.4</v>
      </c>
      <c r="F92" s="188">
        <f t="shared" si="5"/>
        <v>796.29</v>
      </c>
      <c r="G92" s="241">
        <f t="shared" si="6"/>
        <v>159.25800000000001</v>
      </c>
      <c r="H92" s="242">
        <f t="shared" si="7"/>
        <v>477.774</v>
      </c>
      <c r="I92" s="243">
        <f t="shared" si="8"/>
        <v>592.86975659999996</v>
      </c>
    </row>
    <row r="93" spans="1:9" x14ac:dyDescent="0.25">
      <c r="A93" s="20" t="s">
        <v>234</v>
      </c>
      <c r="B93" s="276">
        <v>1</v>
      </c>
      <c r="C93" s="42">
        <v>542</v>
      </c>
      <c r="D93" s="38">
        <v>16.260000000000002</v>
      </c>
      <c r="E93" s="42">
        <v>54.2</v>
      </c>
      <c r="F93" s="188">
        <f t="shared" si="5"/>
        <v>612.46</v>
      </c>
      <c r="G93" s="241">
        <f t="shared" si="6"/>
        <v>122.49200000000002</v>
      </c>
      <c r="H93" s="242">
        <f t="shared" si="7"/>
        <v>1469.9040000000002</v>
      </c>
      <c r="I93" s="243">
        <f t="shared" si="8"/>
        <v>1824.0038736000001</v>
      </c>
    </row>
    <row r="94" spans="1:9" x14ac:dyDescent="0.25">
      <c r="A94" s="20" t="s">
        <v>235</v>
      </c>
      <c r="B94" s="276">
        <v>0.2</v>
      </c>
      <c r="C94" s="42">
        <v>792</v>
      </c>
      <c r="D94" s="38">
        <v>79.2</v>
      </c>
      <c r="E94" s="42">
        <v>158.4</v>
      </c>
      <c r="F94" s="188">
        <f t="shared" si="5"/>
        <v>1029.6000000000001</v>
      </c>
      <c r="G94" s="241">
        <f t="shared" si="6"/>
        <v>205.92000000000004</v>
      </c>
      <c r="H94" s="242">
        <f t="shared" si="7"/>
        <v>494.20800000000008</v>
      </c>
      <c r="I94" s="243">
        <f t="shared" si="8"/>
        <v>613.26270720000002</v>
      </c>
    </row>
    <row r="95" spans="1:9" x14ac:dyDescent="0.25">
      <c r="A95" s="187" t="s">
        <v>32</v>
      </c>
      <c r="B95" s="277">
        <v>1</v>
      </c>
      <c r="C95" s="186">
        <v>776</v>
      </c>
      <c r="D95" s="188"/>
      <c r="E95" s="186"/>
      <c r="F95" s="188">
        <f t="shared" si="5"/>
        <v>776</v>
      </c>
      <c r="G95" s="241">
        <f t="shared" si="6"/>
        <v>155.20000000000002</v>
      </c>
      <c r="H95" s="242">
        <f t="shared" si="7"/>
        <v>1862.4</v>
      </c>
      <c r="I95" s="243">
        <f t="shared" si="8"/>
        <v>2311.0521599999997</v>
      </c>
    </row>
    <row r="96" spans="1:9" s="185" customFormat="1" x14ac:dyDescent="0.25">
      <c r="A96" s="187" t="s">
        <v>32</v>
      </c>
      <c r="B96" s="277">
        <v>0.2</v>
      </c>
      <c r="C96" s="186">
        <v>601</v>
      </c>
      <c r="D96" s="188">
        <v>60.1</v>
      </c>
      <c r="E96" s="186">
        <v>60.1</v>
      </c>
      <c r="F96" s="188">
        <f t="shared" si="5"/>
        <v>721.2</v>
      </c>
      <c r="G96" s="241">
        <f t="shared" si="6"/>
        <v>144.24</v>
      </c>
      <c r="H96" s="242">
        <f t="shared" si="7"/>
        <v>346.17600000000004</v>
      </c>
      <c r="I96" s="243">
        <f t="shared" si="8"/>
        <v>429.56979840000002</v>
      </c>
    </row>
    <row r="97" spans="1:9" s="185" customFormat="1" x14ac:dyDescent="0.25">
      <c r="A97" s="187" t="s">
        <v>32</v>
      </c>
      <c r="B97" s="277">
        <v>0.2</v>
      </c>
      <c r="C97" s="186">
        <v>601</v>
      </c>
      <c r="D97" s="188">
        <v>30.05</v>
      </c>
      <c r="E97" s="186">
        <v>60.1</v>
      </c>
      <c r="F97" s="188">
        <f t="shared" si="5"/>
        <v>691.15</v>
      </c>
      <c r="G97" s="241">
        <f t="shared" si="6"/>
        <v>138.22999999999999</v>
      </c>
      <c r="H97" s="242">
        <f t="shared" si="7"/>
        <v>331.75199999999995</v>
      </c>
      <c r="I97" s="243">
        <f t="shared" si="8"/>
        <v>411.67105679999992</v>
      </c>
    </row>
    <row r="98" spans="1:9" x14ac:dyDescent="0.25">
      <c r="A98" s="20" t="s">
        <v>32</v>
      </c>
      <c r="B98" s="276">
        <v>0.5</v>
      </c>
      <c r="C98" s="42">
        <v>566</v>
      </c>
      <c r="D98" s="38"/>
      <c r="E98" s="42"/>
      <c r="F98" s="188">
        <f>C98+D98+E98</f>
        <v>566</v>
      </c>
      <c r="G98" s="241">
        <f t="shared" si="6"/>
        <v>113.2</v>
      </c>
      <c r="H98" s="242">
        <f t="shared" si="7"/>
        <v>679.2</v>
      </c>
      <c r="I98" s="243">
        <f t="shared" si="8"/>
        <v>842.81927999999994</v>
      </c>
    </row>
    <row r="99" spans="1:9" ht="25.5" x14ac:dyDescent="0.25">
      <c r="A99" s="192" t="s">
        <v>10</v>
      </c>
      <c r="B99" s="252">
        <f>SUM(B100:B175)</f>
        <v>98.46</v>
      </c>
      <c r="C99" s="34"/>
      <c r="D99" s="34"/>
      <c r="E99" s="34"/>
      <c r="F99" s="205"/>
      <c r="G99" s="251">
        <f>SUM(G100:G175)</f>
        <v>10415.941999999999</v>
      </c>
      <c r="H99" s="252">
        <f t="shared" ref="H99:I99" si="9">SUM(H100:H175)</f>
        <v>167383.7328</v>
      </c>
      <c r="I99" s="253">
        <f t="shared" si="9"/>
        <v>207706.47403151996</v>
      </c>
    </row>
    <row r="100" spans="1:9" s="185" customFormat="1" x14ac:dyDescent="0.25">
      <c r="A100" s="20" t="s">
        <v>25</v>
      </c>
      <c r="B100" s="276">
        <v>1</v>
      </c>
      <c r="C100" s="42">
        <v>808</v>
      </c>
      <c r="D100" s="38"/>
      <c r="E100" s="42">
        <v>72</v>
      </c>
      <c r="F100" s="38">
        <f t="shared" ref="F100:F163" si="10">C100+D100+E100</f>
        <v>880</v>
      </c>
      <c r="G100" s="241">
        <f t="shared" ref="G100:G163" si="11">F100*0.2</f>
        <v>176</v>
      </c>
      <c r="H100" s="242">
        <f t="shared" ref="H100:H163" si="12">G100*12*B100</f>
        <v>2112</v>
      </c>
      <c r="I100" s="243">
        <f t="shared" ref="I100:I163" si="13">H100*1.2409</f>
        <v>2620.7807999999995</v>
      </c>
    </row>
    <row r="101" spans="1:9" x14ac:dyDescent="0.25">
      <c r="A101" s="20" t="s">
        <v>25</v>
      </c>
      <c r="B101" s="276">
        <v>1</v>
      </c>
      <c r="C101" s="42">
        <v>797</v>
      </c>
      <c r="D101" s="38"/>
      <c r="E101" s="42">
        <v>79.7</v>
      </c>
      <c r="F101" s="38">
        <f t="shared" si="10"/>
        <v>876.7</v>
      </c>
      <c r="G101" s="241">
        <f t="shared" si="11"/>
        <v>175.34000000000003</v>
      </c>
      <c r="H101" s="242">
        <f t="shared" si="12"/>
        <v>2104.0800000000004</v>
      </c>
      <c r="I101" s="243">
        <f t="shared" si="13"/>
        <v>2610.9528720000003</v>
      </c>
    </row>
    <row r="102" spans="1:9" x14ac:dyDescent="0.25">
      <c r="A102" s="20" t="s">
        <v>25</v>
      </c>
      <c r="B102" s="276">
        <v>2</v>
      </c>
      <c r="C102" s="42">
        <v>771</v>
      </c>
      <c r="D102" s="38"/>
      <c r="E102" s="42">
        <v>77.099999999999994</v>
      </c>
      <c r="F102" s="38">
        <f t="shared" si="10"/>
        <v>848.1</v>
      </c>
      <c r="G102" s="241">
        <f t="shared" si="11"/>
        <v>169.62</v>
      </c>
      <c r="H102" s="242">
        <f t="shared" si="12"/>
        <v>4070.88</v>
      </c>
      <c r="I102" s="243">
        <f t="shared" si="13"/>
        <v>5051.5549919999994</v>
      </c>
    </row>
    <row r="103" spans="1:9" x14ac:dyDescent="0.25">
      <c r="A103" s="20" t="s">
        <v>25</v>
      </c>
      <c r="B103" s="276">
        <v>1</v>
      </c>
      <c r="C103" s="42">
        <v>713.8</v>
      </c>
      <c r="D103" s="38"/>
      <c r="E103" s="42">
        <v>266.74</v>
      </c>
      <c r="F103" s="38">
        <f t="shared" si="10"/>
        <v>980.54</v>
      </c>
      <c r="G103" s="241">
        <f t="shared" si="11"/>
        <v>196.108</v>
      </c>
      <c r="H103" s="242">
        <f t="shared" si="12"/>
        <v>2353.2960000000003</v>
      </c>
      <c r="I103" s="243">
        <f t="shared" si="13"/>
        <v>2920.2050064</v>
      </c>
    </row>
    <row r="104" spans="1:9" x14ac:dyDescent="0.25">
      <c r="A104" s="20" t="s">
        <v>25</v>
      </c>
      <c r="B104" s="276">
        <f>3+4.2</f>
        <v>7.2</v>
      </c>
      <c r="C104" s="42">
        <v>703</v>
      </c>
      <c r="D104" s="38"/>
      <c r="E104" s="42">
        <v>70.3</v>
      </c>
      <c r="F104" s="38">
        <f t="shared" si="10"/>
        <v>773.3</v>
      </c>
      <c r="G104" s="241">
        <f t="shared" si="11"/>
        <v>154.66</v>
      </c>
      <c r="H104" s="242">
        <f t="shared" si="12"/>
        <v>13362.624000000002</v>
      </c>
      <c r="I104" s="243">
        <f t="shared" si="13"/>
        <v>16581.680121600002</v>
      </c>
    </row>
    <row r="105" spans="1:9" x14ac:dyDescent="0.25">
      <c r="A105" s="20" t="s">
        <v>25</v>
      </c>
      <c r="B105" s="276">
        <v>0.4</v>
      </c>
      <c r="C105" s="42">
        <v>700</v>
      </c>
      <c r="D105" s="38"/>
      <c r="E105" s="42"/>
      <c r="F105" s="38">
        <f t="shared" si="10"/>
        <v>700</v>
      </c>
      <c r="G105" s="241">
        <f t="shared" si="11"/>
        <v>140</v>
      </c>
      <c r="H105" s="242">
        <f t="shared" si="12"/>
        <v>672</v>
      </c>
      <c r="I105" s="243">
        <f t="shared" si="13"/>
        <v>833.88479999999993</v>
      </c>
    </row>
    <row r="106" spans="1:9" x14ac:dyDescent="0.25">
      <c r="A106" s="20" t="s">
        <v>25</v>
      </c>
      <c r="B106" s="276">
        <v>1.5</v>
      </c>
      <c r="C106" s="42">
        <v>698.83</v>
      </c>
      <c r="D106" s="38"/>
      <c r="E106" s="42"/>
      <c r="F106" s="38">
        <f t="shared" si="10"/>
        <v>698.83</v>
      </c>
      <c r="G106" s="241">
        <f t="shared" si="11"/>
        <v>139.76600000000002</v>
      </c>
      <c r="H106" s="242">
        <f t="shared" si="12"/>
        <v>2515.7880000000005</v>
      </c>
      <c r="I106" s="243">
        <f t="shared" si="13"/>
        <v>3121.8413292000005</v>
      </c>
    </row>
    <row r="107" spans="1:9" x14ac:dyDescent="0.25">
      <c r="A107" s="20" t="s">
        <v>25</v>
      </c>
      <c r="B107" s="276">
        <v>3</v>
      </c>
      <c r="C107" s="42">
        <v>695</v>
      </c>
      <c r="D107" s="38"/>
      <c r="E107" s="42">
        <v>69.5</v>
      </c>
      <c r="F107" s="38">
        <f t="shared" si="10"/>
        <v>764.5</v>
      </c>
      <c r="G107" s="241">
        <f t="shared" si="11"/>
        <v>152.9</v>
      </c>
      <c r="H107" s="242">
        <f t="shared" si="12"/>
        <v>5504.4000000000005</v>
      </c>
      <c r="I107" s="243">
        <f t="shared" si="13"/>
        <v>6830.40996</v>
      </c>
    </row>
    <row r="108" spans="1:9" x14ac:dyDescent="0.25">
      <c r="A108" s="20" t="s">
        <v>25</v>
      </c>
      <c r="B108" s="276">
        <v>1</v>
      </c>
      <c r="C108" s="42">
        <v>673</v>
      </c>
      <c r="D108" s="38"/>
      <c r="E108" s="42">
        <v>67</v>
      </c>
      <c r="F108" s="38">
        <f t="shared" si="10"/>
        <v>740</v>
      </c>
      <c r="G108" s="241">
        <f t="shared" si="11"/>
        <v>148</v>
      </c>
      <c r="H108" s="242">
        <f t="shared" si="12"/>
        <v>1776</v>
      </c>
      <c r="I108" s="243">
        <f t="shared" si="13"/>
        <v>2203.8383999999996</v>
      </c>
    </row>
    <row r="109" spans="1:9" x14ac:dyDescent="0.25">
      <c r="A109" s="20" t="s">
        <v>25</v>
      </c>
      <c r="B109" s="276">
        <v>2</v>
      </c>
      <c r="C109" s="42">
        <v>675</v>
      </c>
      <c r="D109" s="38">
        <v>33.75</v>
      </c>
      <c r="E109" s="42">
        <v>67.5</v>
      </c>
      <c r="F109" s="38">
        <f t="shared" si="10"/>
        <v>776.25</v>
      </c>
      <c r="G109" s="241">
        <f t="shared" si="11"/>
        <v>155.25</v>
      </c>
      <c r="H109" s="242">
        <f t="shared" si="12"/>
        <v>3726</v>
      </c>
      <c r="I109" s="243">
        <f t="shared" si="13"/>
        <v>4623.5933999999997</v>
      </c>
    </row>
    <row r="110" spans="1:9" x14ac:dyDescent="0.25">
      <c r="A110" s="20" t="s">
        <v>25</v>
      </c>
      <c r="B110" s="276">
        <v>1</v>
      </c>
      <c r="C110" s="42">
        <v>669.71</v>
      </c>
      <c r="D110" s="38"/>
      <c r="E110" s="42">
        <v>66.97</v>
      </c>
      <c r="F110" s="38">
        <f t="shared" si="10"/>
        <v>736.68000000000006</v>
      </c>
      <c r="G110" s="241">
        <f t="shared" si="11"/>
        <v>147.33600000000001</v>
      </c>
      <c r="H110" s="242">
        <f t="shared" si="12"/>
        <v>1768.0320000000002</v>
      </c>
      <c r="I110" s="243">
        <f t="shared" si="13"/>
        <v>2193.9509088</v>
      </c>
    </row>
    <row r="111" spans="1:9" x14ac:dyDescent="0.25">
      <c r="A111" s="20" t="s">
        <v>25</v>
      </c>
      <c r="B111" s="276">
        <v>0.5</v>
      </c>
      <c r="C111" s="42">
        <v>664</v>
      </c>
      <c r="D111" s="38">
        <v>33.200000000000003</v>
      </c>
      <c r="E111" s="42">
        <v>66.400000000000006</v>
      </c>
      <c r="F111" s="38">
        <f t="shared" si="10"/>
        <v>763.6</v>
      </c>
      <c r="G111" s="241">
        <f t="shared" si="11"/>
        <v>152.72</v>
      </c>
      <c r="H111" s="242">
        <f t="shared" si="12"/>
        <v>916.31999999999994</v>
      </c>
      <c r="I111" s="243">
        <f t="shared" si="13"/>
        <v>1137.0614879999998</v>
      </c>
    </row>
    <row r="112" spans="1:9" x14ac:dyDescent="0.25">
      <c r="A112" s="20" t="s">
        <v>25</v>
      </c>
      <c r="B112" s="276">
        <v>5.5</v>
      </c>
      <c r="C112" s="42">
        <v>645</v>
      </c>
      <c r="D112" s="38">
        <v>96.75</v>
      </c>
      <c r="E112" s="42">
        <v>64.5</v>
      </c>
      <c r="F112" s="38">
        <f t="shared" si="10"/>
        <v>806.25</v>
      </c>
      <c r="G112" s="241">
        <f t="shared" si="11"/>
        <v>161.25</v>
      </c>
      <c r="H112" s="242">
        <f t="shared" si="12"/>
        <v>10642.5</v>
      </c>
      <c r="I112" s="243">
        <f t="shared" si="13"/>
        <v>13206.278249999999</v>
      </c>
    </row>
    <row r="113" spans="1:9" x14ac:dyDescent="0.25">
      <c r="A113" s="20" t="s">
        <v>25</v>
      </c>
      <c r="B113" s="276">
        <v>2</v>
      </c>
      <c r="C113" s="42">
        <v>640</v>
      </c>
      <c r="D113" s="38"/>
      <c r="E113" s="42"/>
      <c r="F113" s="38">
        <f t="shared" si="10"/>
        <v>640</v>
      </c>
      <c r="G113" s="241">
        <f t="shared" si="11"/>
        <v>128</v>
      </c>
      <c r="H113" s="242">
        <f t="shared" si="12"/>
        <v>3072</v>
      </c>
      <c r="I113" s="243">
        <f t="shared" si="13"/>
        <v>3812.0447999999997</v>
      </c>
    </row>
    <row r="114" spans="1:9" x14ac:dyDescent="0.25">
      <c r="A114" s="20" t="s">
        <v>25</v>
      </c>
      <c r="B114" s="276">
        <v>1</v>
      </c>
      <c r="C114" s="42">
        <v>639</v>
      </c>
      <c r="D114" s="38">
        <v>31.95</v>
      </c>
      <c r="E114" s="42">
        <v>63.9</v>
      </c>
      <c r="F114" s="38">
        <f t="shared" si="10"/>
        <v>734.85</v>
      </c>
      <c r="G114" s="241">
        <f t="shared" si="11"/>
        <v>146.97</v>
      </c>
      <c r="H114" s="242">
        <f t="shared" si="12"/>
        <v>1763.6399999999999</v>
      </c>
      <c r="I114" s="243">
        <f t="shared" si="13"/>
        <v>2188.5008759999996</v>
      </c>
    </row>
    <row r="115" spans="1:9" x14ac:dyDescent="0.25">
      <c r="A115" s="20" t="s">
        <v>25</v>
      </c>
      <c r="B115" s="276">
        <v>0.65</v>
      </c>
      <c r="C115" s="42">
        <v>628</v>
      </c>
      <c r="D115" s="38">
        <v>31.4</v>
      </c>
      <c r="E115" s="42">
        <v>62.8</v>
      </c>
      <c r="F115" s="38">
        <f t="shared" si="10"/>
        <v>722.19999999999993</v>
      </c>
      <c r="G115" s="241">
        <f t="shared" si="11"/>
        <v>144.44</v>
      </c>
      <c r="H115" s="242">
        <f t="shared" si="12"/>
        <v>1126.6320000000001</v>
      </c>
      <c r="I115" s="243">
        <f t="shared" si="13"/>
        <v>1398.0376487999999</v>
      </c>
    </row>
    <row r="116" spans="1:9" x14ac:dyDescent="0.25">
      <c r="A116" s="20" t="s">
        <v>25</v>
      </c>
      <c r="B116" s="276">
        <v>1.6</v>
      </c>
      <c r="C116" s="42">
        <v>625</v>
      </c>
      <c r="D116" s="38"/>
      <c r="E116" s="42"/>
      <c r="F116" s="38">
        <f t="shared" si="10"/>
        <v>625</v>
      </c>
      <c r="G116" s="241">
        <f t="shared" si="11"/>
        <v>125</v>
      </c>
      <c r="H116" s="242">
        <f t="shared" si="12"/>
        <v>2400</v>
      </c>
      <c r="I116" s="243">
        <f t="shared" si="13"/>
        <v>2978.16</v>
      </c>
    </row>
    <row r="117" spans="1:9" x14ac:dyDescent="0.25">
      <c r="A117" s="20" t="s">
        <v>25</v>
      </c>
      <c r="B117" s="277">
        <v>1</v>
      </c>
      <c r="C117" s="186">
        <v>622</v>
      </c>
      <c r="D117" s="188"/>
      <c r="E117" s="186">
        <v>72</v>
      </c>
      <c r="F117" s="38">
        <f t="shared" si="10"/>
        <v>694</v>
      </c>
      <c r="G117" s="241">
        <f t="shared" si="11"/>
        <v>138.80000000000001</v>
      </c>
      <c r="H117" s="242">
        <f t="shared" si="12"/>
        <v>1665.6000000000001</v>
      </c>
      <c r="I117" s="243">
        <f t="shared" si="13"/>
        <v>2066.8430400000002</v>
      </c>
    </row>
    <row r="118" spans="1:9" x14ac:dyDescent="0.25">
      <c r="A118" s="20" t="s">
        <v>25</v>
      </c>
      <c r="B118" s="277">
        <v>1</v>
      </c>
      <c r="C118" s="186">
        <v>618</v>
      </c>
      <c r="D118" s="188">
        <v>89</v>
      </c>
      <c r="E118" s="186">
        <v>125</v>
      </c>
      <c r="F118" s="38">
        <f t="shared" si="10"/>
        <v>832</v>
      </c>
      <c r="G118" s="241">
        <f t="shared" si="11"/>
        <v>166.4</v>
      </c>
      <c r="H118" s="242">
        <f t="shared" si="12"/>
        <v>1996.8000000000002</v>
      </c>
      <c r="I118" s="243">
        <f t="shared" si="13"/>
        <v>2477.8291199999999</v>
      </c>
    </row>
    <row r="119" spans="1:9" x14ac:dyDescent="0.25">
      <c r="A119" s="187" t="s">
        <v>25</v>
      </c>
      <c r="B119" s="277">
        <v>2</v>
      </c>
      <c r="C119" s="186">
        <v>618</v>
      </c>
      <c r="D119" s="188">
        <v>59</v>
      </c>
      <c r="E119" s="186">
        <v>125</v>
      </c>
      <c r="F119" s="38">
        <f t="shared" si="10"/>
        <v>802</v>
      </c>
      <c r="G119" s="241">
        <f t="shared" si="11"/>
        <v>160.4</v>
      </c>
      <c r="H119" s="242">
        <f t="shared" si="12"/>
        <v>3849.6000000000004</v>
      </c>
      <c r="I119" s="243">
        <f t="shared" si="13"/>
        <v>4776.9686400000001</v>
      </c>
    </row>
    <row r="120" spans="1:9" s="185" customFormat="1" x14ac:dyDescent="0.25">
      <c r="A120" s="187" t="s">
        <v>25</v>
      </c>
      <c r="B120" s="277">
        <v>1</v>
      </c>
      <c r="C120" s="186">
        <v>618</v>
      </c>
      <c r="D120" s="188">
        <v>29</v>
      </c>
      <c r="E120" s="186">
        <v>125</v>
      </c>
      <c r="F120" s="188">
        <f t="shared" si="10"/>
        <v>772</v>
      </c>
      <c r="G120" s="241">
        <f t="shared" si="11"/>
        <v>154.4</v>
      </c>
      <c r="H120" s="242">
        <f t="shared" si="12"/>
        <v>1852.8000000000002</v>
      </c>
      <c r="I120" s="243">
        <f t="shared" si="13"/>
        <v>2299.1395200000002</v>
      </c>
    </row>
    <row r="121" spans="1:9" x14ac:dyDescent="0.25">
      <c r="A121" s="20" t="s">
        <v>25</v>
      </c>
      <c r="B121" s="277">
        <v>0.65</v>
      </c>
      <c r="C121" s="186">
        <v>617</v>
      </c>
      <c r="D121" s="188">
        <v>30.85</v>
      </c>
      <c r="E121" s="186">
        <v>61.7</v>
      </c>
      <c r="F121" s="188">
        <f t="shared" si="10"/>
        <v>709.55000000000007</v>
      </c>
      <c r="G121" s="241">
        <f t="shared" si="11"/>
        <v>141.91000000000003</v>
      </c>
      <c r="H121" s="242">
        <f t="shared" si="12"/>
        <v>1106.8980000000001</v>
      </c>
      <c r="I121" s="243">
        <f t="shared" si="13"/>
        <v>1373.5497282000001</v>
      </c>
    </row>
    <row r="122" spans="1:9" x14ac:dyDescent="0.25">
      <c r="A122" s="20" t="s">
        <v>25</v>
      </c>
      <c r="B122" s="276">
        <v>1.75</v>
      </c>
      <c r="C122" s="42">
        <v>600</v>
      </c>
      <c r="D122" s="38">
        <v>60</v>
      </c>
      <c r="E122" s="42"/>
      <c r="F122" s="38">
        <f t="shared" si="10"/>
        <v>660</v>
      </c>
      <c r="G122" s="241">
        <f t="shared" si="11"/>
        <v>132</v>
      </c>
      <c r="H122" s="242">
        <f t="shared" si="12"/>
        <v>2772</v>
      </c>
      <c r="I122" s="243">
        <f t="shared" si="13"/>
        <v>3439.7747999999997</v>
      </c>
    </row>
    <row r="123" spans="1:9" x14ac:dyDescent="0.25">
      <c r="A123" s="20" t="s">
        <v>25</v>
      </c>
      <c r="B123" s="276">
        <v>2</v>
      </c>
      <c r="C123" s="42">
        <v>598.75</v>
      </c>
      <c r="D123" s="38"/>
      <c r="E123" s="42">
        <v>59.87</v>
      </c>
      <c r="F123" s="38">
        <f t="shared" si="10"/>
        <v>658.62</v>
      </c>
      <c r="G123" s="241">
        <f t="shared" si="11"/>
        <v>131.72400000000002</v>
      </c>
      <c r="H123" s="242">
        <f t="shared" si="12"/>
        <v>3161.3760000000002</v>
      </c>
      <c r="I123" s="243">
        <f t="shared" si="13"/>
        <v>3922.9514783999998</v>
      </c>
    </row>
    <row r="124" spans="1:9" x14ac:dyDescent="0.25">
      <c r="A124" s="20" t="s">
        <v>25</v>
      </c>
      <c r="B124" s="276">
        <f>2+1</f>
        <v>3</v>
      </c>
      <c r="C124" s="42">
        <v>598</v>
      </c>
      <c r="D124" s="38"/>
      <c r="E124" s="42">
        <v>59.8</v>
      </c>
      <c r="F124" s="38">
        <f t="shared" si="10"/>
        <v>657.8</v>
      </c>
      <c r="G124" s="241">
        <f t="shared" si="11"/>
        <v>131.56</v>
      </c>
      <c r="H124" s="242">
        <f t="shared" si="12"/>
        <v>4736.16</v>
      </c>
      <c r="I124" s="243">
        <f t="shared" si="13"/>
        <v>5877.1009439999989</v>
      </c>
    </row>
    <row r="125" spans="1:9" x14ac:dyDescent="0.25">
      <c r="A125" s="20" t="s">
        <v>25</v>
      </c>
      <c r="B125" s="276">
        <v>2</v>
      </c>
      <c r="C125" s="42">
        <v>596.76</v>
      </c>
      <c r="D125" s="38"/>
      <c r="E125" s="42">
        <v>59.68</v>
      </c>
      <c r="F125" s="38">
        <f t="shared" si="10"/>
        <v>656.43999999999994</v>
      </c>
      <c r="G125" s="241">
        <f t="shared" si="11"/>
        <v>131.28799999999998</v>
      </c>
      <c r="H125" s="242">
        <f t="shared" si="12"/>
        <v>3150.9119999999994</v>
      </c>
      <c r="I125" s="243">
        <f t="shared" si="13"/>
        <v>3909.9667007999988</v>
      </c>
    </row>
    <row r="126" spans="1:9" x14ac:dyDescent="0.25">
      <c r="A126" s="20" t="s">
        <v>25</v>
      </c>
      <c r="B126" s="276">
        <v>1</v>
      </c>
      <c r="C126" s="42">
        <v>595</v>
      </c>
      <c r="D126" s="38">
        <v>89.25</v>
      </c>
      <c r="E126" s="42">
        <v>89.25</v>
      </c>
      <c r="F126" s="38">
        <f t="shared" si="10"/>
        <v>773.5</v>
      </c>
      <c r="G126" s="241">
        <f t="shared" si="11"/>
        <v>154.70000000000002</v>
      </c>
      <c r="H126" s="242">
        <f t="shared" si="12"/>
        <v>1856.4</v>
      </c>
      <c r="I126" s="243">
        <f t="shared" si="13"/>
        <v>2303.6067600000001</v>
      </c>
    </row>
    <row r="127" spans="1:9" x14ac:dyDescent="0.25">
      <c r="A127" s="20" t="s">
        <v>25</v>
      </c>
      <c r="B127" s="276">
        <v>1</v>
      </c>
      <c r="C127" s="42">
        <v>595</v>
      </c>
      <c r="D127" s="38">
        <v>89.25</v>
      </c>
      <c r="E127" s="42">
        <v>59.5</v>
      </c>
      <c r="F127" s="38">
        <f t="shared" si="10"/>
        <v>743.75</v>
      </c>
      <c r="G127" s="241">
        <f t="shared" si="11"/>
        <v>148.75</v>
      </c>
      <c r="H127" s="242">
        <f t="shared" si="12"/>
        <v>1785</v>
      </c>
      <c r="I127" s="243">
        <f t="shared" si="13"/>
        <v>2215.0065</v>
      </c>
    </row>
    <row r="128" spans="1:9" x14ac:dyDescent="0.25">
      <c r="A128" s="20" t="s">
        <v>25</v>
      </c>
      <c r="B128" s="276">
        <v>2</v>
      </c>
      <c r="C128" s="42">
        <v>595</v>
      </c>
      <c r="D128" s="38">
        <v>71.400000000000006</v>
      </c>
      <c r="E128" s="42">
        <v>59.5</v>
      </c>
      <c r="F128" s="38">
        <f t="shared" si="10"/>
        <v>725.9</v>
      </c>
      <c r="G128" s="241">
        <f t="shared" si="11"/>
        <v>145.18</v>
      </c>
      <c r="H128" s="242">
        <f t="shared" si="12"/>
        <v>3484.32</v>
      </c>
      <c r="I128" s="243">
        <f t="shared" si="13"/>
        <v>4323.6926880000001</v>
      </c>
    </row>
    <row r="129" spans="1:9" x14ac:dyDescent="0.25">
      <c r="A129" s="20" t="s">
        <v>25</v>
      </c>
      <c r="B129" s="276">
        <v>0.5</v>
      </c>
      <c r="C129" s="42">
        <v>595</v>
      </c>
      <c r="D129" s="38">
        <v>41.65</v>
      </c>
      <c r="E129" s="42">
        <v>119</v>
      </c>
      <c r="F129" s="38">
        <f t="shared" si="10"/>
        <v>755.65</v>
      </c>
      <c r="G129" s="241">
        <f t="shared" si="11"/>
        <v>151.13</v>
      </c>
      <c r="H129" s="242">
        <f t="shared" si="12"/>
        <v>906.78</v>
      </c>
      <c r="I129" s="243">
        <f t="shared" si="13"/>
        <v>1125.2233019999999</v>
      </c>
    </row>
    <row r="130" spans="1:9" x14ac:dyDescent="0.25">
      <c r="A130" s="20" t="s">
        <v>25</v>
      </c>
      <c r="B130" s="276">
        <v>1</v>
      </c>
      <c r="C130" s="42">
        <v>595</v>
      </c>
      <c r="D130" s="38">
        <v>41.65</v>
      </c>
      <c r="E130" s="42">
        <v>59.5</v>
      </c>
      <c r="F130" s="38">
        <f t="shared" si="10"/>
        <v>696.15</v>
      </c>
      <c r="G130" s="241">
        <f t="shared" si="11"/>
        <v>139.22999999999999</v>
      </c>
      <c r="H130" s="242">
        <f t="shared" si="12"/>
        <v>1670.7599999999998</v>
      </c>
      <c r="I130" s="243">
        <f t="shared" si="13"/>
        <v>2073.2460839999994</v>
      </c>
    </row>
    <row r="131" spans="1:9" x14ac:dyDescent="0.25">
      <c r="A131" s="20" t="s">
        <v>25</v>
      </c>
      <c r="B131" s="276">
        <v>1</v>
      </c>
      <c r="C131" s="42">
        <v>595</v>
      </c>
      <c r="D131" s="38">
        <v>71.400000000000006</v>
      </c>
      <c r="E131" s="42">
        <v>119</v>
      </c>
      <c r="F131" s="38">
        <f t="shared" si="10"/>
        <v>785.4</v>
      </c>
      <c r="G131" s="241">
        <f t="shared" si="11"/>
        <v>157.08000000000001</v>
      </c>
      <c r="H131" s="242">
        <f t="shared" si="12"/>
        <v>1884.96</v>
      </c>
      <c r="I131" s="243">
        <f t="shared" si="13"/>
        <v>2339.0468639999999</v>
      </c>
    </row>
    <row r="132" spans="1:9" x14ac:dyDescent="0.25">
      <c r="A132" s="20" t="s">
        <v>25</v>
      </c>
      <c r="B132" s="276">
        <v>0.5</v>
      </c>
      <c r="C132" s="42">
        <v>595</v>
      </c>
      <c r="D132" s="38"/>
      <c r="E132" s="42">
        <v>148.75</v>
      </c>
      <c r="F132" s="38">
        <f t="shared" si="10"/>
        <v>743.75</v>
      </c>
      <c r="G132" s="241">
        <f t="shared" si="11"/>
        <v>148.75</v>
      </c>
      <c r="H132" s="242">
        <f t="shared" si="12"/>
        <v>892.5</v>
      </c>
      <c r="I132" s="243">
        <f t="shared" si="13"/>
        <v>1107.50325</v>
      </c>
    </row>
    <row r="133" spans="1:9" x14ac:dyDescent="0.25">
      <c r="A133" s="187" t="s">
        <v>25</v>
      </c>
      <c r="B133" s="277">
        <v>1</v>
      </c>
      <c r="C133" s="186">
        <v>595</v>
      </c>
      <c r="D133" s="188">
        <v>59.5</v>
      </c>
      <c r="E133" s="186">
        <v>83.3</v>
      </c>
      <c r="F133" s="188">
        <f t="shared" si="10"/>
        <v>737.8</v>
      </c>
      <c r="G133" s="241">
        <f t="shared" si="11"/>
        <v>147.56</v>
      </c>
      <c r="H133" s="242">
        <f t="shared" si="12"/>
        <v>1770.72</v>
      </c>
      <c r="I133" s="243">
        <f t="shared" si="13"/>
        <v>2197.2864479999998</v>
      </c>
    </row>
    <row r="134" spans="1:9" s="185" customFormat="1" x14ac:dyDescent="0.25">
      <c r="A134" s="187" t="s">
        <v>25</v>
      </c>
      <c r="B134" s="277">
        <v>0.8</v>
      </c>
      <c r="C134" s="186">
        <v>595</v>
      </c>
      <c r="D134" s="188">
        <v>59.5</v>
      </c>
      <c r="E134" s="186">
        <v>59.5</v>
      </c>
      <c r="F134" s="188">
        <f t="shared" si="10"/>
        <v>714</v>
      </c>
      <c r="G134" s="241">
        <f t="shared" si="11"/>
        <v>142.80000000000001</v>
      </c>
      <c r="H134" s="242">
        <f t="shared" si="12"/>
        <v>1370.88</v>
      </c>
      <c r="I134" s="243">
        <f t="shared" si="13"/>
        <v>1701.124992</v>
      </c>
    </row>
    <row r="135" spans="1:9" s="185" customFormat="1" x14ac:dyDescent="0.25">
      <c r="A135" s="187" t="s">
        <v>25</v>
      </c>
      <c r="B135" s="277">
        <v>0.8</v>
      </c>
      <c r="C135" s="186">
        <v>595</v>
      </c>
      <c r="D135" s="188">
        <v>59.75</v>
      </c>
      <c r="E135" s="186">
        <v>59.5</v>
      </c>
      <c r="F135" s="188">
        <f t="shared" si="10"/>
        <v>714.25</v>
      </c>
      <c r="G135" s="241">
        <f t="shared" si="11"/>
        <v>142.85</v>
      </c>
      <c r="H135" s="242">
        <f t="shared" si="12"/>
        <v>1371.36</v>
      </c>
      <c r="I135" s="243">
        <f t="shared" si="13"/>
        <v>1701.7206239999998</v>
      </c>
    </row>
    <row r="136" spans="1:9" s="185" customFormat="1" x14ac:dyDescent="0.25">
      <c r="A136" s="187" t="s">
        <v>25</v>
      </c>
      <c r="B136" s="277">
        <v>0.68</v>
      </c>
      <c r="C136" s="186">
        <v>595</v>
      </c>
      <c r="D136" s="188">
        <v>59.5</v>
      </c>
      <c r="E136" s="186">
        <v>89.25</v>
      </c>
      <c r="F136" s="188">
        <f t="shared" si="10"/>
        <v>743.75</v>
      </c>
      <c r="G136" s="241">
        <f t="shared" si="11"/>
        <v>148.75</v>
      </c>
      <c r="H136" s="242">
        <f t="shared" si="12"/>
        <v>1213.8000000000002</v>
      </c>
      <c r="I136" s="243">
        <f t="shared" si="13"/>
        <v>1506.20442</v>
      </c>
    </row>
    <row r="137" spans="1:9" s="185" customFormat="1" x14ac:dyDescent="0.25">
      <c r="A137" s="187" t="s">
        <v>25</v>
      </c>
      <c r="B137" s="277">
        <v>2</v>
      </c>
      <c r="C137" s="186">
        <v>595</v>
      </c>
      <c r="D137" s="188">
        <v>11.9</v>
      </c>
      <c r="E137" s="186">
        <v>5.95</v>
      </c>
      <c r="F137" s="188">
        <f t="shared" si="10"/>
        <v>612.85</v>
      </c>
      <c r="G137" s="241">
        <f t="shared" si="11"/>
        <v>122.57000000000001</v>
      </c>
      <c r="H137" s="242">
        <f t="shared" si="12"/>
        <v>2941.6800000000003</v>
      </c>
      <c r="I137" s="243">
        <f t="shared" si="13"/>
        <v>3650.3307119999999</v>
      </c>
    </row>
    <row r="138" spans="1:9" s="185" customFormat="1" x14ac:dyDescent="0.25">
      <c r="A138" s="187" t="s">
        <v>25</v>
      </c>
      <c r="B138" s="277">
        <v>1</v>
      </c>
      <c r="C138" s="186">
        <v>595</v>
      </c>
      <c r="D138" s="188">
        <v>23.8</v>
      </c>
      <c r="E138" s="186">
        <v>35.700000000000003</v>
      </c>
      <c r="F138" s="188">
        <f t="shared" si="10"/>
        <v>654.5</v>
      </c>
      <c r="G138" s="241">
        <f t="shared" si="11"/>
        <v>130.9</v>
      </c>
      <c r="H138" s="242">
        <f t="shared" si="12"/>
        <v>1570.8000000000002</v>
      </c>
      <c r="I138" s="243">
        <f t="shared" si="13"/>
        <v>1949.2057200000002</v>
      </c>
    </row>
    <row r="139" spans="1:9" x14ac:dyDescent="0.25">
      <c r="A139" s="20" t="s">
        <v>25</v>
      </c>
      <c r="B139" s="276">
        <v>1</v>
      </c>
      <c r="C139" s="42">
        <v>580</v>
      </c>
      <c r="D139" s="38">
        <v>87</v>
      </c>
      <c r="E139" s="42">
        <v>87</v>
      </c>
      <c r="F139" s="38">
        <f t="shared" si="10"/>
        <v>754</v>
      </c>
      <c r="G139" s="241">
        <f t="shared" si="11"/>
        <v>150.80000000000001</v>
      </c>
      <c r="H139" s="242">
        <f t="shared" si="12"/>
        <v>1809.6000000000001</v>
      </c>
      <c r="I139" s="243">
        <f t="shared" si="13"/>
        <v>2245.5326399999999</v>
      </c>
    </row>
    <row r="140" spans="1:9" x14ac:dyDescent="0.25">
      <c r="A140" s="20" t="s">
        <v>25</v>
      </c>
      <c r="B140" s="276">
        <v>0.4</v>
      </c>
      <c r="C140" s="42">
        <v>580</v>
      </c>
      <c r="D140" s="38"/>
      <c r="E140" s="42">
        <v>58</v>
      </c>
      <c r="F140" s="38">
        <f t="shared" si="10"/>
        <v>638</v>
      </c>
      <c r="G140" s="241">
        <f t="shared" si="11"/>
        <v>127.60000000000001</v>
      </c>
      <c r="H140" s="242">
        <f t="shared" si="12"/>
        <v>612.48</v>
      </c>
      <c r="I140" s="243">
        <f t="shared" si="13"/>
        <v>760.026432</v>
      </c>
    </row>
    <row r="141" spans="1:9" x14ac:dyDescent="0.25">
      <c r="A141" s="20" t="s">
        <v>25</v>
      </c>
      <c r="B141" s="276">
        <v>1.5</v>
      </c>
      <c r="C141" s="42">
        <v>578</v>
      </c>
      <c r="D141" s="38"/>
      <c r="E141" s="42">
        <v>57.8</v>
      </c>
      <c r="F141" s="38">
        <f t="shared" si="10"/>
        <v>635.79999999999995</v>
      </c>
      <c r="G141" s="241">
        <f t="shared" si="11"/>
        <v>127.16</v>
      </c>
      <c r="H141" s="242">
        <f t="shared" si="12"/>
        <v>2288.88</v>
      </c>
      <c r="I141" s="243">
        <f t="shared" si="13"/>
        <v>2840.2711919999997</v>
      </c>
    </row>
    <row r="142" spans="1:9" x14ac:dyDescent="0.25">
      <c r="A142" s="20" t="s">
        <v>25</v>
      </c>
      <c r="B142" s="276">
        <v>0.7</v>
      </c>
      <c r="C142" s="42">
        <v>577.84</v>
      </c>
      <c r="D142" s="38"/>
      <c r="E142" s="42">
        <v>57.78</v>
      </c>
      <c r="F142" s="38">
        <f t="shared" si="10"/>
        <v>635.62</v>
      </c>
      <c r="G142" s="241">
        <f t="shared" si="11"/>
        <v>127.12400000000001</v>
      </c>
      <c r="H142" s="242">
        <f t="shared" si="12"/>
        <v>1067.8416</v>
      </c>
      <c r="I142" s="243">
        <f t="shared" si="13"/>
        <v>1325.0846414399998</v>
      </c>
    </row>
    <row r="143" spans="1:9" x14ac:dyDescent="0.25">
      <c r="A143" s="20" t="s">
        <v>25</v>
      </c>
      <c r="B143" s="276">
        <v>1</v>
      </c>
      <c r="C143" s="42">
        <v>574</v>
      </c>
      <c r="D143" s="38"/>
      <c r="E143" s="42"/>
      <c r="F143" s="38">
        <f t="shared" si="10"/>
        <v>574</v>
      </c>
      <c r="G143" s="241">
        <f t="shared" si="11"/>
        <v>114.80000000000001</v>
      </c>
      <c r="H143" s="242">
        <f t="shared" si="12"/>
        <v>1377.6000000000001</v>
      </c>
      <c r="I143" s="243">
        <f t="shared" si="13"/>
        <v>1709.4638400000001</v>
      </c>
    </row>
    <row r="144" spans="1:9" x14ac:dyDescent="0.25">
      <c r="A144" s="20" t="s">
        <v>25</v>
      </c>
      <c r="B144" s="276">
        <v>1</v>
      </c>
      <c r="C144" s="42">
        <v>563</v>
      </c>
      <c r="D144" s="38"/>
      <c r="E144" s="42">
        <v>140.75</v>
      </c>
      <c r="F144" s="38">
        <f t="shared" si="10"/>
        <v>703.75</v>
      </c>
      <c r="G144" s="241">
        <f t="shared" si="11"/>
        <v>140.75</v>
      </c>
      <c r="H144" s="242">
        <f t="shared" si="12"/>
        <v>1689</v>
      </c>
      <c r="I144" s="243">
        <f t="shared" si="13"/>
        <v>2095.8800999999999</v>
      </c>
    </row>
    <row r="145" spans="1:9" x14ac:dyDescent="0.25">
      <c r="A145" s="20" t="s">
        <v>25</v>
      </c>
      <c r="B145" s="276">
        <v>1.5</v>
      </c>
      <c r="C145" s="42">
        <v>555</v>
      </c>
      <c r="D145" s="38"/>
      <c r="E145" s="42">
        <v>55.5</v>
      </c>
      <c r="F145" s="188">
        <f t="shared" si="10"/>
        <v>610.5</v>
      </c>
      <c r="G145" s="241">
        <f t="shared" si="11"/>
        <v>122.10000000000001</v>
      </c>
      <c r="H145" s="242">
        <f t="shared" si="12"/>
        <v>2197.8000000000002</v>
      </c>
      <c r="I145" s="243">
        <f t="shared" si="13"/>
        <v>2727.2500199999999</v>
      </c>
    </row>
    <row r="146" spans="1:9" x14ac:dyDescent="0.25">
      <c r="A146" s="20" t="s">
        <v>25</v>
      </c>
      <c r="B146" s="276">
        <v>0.63</v>
      </c>
      <c r="C146" s="42">
        <v>552</v>
      </c>
      <c r="D146" s="38">
        <v>27.6</v>
      </c>
      <c r="E146" s="42">
        <v>82.8</v>
      </c>
      <c r="F146" s="188">
        <f t="shared" si="10"/>
        <v>662.4</v>
      </c>
      <c r="G146" s="241">
        <f t="shared" si="11"/>
        <v>132.47999999999999</v>
      </c>
      <c r="H146" s="242">
        <f t="shared" si="12"/>
        <v>1001.5487999999999</v>
      </c>
      <c r="I146" s="243">
        <f t="shared" si="13"/>
        <v>1242.8219059199998</v>
      </c>
    </row>
    <row r="147" spans="1:9" x14ac:dyDescent="0.25">
      <c r="A147" s="20" t="s">
        <v>25</v>
      </c>
      <c r="B147" s="276">
        <f>2.1+0.2+1</f>
        <v>3.3000000000000003</v>
      </c>
      <c r="C147" s="42">
        <v>524</v>
      </c>
      <c r="D147" s="38">
        <v>52.4</v>
      </c>
      <c r="E147" s="42">
        <v>52.4</v>
      </c>
      <c r="F147" s="188">
        <f t="shared" si="10"/>
        <v>628.79999999999995</v>
      </c>
      <c r="G147" s="241">
        <f t="shared" si="11"/>
        <v>125.75999999999999</v>
      </c>
      <c r="H147" s="242">
        <f t="shared" si="12"/>
        <v>4980.0960000000005</v>
      </c>
      <c r="I147" s="243">
        <f t="shared" si="13"/>
        <v>6179.8011263999997</v>
      </c>
    </row>
    <row r="148" spans="1:9" x14ac:dyDescent="0.25">
      <c r="A148" s="20" t="s">
        <v>25</v>
      </c>
      <c r="B148" s="276">
        <v>0.5</v>
      </c>
      <c r="C148" s="42">
        <v>524</v>
      </c>
      <c r="D148" s="38">
        <v>10.48</v>
      </c>
      <c r="E148" s="42">
        <v>35.700000000000003</v>
      </c>
      <c r="F148" s="188">
        <f t="shared" si="10"/>
        <v>570.18000000000006</v>
      </c>
      <c r="G148" s="241">
        <f t="shared" si="11"/>
        <v>114.03600000000002</v>
      </c>
      <c r="H148" s="242">
        <f t="shared" si="12"/>
        <v>684.21600000000012</v>
      </c>
      <c r="I148" s="243">
        <f t="shared" si="13"/>
        <v>849.04363440000009</v>
      </c>
    </row>
    <row r="149" spans="1:9" x14ac:dyDescent="0.25">
      <c r="A149" s="20" t="s">
        <v>25</v>
      </c>
      <c r="B149" s="276">
        <v>2.5</v>
      </c>
      <c r="C149" s="42">
        <v>524</v>
      </c>
      <c r="D149" s="38"/>
      <c r="E149" s="42">
        <v>52.4</v>
      </c>
      <c r="F149" s="188">
        <f t="shared" si="10"/>
        <v>576.4</v>
      </c>
      <c r="G149" s="241">
        <f t="shared" si="11"/>
        <v>115.28</v>
      </c>
      <c r="H149" s="242">
        <f t="shared" si="12"/>
        <v>3458.4000000000005</v>
      </c>
      <c r="I149" s="243">
        <f t="shared" si="13"/>
        <v>4291.5285600000007</v>
      </c>
    </row>
    <row r="150" spans="1:9" x14ac:dyDescent="0.25">
      <c r="A150" s="20" t="s">
        <v>25</v>
      </c>
      <c r="B150" s="276">
        <v>2</v>
      </c>
      <c r="C150" s="42">
        <v>510</v>
      </c>
      <c r="D150" s="38"/>
      <c r="E150" s="42">
        <v>170</v>
      </c>
      <c r="F150" s="188">
        <f t="shared" si="10"/>
        <v>680</v>
      </c>
      <c r="G150" s="241">
        <f t="shared" si="11"/>
        <v>136</v>
      </c>
      <c r="H150" s="242">
        <f t="shared" si="12"/>
        <v>3264</v>
      </c>
      <c r="I150" s="243">
        <f t="shared" si="13"/>
        <v>4050.2975999999999</v>
      </c>
    </row>
    <row r="151" spans="1:9" x14ac:dyDescent="0.25">
      <c r="A151" s="20" t="s">
        <v>25</v>
      </c>
      <c r="B151" s="276">
        <v>1</v>
      </c>
      <c r="C151" s="42">
        <v>510</v>
      </c>
      <c r="D151" s="38"/>
      <c r="E151" s="42">
        <v>100</v>
      </c>
      <c r="F151" s="188">
        <f t="shared" si="10"/>
        <v>610</v>
      </c>
      <c r="G151" s="241">
        <f t="shared" si="11"/>
        <v>122</v>
      </c>
      <c r="H151" s="242">
        <f t="shared" si="12"/>
        <v>1464</v>
      </c>
      <c r="I151" s="243">
        <f t="shared" si="13"/>
        <v>1816.6775999999998</v>
      </c>
    </row>
    <row r="152" spans="1:9" x14ac:dyDescent="0.25">
      <c r="A152" s="20" t="s">
        <v>25</v>
      </c>
      <c r="B152" s="276">
        <v>0.7</v>
      </c>
      <c r="C152" s="42">
        <v>500</v>
      </c>
      <c r="D152" s="38"/>
      <c r="E152" s="42"/>
      <c r="F152" s="188">
        <f t="shared" si="10"/>
        <v>500</v>
      </c>
      <c r="G152" s="241">
        <f t="shared" si="11"/>
        <v>100</v>
      </c>
      <c r="H152" s="242">
        <f t="shared" si="12"/>
        <v>840</v>
      </c>
      <c r="I152" s="243">
        <f t="shared" si="13"/>
        <v>1042.356</v>
      </c>
    </row>
    <row r="153" spans="1:9" x14ac:dyDescent="0.25">
      <c r="A153" s="20" t="s">
        <v>25</v>
      </c>
      <c r="B153" s="276">
        <v>0.3</v>
      </c>
      <c r="C153" s="42">
        <v>483</v>
      </c>
      <c r="D153" s="38"/>
      <c r="E153" s="42"/>
      <c r="F153" s="188">
        <f t="shared" si="10"/>
        <v>483</v>
      </c>
      <c r="G153" s="241">
        <f t="shared" si="11"/>
        <v>96.600000000000009</v>
      </c>
      <c r="H153" s="242">
        <f t="shared" si="12"/>
        <v>347.76</v>
      </c>
      <c r="I153" s="243">
        <f t="shared" si="13"/>
        <v>431.53538399999996</v>
      </c>
    </row>
    <row r="154" spans="1:9" x14ac:dyDescent="0.25">
      <c r="A154" s="20" t="s">
        <v>25</v>
      </c>
      <c r="B154" s="276">
        <v>1.4</v>
      </c>
      <c r="C154" s="42">
        <v>480</v>
      </c>
      <c r="D154" s="38"/>
      <c r="E154" s="42">
        <v>120</v>
      </c>
      <c r="F154" s="188">
        <f t="shared" si="10"/>
        <v>600</v>
      </c>
      <c r="G154" s="241">
        <f t="shared" si="11"/>
        <v>120</v>
      </c>
      <c r="H154" s="242">
        <f t="shared" si="12"/>
        <v>2015.9999999999998</v>
      </c>
      <c r="I154" s="243">
        <f t="shared" si="13"/>
        <v>2501.6543999999994</v>
      </c>
    </row>
    <row r="155" spans="1:9" x14ac:dyDescent="0.25">
      <c r="A155" s="20" t="s">
        <v>25</v>
      </c>
      <c r="B155" s="276">
        <v>1</v>
      </c>
      <c r="C155" s="42">
        <v>470</v>
      </c>
      <c r="D155" s="38"/>
      <c r="E155" s="42"/>
      <c r="F155" s="38">
        <f t="shared" si="10"/>
        <v>470</v>
      </c>
      <c r="G155" s="241">
        <f t="shared" si="11"/>
        <v>94</v>
      </c>
      <c r="H155" s="242">
        <f t="shared" si="12"/>
        <v>1128</v>
      </c>
      <c r="I155" s="243">
        <f t="shared" si="13"/>
        <v>1399.7351999999998</v>
      </c>
    </row>
    <row r="156" spans="1:9" s="189" customFormat="1" hidden="1" x14ac:dyDescent="0.25">
      <c r="A156" s="94" t="s">
        <v>226</v>
      </c>
      <c r="B156" s="278"/>
      <c r="C156" s="193"/>
      <c r="D156" s="311"/>
      <c r="E156" s="193"/>
      <c r="F156" s="193"/>
      <c r="G156" s="241">
        <f t="shared" si="11"/>
        <v>0</v>
      </c>
      <c r="H156" s="242">
        <f t="shared" si="12"/>
        <v>0</v>
      </c>
      <c r="I156" s="243">
        <f t="shared" si="13"/>
        <v>0</v>
      </c>
    </row>
    <row r="157" spans="1:9" s="189" customFormat="1" hidden="1" x14ac:dyDescent="0.25">
      <c r="A157" s="94" t="s">
        <v>227</v>
      </c>
      <c r="B157" s="278"/>
      <c r="C157" s="193"/>
      <c r="D157" s="311"/>
      <c r="E157" s="193"/>
      <c r="F157" s="193"/>
      <c r="G157" s="241">
        <f t="shared" si="11"/>
        <v>0</v>
      </c>
      <c r="H157" s="242">
        <f t="shared" si="12"/>
        <v>0</v>
      </c>
      <c r="I157" s="243">
        <f t="shared" si="13"/>
        <v>0</v>
      </c>
    </row>
    <row r="158" spans="1:9" x14ac:dyDescent="0.25">
      <c r="A158" s="20" t="s">
        <v>66</v>
      </c>
      <c r="B158" s="277">
        <v>0.75</v>
      </c>
      <c r="C158" s="186">
        <v>661</v>
      </c>
      <c r="D158" s="188">
        <v>46.27</v>
      </c>
      <c r="E158" s="186">
        <v>66.099999999999994</v>
      </c>
      <c r="F158" s="188">
        <f t="shared" si="10"/>
        <v>773.37</v>
      </c>
      <c r="G158" s="241">
        <f t="shared" si="11"/>
        <v>154.67400000000001</v>
      </c>
      <c r="H158" s="242">
        <f t="shared" si="12"/>
        <v>1392.0660000000003</v>
      </c>
      <c r="I158" s="243">
        <f t="shared" si="13"/>
        <v>1727.4146994000002</v>
      </c>
    </row>
    <row r="159" spans="1:9" x14ac:dyDescent="0.25">
      <c r="A159" s="20" t="s">
        <v>66</v>
      </c>
      <c r="B159" s="277">
        <v>1</v>
      </c>
      <c r="C159" s="186">
        <v>653</v>
      </c>
      <c r="D159" s="188"/>
      <c r="E159" s="186">
        <v>261.2</v>
      </c>
      <c r="F159" s="188">
        <f t="shared" si="10"/>
        <v>914.2</v>
      </c>
      <c r="G159" s="241">
        <f t="shared" si="11"/>
        <v>182.84000000000003</v>
      </c>
      <c r="H159" s="242">
        <f t="shared" si="12"/>
        <v>2194.0800000000004</v>
      </c>
      <c r="I159" s="243">
        <f t="shared" si="13"/>
        <v>2722.6338720000003</v>
      </c>
    </row>
    <row r="160" spans="1:9" x14ac:dyDescent="0.25">
      <c r="A160" s="20" t="s">
        <v>66</v>
      </c>
      <c r="B160" s="277">
        <v>0.5</v>
      </c>
      <c r="C160" s="186">
        <v>600</v>
      </c>
      <c r="D160" s="188">
        <v>60</v>
      </c>
      <c r="E160" s="186">
        <v>60</v>
      </c>
      <c r="F160" s="188">
        <f t="shared" si="10"/>
        <v>720</v>
      </c>
      <c r="G160" s="241">
        <f t="shared" si="11"/>
        <v>144</v>
      </c>
      <c r="H160" s="242">
        <f t="shared" si="12"/>
        <v>864</v>
      </c>
      <c r="I160" s="243">
        <f t="shared" si="13"/>
        <v>1072.1376</v>
      </c>
    </row>
    <row r="161" spans="1:9" x14ac:dyDescent="0.25">
      <c r="A161" s="20" t="s">
        <v>66</v>
      </c>
      <c r="B161" s="277">
        <v>1</v>
      </c>
      <c r="C161" s="186">
        <v>595</v>
      </c>
      <c r="D161" s="188"/>
      <c r="E161" s="186">
        <v>89</v>
      </c>
      <c r="F161" s="188">
        <f t="shared" si="10"/>
        <v>684</v>
      </c>
      <c r="G161" s="241">
        <f t="shared" si="11"/>
        <v>136.80000000000001</v>
      </c>
      <c r="H161" s="242">
        <f t="shared" si="12"/>
        <v>1641.6000000000001</v>
      </c>
      <c r="I161" s="243">
        <f t="shared" si="13"/>
        <v>2037.0614399999999</v>
      </c>
    </row>
    <row r="162" spans="1:9" ht="15" customHeight="1" x14ac:dyDescent="0.25">
      <c r="A162" s="20" t="s">
        <v>66</v>
      </c>
      <c r="B162" s="277">
        <v>1</v>
      </c>
      <c r="C162" s="186">
        <v>590</v>
      </c>
      <c r="D162" s="188"/>
      <c r="E162" s="186">
        <v>170</v>
      </c>
      <c r="F162" s="188">
        <f t="shared" si="10"/>
        <v>760</v>
      </c>
      <c r="G162" s="241">
        <f t="shared" si="11"/>
        <v>152</v>
      </c>
      <c r="H162" s="242">
        <f t="shared" si="12"/>
        <v>1824</v>
      </c>
      <c r="I162" s="243">
        <f t="shared" si="13"/>
        <v>2263.4015999999997</v>
      </c>
    </row>
    <row r="163" spans="1:9" ht="15" customHeight="1" x14ac:dyDescent="0.25">
      <c r="A163" s="248" t="s">
        <v>229</v>
      </c>
      <c r="B163" s="276">
        <v>0.5</v>
      </c>
      <c r="C163" s="42">
        <v>668</v>
      </c>
      <c r="D163" s="38"/>
      <c r="E163" s="42"/>
      <c r="F163" s="188">
        <f t="shared" si="10"/>
        <v>668</v>
      </c>
      <c r="G163" s="241">
        <f t="shared" si="11"/>
        <v>133.6</v>
      </c>
      <c r="H163" s="242">
        <f t="shared" si="12"/>
        <v>801.59999999999991</v>
      </c>
      <c r="I163" s="243">
        <f t="shared" si="13"/>
        <v>994.70543999999984</v>
      </c>
    </row>
    <row r="164" spans="1:9" ht="15" customHeight="1" x14ac:dyDescent="0.25">
      <c r="A164" s="248" t="s">
        <v>229</v>
      </c>
      <c r="B164" s="276">
        <v>1</v>
      </c>
      <c r="C164" s="42">
        <v>660</v>
      </c>
      <c r="D164" s="38"/>
      <c r="E164" s="42"/>
      <c r="F164" s="188">
        <f t="shared" ref="F164:F175" si="14">C164+D164+E164</f>
        <v>660</v>
      </c>
      <c r="G164" s="241">
        <f t="shared" ref="G164:G175" si="15">F164*0.2</f>
        <v>132</v>
      </c>
      <c r="H164" s="242">
        <f t="shared" ref="H164:H175" si="16">G164*12*B164</f>
        <v>1584</v>
      </c>
      <c r="I164" s="243">
        <f t="shared" ref="I164:I175" si="17">H164*1.2409</f>
        <v>1965.5855999999999</v>
      </c>
    </row>
    <row r="165" spans="1:9" ht="15" customHeight="1" x14ac:dyDescent="0.25">
      <c r="A165" s="248" t="s">
        <v>229</v>
      </c>
      <c r="B165" s="276">
        <v>1</v>
      </c>
      <c r="C165" s="42">
        <v>633</v>
      </c>
      <c r="D165" s="38"/>
      <c r="E165" s="42">
        <v>253.2</v>
      </c>
      <c r="F165" s="188">
        <f t="shared" si="14"/>
        <v>886.2</v>
      </c>
      <c r="G165" s="241">
        <f t="shared" si="15"/>
        <v>177.24</v>
      </c>
      <c r="H165" s="242">
        <f t="shared" si="16"/>
        <v>2126.88</v>
      </c>
      <c r="I165" s="243">
        <f t="shared" si="17"/>
        <v>2639.2453919999998</v>
      </c>
    </row>
    <row r="166" spans="1:9" ht="15" customHeight="1" x14ac:dyDescent="0.25">
      <c r="A166" s="248" t="s">
        <v>229</v>
      </c>
      <c r="B166" s="276">
        <v>2</v>
      </c>
      <c r="C166" s="42">
        <v>621</v>
      </c>
      <c r="D166" s="38"/>
      <c r="E166" s="42"/>
      <c r="F166" s="188">
        <f t="shared" si="14"/>
        <v>621</v>
      </c>
      <c r="G166" s="241">
        <f t="shared" si="15"/>
        <v>124.2</v>
      </c>
      <c r="H166" s="242">
        <f t="shared" si="16"/>
        <v>2980.8</v>
      </c>
      <c r="I166" s="243">
        <f t="shared" si="17"/>
        <v>3698.8747199999998</v>
      </c>
    </row>
    <row r="167" spans="1:9" ht="15" customHeight="1" x14ac:dyDescent="0.25">
      <c r="A167" s="248" t="s">
        <v>229</v>
      </c>
      <c r="B167" s="276">
        <v>1</v>
      </c>
      <c r="C167" s="42">
        <v>607</v>
      </c>
      <c r="D167" s="38"/>
      <c r="E167" s="42">
        <v>242.8</v>
      </c>
      <c r="F167" s="188">
        <f t="shared" si="14"/>
        <v>849.8</v>
      </c>
      <c r="G167" s="241">
        <f t="shared" si="15"/>
        <v>169.96</v>
      </c>
      <c r="H167" s="242">
        <f t="shared" si="16"/>
        <v>2039.52</v>
      </c>
      <c r="I167" s="243">
        <f t="shared" si="17"/>
        <v>2530.8403679999997</v>
      </c>
    </row>
    <row r="168" spans="1:9" ht="15" customHeight="1" x14ac:dyDescent="0.25">
      <c r="A168" s="248" t="s">
        <v>229</v>
      </c>
      <c r="B168" s="276">
        <v>1</v>
      </c>
      <c r="C168" s="42">
        <v>595</v>
      </c>
      <c r="D168" s="38"/>
      <c r="E168" s="42">
        <v>59.5</v>
      </c>
      <c r="F168" s="188">
        <f t="shared" si="14"/>
        <v>654.5</v>
      </c>
      <c r="G168" s="241">
        <f t="shared" si="15"/>
        <v>130.9</v>
      </c>
      <c r="H168" s="242">
        <f t="shared" si="16"/>
        <v>1570.8000000000002</v>
      </c>
      <c r="I168" s="243">
        <f t="shared" si="17"/>
        <v>1949.2057200000002</v>
      </c>
    </row>
    <row r="169" spans="1:9" ht="15" customHeight="1" x14ac:dyDescent="0.25">
      <c r="A169" s="248" t="s">
        <v>229</v>
      </c>
      <c r="B169" s="276">
        <v>1</v>
      </c>
      <c r="C169" s="42">
        <v>558</v>
      </c>
      <c r="D169" s="38"/>
      <c r="E169" s="42"/>
      <c r="F169" s="188">
        <f t="shared" si="14"/>
        <v>558</v>
      </c>
      <c r="G169" s="241">
        <f t="shared" si="15"/>
        <v>111.60000000000001</v>
      </c>
      <c r="H169" s="242">
        <f t="shared" si="16"/>
        <v>1339.2</v>
      </c>
      <c r="I169" s="243">
        <f t="shared" si="17"/>
        <v>1661.8132799999998</v>
      </c>
    </row>
    <row r="170" spans="1:9" ht="15" customHeight="1" x14ac:dyDescent="0.25">
      <c r="A170" s="248" t="s">
        <v>229</v>
      </c>
      <c r="B170" s="276">
        <v>1.75</v>
      </c>
      <c r="C170" s="42">
        <v>549</v>
      </c>
      <c r="D170" s="38"/>
      <c r="E170" s="42"/>
      <c r="F170" s="188">
        <f t="shared" si="14"/>
        <v>549</v>
      </c>
      <c r="G170" s="241">
        <f t="shared" si="15"/>
        <v>109.80000000000001</v>
      </c>
      <c r="H170" s="242">
        <f t="shared" si="16"/>
        <v>2305.8000000000002</v>
      </c>
      <c r="I170" s="243">
        <f t="shared" si="17"/>
        <v>2861.2672200000002</v>
      </c>
    </row>
    <row r="171" spans="1:9" ht="15" customHeight="1" x14ac:dyDescent="0.25">
      <c r="A171" s="248" t="s">
        <v>229</v>
      </c>
      <c r="B171" s="276">
        <v>1</v>
      </c>
      <c r="C171" s="42">
        <v>524</v>
      </c>
      <c r="D171" s="38">
        <v>20.96</v>
      </c>
      <c r="E171" s="42">
        <v>52.4</v>
      </c>
      <c r="F171" s="188">
        <f t="shared" si="14"/>
        <v>597.36</v>
      </c>
      <c r="G171" s="241">
        <f t="shared" si="15"/>
        <v>119.47200000000001</v>
      </c>
      <c r="H171" s="242">
        <f t="shared" si="16"/>
        <v>1433.6640000000002</v>
      </c>
      <c r="I171" s="243">
        <f t="shared" si="17"/>
        <v>1779.0336576000002</v>
      </c>
    </row>
    <row r="172" spans="1:9" x14ac:dyDescent="0.25">
      <c r="A172" s="20" t="s">
        <v>71</v>
      </c>
      <c r="B172" s="276">
        <v>1</v>
      </c>
      <c r="C172" s="42">
        <v>792</v>
      </c>
      <c r="D172" s="38">
        <v>15.84</v>
      </c>
      <c r="E172" s="42"/>
      <c r="F172" s="188">
        <f t="shared" si="14"/>
        <v>807.84</v>
      </c>
      <c r="G172" s="241">
        <f t="shared" si="15"/>
        <v>161.56800000000001</v>
      </c>
      <c r="H172" s="242">
        <f t="shared" si="16"/>
        <v>1938.8160000000003</v>
      </c>
      <c r="I172" s="243">
        <f t="shared" si="17"/>
        <v>2405.8767744000002</v>
      </c>
    </row>
    <row r="173" spans="1:9" x14ac:dyDescent="0.25">
      <c r="A173" s="20" t="s">
        <v>71</v>
      </c>
      <c r="B173" s="276">
        <v>0.7</v>
      </c>
      <c r="C173" s="42">
        <v>696.9</v>
      </c>
      <c r="D173" s="38">
        <v>69.69</v>
      </c>
      <c r="E173" s="42">
        <v>104.54</v>
      </c>
      <c r="F173" s="188">
        <f t="shared" si="14"/>
        <v>871.12999999999988</v>
      </c>
      <c r="G173" s="241">
        <f t="shared" si="15"/>
        <v>174.226</v>
      </c>
      <c r="H173" s="242">
        <f t="shared" si="16"/>
        <v>1463.4983999999999</v>
      </c>
      <c r="I173" s="243">
        <f t="shared" si="17"/>
        <v>1816.0551645599999</v>
      </c>
    </row>
    <row r="174" spans="1:9" x14ac:dyDescent="0.25">
      <c r="A174" s="20" t="s">
        <v>71</v>
      </c>
      <c r="B174" s="276">
        <v>0.3</v>
      </c>
      <c r="C174" s="42">
        <v>564</v>
      </c>
      <c r="D174" s="38"/>
      <c r="E174" s="42">
        <v>56.4</v>
      </c>
      <c r="F174" s="188">
        <f t="shared" si="14"/>
        <v>620.4</v>
      </c>
      <c r="G174" s="241">
        <f t="shared" si="15"/>
        <v>124.08</v>
      </c>
      <c r="H174" s="242">
        <f t="shared" si="16"/>
        <v>446.68799999999999</v>
      </c>
      <c r="I174" s="243">
        <f t="shared" si="17"/>
        <v>554.29513919999988</v>
      </c>
    </row>
    <row r="175" spans="1:9" x14ac:dyDescent="0.25">
      <c r="A175" s="20" t="s">
        <v>236</v>
      </c>
      <c r="B175" s="276">
        <v>1.5</v>
      </c>
      <c r="C175" s="42">
        <v>642</v>
      </c>
      <c r="D175" s="38"/>
      <c r="E175" s="42"/>
      <c r="F175" s="38">
        <f t="shared" si="14"/>
        <v>642</v>
      </c>
      <c r="G175" s="241">
        <f t="shared" si="15"/>
        <v>128.4</v>
      </c>
      <c r="H175" s="242">
        <f t="shared" si="16"/>
        <v>2311.2000000000003</v>
      </c>
      <c r="I175" s="243">
        <f t="shared" si="17"/>
        <v>2867.9680800000001</v>
      </c>
    </row>
    <row r="176" spans="1:9" ht="27.75" customHeight="1" x14ac:dyDescent="0.25">
      <c r="A176" s="192" t="s">
        <v>11</v>
      </c>
      <c r="B176" s="252">
        <f>B177</f>
        <v>2</v>
      </c>
      <c r="C176" s="34"/>
      <c r="D176" s="34"/>
      <c r="E176" s="34"/>
      <c r="F176" s="201"/>
      <c r="G176" s="251">
        <f t="shared" ref="G176:I176" si="18">G177</f>
        <v>102.258</v>
      </c>
      <c r="H176" s="252">
        <f t="shared" si="18"/>
        <v>2454.192</v>
      </c>
      <c r="I176" s="253">
        <f t="shared" si="18"/>
        <v>3045.4068527999998</v>
      </c>
    </row>
    <row r="177" spans="1:9" x14ac:dyDescent="0.25">
      <c r="A177" s="20" t="s">
        <v>46</v>
      </c>
      <c r="B177" s="276">
        <v>2</v>
      </c>
      <c r="C177" s="42">
        <v>437</v>
      </c>
      <c r="D177" s="38">
        <v>30.59</v>
      </c>
      <c r="E177" s="42">
        <v>43.7</v>
      </c>
      <c r="F177" s="202">
        <f>C177+D177+E177</f>
        <v>511.28999999999996</v>
      </c>
      <c r="G177" s="241">
        <f>F177*0.2</f>
        <v>102.258</v>
      </c>
      <c r="H177" s="242">
        <f>G177*12*B177</f>
        <v>2454.192</v>
      </c>
      <c r="I177" s="243">
        <f>H177*1.2409</f>
        <v>3045.4068527999998</v>
      </c>
    </row>
    <row r="178" spans="1:9" s="185" customFormat="1" ht="15.75" thickBot="1" x14ac:dyDescent="0.3">
      <c r="A178" s="200" t="s">
        <v>215</v>
      </c>
      <c r="B178" s="250">
        <f>B176+B99+B8</f>
        <v>164.48499999999999</v>
      </c>
      <c r="C178" s="186"/>
      <c r="D178" s="188"/>
      <c r="E178" s="186"/>
      <c r="F178" s="203"/>
      <c r="G178" s="244">
        <f>G176+G99+G8</f>
        <v>26424.815999999992</v>
      </c>
      <c r="H178" s="245">
        <f t="shared" ref="H178" si="19">H176+H99+H8</f>
        <v>301760.66760000004</v>
      </c>
      <c r="I178" s="246">
        <f>I176+I99+I8</f>
        <v>374454.81242483994</v>
      </c>
    </row>
    <row r="179" spans="1:9" s="27" customFormat="1" ht="12.75" hidden="1" x14ac:dyDescent="0.2">
      <c r="A179" s="27" t="s">
        <v>237</v>
      </c>
      <c r="D179" s="58"/>
      <c r="F179" s="191"/>
    </row>
    <row r="180" spans="1:9" s="27" customFormat="1" ht="12.75" hidden="1" x14ac:dyDescent="0.2">
      <c r="A180" s="27" t="s">
        <v>238</v>
      </c>
      <c r="D180" s="58"/>
      <c r="F180" s="191"/>
    </row>
    <row r="181" spans="1:9" ht="6" customHeight="1" x14ac:dyDescent="0.25"/>
  </sheetData>
  <mergeCells count="16">
    <mergeCell ref="A7:I7"/>
    <mergeCell ref="A6:I6"/>
    <mergeCell ref="E1:F1"/>
    <mergeCell ref="A3:F3"/>
    <mergeCell ref="A4:A5"/>
    <mergeCell ref="B4:B5"/>
    <mergeCell ref="C4:C5"/>
    <mergeCell ref="D4:D5"/>
    <mergeCell ref="E4:E5"/>
    <mergeCell ref="F4:F5"/>
    <mergeCell ref="A2:I2"/>
    <mergeCell ref="G3:I3"/>
    <mergeCell ref="G4:G5"/>
    <mergeCell ref="H4:H5"/>
    <mergeCell ref="I4:I5"/>
    <mergeCell ref="H1:I1"/>
  </mergeCells>
  <pageMargins left="0.7" right="0.7" top="0.75" bottom="0.75" header="0.3" footer="0.3"/>
  <pageSetup paperSize="9" scale="7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5E00-136E-4B00-A95F-701AE841931D}">
  <sheetPr>
    <tabColor theme="4" tint="0.79998168889431442"/>
  </sheetPr>
  <dimension ref="A1:K545"/>
  <sheetViews>
    <sheetView view="pageBreakPreview" zoomScale="60" zoomScaleNormal="80" workbookViewId="0">
      <pane ySplit="5" topLeftCell="A111" activePane="bottomLeft" state="frozen"/>
      <selection activeCell="Z28" sqref="Z28"/>
      <selection pane="bottomLeft" activeCell="P7" sqref="P7"/>
    </sheetView>
  </sheetViews>
  <sheetFormatPr defaultRowHeight="15" x14ac:dyDescent="0.25"/>
  <cols>
    <col min="1" max="1" width="31.5703125" style="180" customWidth="1"/>
    <col min="2" max="2" width="11.28515625" style="180" customWidth="1"/>
    <col min="3" max="3" width="11.5703125" style="180" customWidth="1"/>
    <col min="4" max="4" width="10.28515625" style="180" customWidth="1"/>
    <col min="5" max="5" width="11.85546875" style="190" customWidth="1"/>
    <col min="6" max="6" width="10" style="180" customWidth="1"/>
    <col min="7" max="8" width="13.42578125" style="180" bestFit="1" customWidth="1"/>
    <col min="9" max="16384" width="9.140625" style="180"/>
  </cols>
  <sheetData>
    <row r="1" spans="1:11" ht="21" customHeight="1" x14ac:dyDescent="0.3">
      <c r="A1" s="185"/>
      <c r="B1" s="179"/>
      <c r="C1" s="179"/>
      <c r="D1" s="868"/>
      <c r="E1" s="868"/>
      <c r="G1" s="817" t="s">
        <v>628</v>
      </c>
      <c r="H1" s="817"/>
      <c r="I1" s="185"/>
      <c r="J1" s="185"/>
      <c r="K1" s="185"/>
    </row>
    <row r="2" spans="1:11" s="181" customFormat="1" ht="53.25" customHeight="1" thickBot="1" x14ac:dyDescent="0.3">
      <c r="A2" s="924" t="s">
        <v>245</v>
      </c>
      <c r="B2" s="924"/>
      <c r="C2" s="924"/>
      <c r="D2" s="924"/>
      <c r="E2" s="924"/>
      <c r="F2" s="925"/>
      <c r="G2" s="925"/>
      <c r="H2" s="925"/>
    </row>
    <row r="3" spans="1:11" s="182" customFormat="1" ht="16.5" customHeight="1" x14ac:dyDescent="0.25">
      <c r="A3" s="919" t="s">
        <v>8</v>
      </c>
      <c r="B3" s="919"/>
      <c r="C3" s="919"/>
      <c r="D3" s="919"/>
      <c r="E3" s="920"/>
      <c r="F3" s="926" t="s">
        <v>241</v>
      </c>
      <c r="G3" s="927"/>
      <c r="H3" s="928"/>
    </row>
    <row r="4" spans="1:11" s="183" customFormat="1" ht="36.75" customHeight="1" x14ac:dyDescent="0.25">
      <c r="A4" s="921" t="s">
        <v>218</v>
      </c>
      <c r="B4" s="921" t="s">
        <v>219</v>
      </c>
      <c r="C4" s="921" t="s">
        <v>220</v>
      </c>
      <c r="D4" s="921" t="s">
        <v>222</v>
      </c>
      <c r="E4" s="923" t="s">
        <v>223</v>
      </c>
      <c r="F4" s="929" t="s">
        <v>247</v>
      </c>
      <c r="G4" s="921" t="s">
        <v>239</v>
      </c>
      <c r="H4" s="930" t="s">
        <v>240</v>
      </c>
    </row>
    <row r="5" spans="1:11" s="183" customFormat="1" ht="36" customHeight="1" x14ac:dyDescent="0.25">
      <c r="A5" s="921"/>
      <c r="B5" s="921"/>
      <c r="C5" s="921"/>
      <c r="D5" s="921"/>
      <c r="E5" s="923"/>
      <c r="F5" s="929"/>
      <c r="G5" s="921"/>
      <c r="H5" s="930"/>
    </row>
    <row r="6" spans="1:11" s="184" customFormat="1" ht="12.75" x14ac:dyDescent="0.25">
      <c r="A6" s="916" t="s">
        <v>253</v>
      </c>
      <c r="B6" s="917"/>
      <c r="C6" s="917"/>
      <c r="D6" s="917"/>
      <c r="E6" s="917"/>
      <c r="F6" s="917"/>
      <c r="G6" s="917"/>
      <c r="H6" s="918"/>
    </row>
    <row r="7" spans="1:11" ht="31.5" customHeight="1" x14ac:dyDescent="0.25">
      <c r="A7" s="931" t="s">
        <v>51</v>
      </c>
      <c r="B7" s="932"/>
      <c r="C7" s="932"/>
      <c r="D7" s="932"/>
      <c r="E7" s="932"/>
      <c r="F7" s="932"/>
      <c r="G7" s="932"/>
      <c r="H7" s="933"/>
      <c r="I7" s="298"/>
    </row>
    <row r="8" spans="1:11" x14ac:dyDescent="0.25">
      <c r="A8" s="206" t="s">
        <v>20</v>
      </c>
      <c r="B8" s="271"/>
      <c r="C8" s="271"/>
      <c r="D8" s="271"/>
      <c r="E8" s="287"/>
      <c r="F8" s="270"/>
      <c r="G8" s="271"/>
      <c r="H8" s="291"/>
    </row>
    <row r="9" spans="1:11" x14ac:dyDescent="0.25">
      <c r="A9" s="275" t="s">
        <v>52</v>
      </c>
      <c r="B9" s="272">
        <v>0.5</v>
      </c>
      <c r="C9" s="272">
        <v>820</v>
      </c>
      <c r="D9" s="272">
        <v>20.5</v>
      </c>
      <c r="E9" s="288">
        <f>C9+D9</f>
        <v>840.5</v>
      </c>
      <c r="F9" s="292">
        <f>E9*0.2</f>
        <v>168.10000000000002</v>
      </c>
      <c r="G9" s="282">
        <f>B9*12*F9</f>
        <v>1008.6000000000001</v>
      </c>
      <c r="H9" s="293">
        <f>G9*1.2409</f>
        <v>1251.5717400000001</v>
      </c>
      <c r="I9" s="283"/>
      <c r="J9" s="283"/>
    </row>
    <row r="10" spans="1:11" ht="25.5" x14ac:dyDescent="0.25">
      <c r="A10" s="207" t="s">
        <v>10</v>
      </c>
      <c r="B10" s="273"/>
      <c r="C10" s="273"/>
      <c r="D10" s="273"/>
      <c r="E10" s="289"/>
      <c r="F10" s="294"/>
      <c r="G10" s="284"/>
      <c r="H10" s="295"/>
      <c r="I10" s="283"/>
      <c r="J10" s="283"/>
    </row>
    <row r="11" spans="1:11" x14ac:dyDescent="0.25">
      <c r="A11" s="272" t="s">
        <v>32</v>
      </c>
      <c r="B11" s="274">
        <v>1</v>
      </c>
      <c r="C11" s="272">
        <v>600</v>
      </c>
      <c r="D11" s="272">
        <v>42</v>
      </c>
      <c r="E11" s="288">
        <f t="shared" ref="E11:E12" si="0">C11+D11</f>
        <v>642</v>
      </c>
      <c r="F11" s="292">
        <f t="shared" ref="F11:F12" si="1">E11*0.2</f>
        <v>128.4</v>
      </c>
      <c r="G11" s="282">
        <f t="shared" ref="G11:G12" si="2">B11*12*F11</f>
        <v>1540.8000000000002</v>
      </c>
      <c r="H11" s="293">
        <f t="shared" ref="H11:H12" si="3">G11*1.2409</f>
        <v>1911.9787200000001</v>
      </c>
      <c r="I11" s="283"/>
      <c r="J11" s="283"/>
    </row>
    <row r="12" spans="1:11" x14ac:dyDescent="0.25">
      <c r="A12" s="272" t="s">
        <v>53</v>
      </c>
      <c r="B12" s="274">
        <v>1</v>
      </c>
      <c r="C12" s="272">
        <v>540</v>
      </c>
      <c r="D12" s="272">
        <v>37.799999999999997</v>
      </c>
      <c r="E12" s="288">
        <f t="shared" si="0"/>
        <v>577.79999999999995</v>
      </c>
      <c r="F12" s="292">
        <f t="shared" si="1"/>
        <v>115.56</v>
      </c>
      <c r="G12" s="282">
        <f t="shared" si="2"/>
        <v>1386.72</v>
      </c>
      <c r="H12" s="293">
        <f t="shared" si="3"/>
        <v>1720.7808479999999</v>
      </c>
      <c r="I12" s="283"/>
      <c r="J12" s="283"/>
    </row>
    <row r="13" spans="1:11" x14ac:dyDescent="0.25">
      <c r="A13" s="279" t="s">
        <v>54</v>
      </c>
      <c r="B13" s="280">
        <f>B12+B11+B9</f>
        <v>2.5</v>
      </c>
      <c r="C13" s="281"/>
      <c r="D13" s="281"/>
      <c r="E13" s="290"/>
      <c r="F13" s="296">
        <f>F12+F11+F9</f>
        <v>412.06000000000006</v>
      </c>
      <c r="G13" s="285">
        <f>G12+G11+G9</f>
        <v>3936.1200000000008</v>
      </c>
      <c r="H13" s="297">
        <f>H12+H11+H9</f>
        <v>4884.3313079999998</v>
      </c>
      <c r="I13" s="283"/>
      <c r="J13" s="283"/>
    </row>
    <row r="14" spans="1:11" ht="31.5" customHeight="1" x14ac:dyDescent="0.25">
      <c r="A14" s="931" t="s">
        <v>55</v>
      </c>
      <c r="B14" s="932"/>
      <c r="C14" s="932"/>
      <c r="D14" s="932"/>
      <c r="E14" s="932"/>
      <c r="F14" s="932"/>
      <c r="G14" s="932"/>
      <c r="H14" s="933"/>
      <c r="I14" s="283"/>
      <c r="J14" s="283"/>
    </row>
    <row r="15" spans="1:11" x14ac:dyDescent="0.25">
      <c r="A15" s="206" t="s">
        <v>20</v>
      </c>
      <c r="B15" s="271"/>
      <c r="C15" s="271"/>
      <c r="D15" s="271"/>
      <c r="E15" s="287"/>
      <c r="F15" s="270"/>
      <c r="G15" s="271"/>
      <c r="H15" s="291"/>
      <c r="I15" s="283"/>
      <c r="J15" s="283"/>
    </row>
    <row r="16" spans="1:11" x14ac:dyDescent="0.25">
      <c r="A16" s="90" t="s">
        <v>56</v>
      </c>
      <c r="B16" s="272">
        <v>0.5</v>
      </c>
      <c r="C16" s="272">
        <v>1240</v>
      </c>
      <c r="D16" s="272">
        <v>348</v>
      </c>
      <c r="E16" s="288">
        <f>C16+D16</f>
        <v>1588</v>
      </c>
      <c r="F16" s="292">
        <f>E16*0.2</f>
        <v>317.60000000000002</v>
      </c>
      <c r="G16" s="282">
        <f>B16*12*F16</f>
        <v>1905.6000000000001</v>
      </c>
      <c r="H16" s="293">
        <f>G16*1.2409</f>
        <v>2364.65904</v>
      </c>
      <c r="I16" s="283"/>
      <c r="J16" s="283"/>
    </row>
    <row r="17" spans="1:10" ht="26.25" x14ac:dyDescent="0.25">
      <c r="A17" s="286" t="s">
        <v>10</v>
      </c>
      <c r="B17" s="271"/>
      <c r="C17" s="271"/>
      <c r="D17" s="271"/>
      <c r="E17" s="287"/>
      <c r="F17" s="270"/>
      <c r="G17" s="271"/>
      <c r="H17" s="291"/>
      <c r="I17" s="283"/>
      <c r="J17" s="283"/>
    </row>
    <row r="18" spans="1:10" x14ac:dyDescent="0.25">
      <c r="A18" s="90" t="s">
        <v>57</v>
      </c>
      <c r="B18" s="272">
        <v>2</v>
      </c>
      <c r="C18" s="272">
        <v>760</v>
      </c>
      <c r="D18" s="272">
        <v>164</v>
      </c>
      <c r="E18" s="288">
        <f t="shared" ref="E18:E19" si="4">C18+D18</f>
        <v>924</v>
      </c>
      <c r="F18" s="292">
        <f t="shared" ref="F18:F19" si="5">E18*0.2</f>
        <v>184.8</v>
      </c>
      <c r="G18" s="282">
        <f t="shared" ref="G18:G19" si="6">B18*12*F18</f>
        <v>4435.2000000000007</v>
      </c>
      <c r="H18" s="293">
        <f t="shared" ref="H18:H19" si="7">G18*1.2409</f>
        <v>5503.6396800000002</v>
      </c>
      <c r="I18" s="283"/>
      <c r="J18" s="283"/>
    </row>
    <row r="19" spans="1:10" x14ac:dyDescent="0.25">
      <c r="A19" s="90" t="s">
        <v>25</v>
      </c>
      <c r="B19" s="272">
        <v>1</v>
      </c>
      <c r="C19" s="272">
        <v>685</v>
      </c>
      <c r="D19" s="272">
        <v>153</v>
      </c>
      <c r="E19" s="288">
        <f t="shared" si="4"/>
        <v>838</v>
      </c>
      <c r="F19" s="292">
        <f t="shared" si="5"/>
        <v>167.60000000000002</v>
      </c>
      <c r="G19" s="282">
        <f t="shared" si="6"/>
        <v>2011.2000000000003</v>
      </c>
      <c r="H19" s="293">
        <f t="shared" si="7"/>
        <v>2495.6980800000001</v>
      </c>
      <c r="I19" s="283"/>
      <c r="J19" s="283"/>
    </row>
    <row r="20" spans="1:10" ht="26.25" x14ac:dyDescent="0.25">
      <c r="A20" s="286" t="s">
        <v>11</v>
      </c>
      <c r="B20" s="271"/>
      <c r="C20" s="271"/>
      <c r="D20" s="271"/>
      <c r="E20" s="287"/>
      <c r="F20" s="270"/>
      <c r="G20" s="271"/>
      <c r="H20" s="291"/>
      <c r="I20" s="283"/>
      <c r="J20" s="283"/>
    </row>
    <row r="21" spans="1:10" x14ac:dyDescent="0.25">
      <c r="A21" s="90" t="s">
        <v>46</v>
      </c>
      <c r="B21" s="272">
        <v>2</v>
      </c>
      <c r="C21" s="272">
        <v>535</v>
      </c>
      <c r="D21" s="272">
        <v>181</v>
      </c>
      <c r="E21" s="288">
        <f>C21+D21</f>
        <v>716</v>
      </c>
      <c r="F21" s="292">
        <f>E21*0.2</f>
        <v>143.20000000000002</v>
      </c>
      <c r="G21" s="282">
        <f>B21*12*F21</f>
        <v>3436.8</v>
      </c>
      <c r="H21" s="293">
        <f>G21*1.2409</f>
        <v>4264.7251200000001</v>
      </c>
      <c r="I21" s="283"/>
      <c r="J21" s="283"/>
    </row>
    <row r="22" spans="1:10" x14ac:dyDescent="0.25">
      <c r="A22" s="279" t="s">
        <v>54</v>
      </c>
      <c r="B22" s="280">
        <f>B21+B19+B18+B16</f>
        <v>5.5</v>
      </c>
      <c r="C22" s="281"/>
      <c r="D22" s="281"/>
      <c r="E22" s="290"/>
      <c r="F22" s="296">
        <f>F21+F19+F18+F16</f>
        <v>813.2</v>
      </c>
      <c r="G22" s="285">
        <f>G21+G19+G18+G16</f>
        <v>11788.800000000001</v>
      </c>
      <c r="H22" s="297">
        <f>H21+H19+H18+H16</f>
        <v>14628.721920000002</v>
      </c>
      <c r="I22" s="283"/>
      <c r="J22" s="283"/>
    </row>
    <row r="23" spans="1:10" ht="42" customHeight="1" x14ac:dyDescent="0.25">
      <c r="A23" s="931" t="s">
        <v>58</v>
      </c>
      <c r="B23" s="932"/>
      <c r="C23" s="932"/>
      <c r="D23" s="932"/>
      <c r="E23" s="932"/>
      <c r="F23" s="932"/>
      <c r="G23" s="932"/>
      <c r="H23" s="933"/>
      <c r="I23" s="283"/>
      <c r="J23" s="283"/>
    </row>
    <row r="24" spans="1:10" x14ac:dyDescent="0.25">
      <c r="A24" s="286" t="s">
        <v>20</v>
      </c>
      <c r="B24" s="271"/>
      <c r="C24" s="271"/>
      <c r="D24" s="271"/>
      <c r="E24" s="287"/>
      <c r="F24" s="270"/>
      <c r="G24" s="271"/>
      <c r="H24" s="291"/>
      <c r="I24" s="283"/>
      <c r="J24" s="283"/>
    </row>
    <row r="25" spans="1:10" x14ac:dyDescent="0.25">
      <c r="A25" s="90" t="s">
        <v>56</v>
      </c>
      <c r="B25" s="272">
        <v>0.625</v>
      </c>
      <c r="C25" s="272">
        <v>1150</v>
      </c>
      <c r="D25" s="272">
        <v>108.8</v>
      </c>
      <c r="E25" s="288">
        <f>C25+D25</f>
        <v>1258.8</v>
      </c>
      <c r="F25" s="292">
        <f>E25*0.2</f>
        <v>251.76</v>
      </c>
      <c r="G25" s="282">
        <f>B25*12*F25</f>
        <v>1888.1999999999998</v>
      </c>
      <c r="H25" s="293">
        <f>G25*1.2409</f>
        <v>2343.0673799999995</v>
      </c>
      <c r="I25" s="283"/>
      <c r="J25" s="283"/>
    </row>
    <row r="26" spans="1:10" ht="26.25" x14ac:dyDescent="0.25">
      <c r="A26" s="286" t="s">
        <v>10</v>
      </c>
      <c r="B26" s="271"/>
      <c r="C26" s="271"/>
      <c r="D26" s="271"/>
      <c r="E26" s="287"/>
      <c r="F26" s="270"/>
      <c r="G26" s="271"/>
      <c r="H26" s="291"/>
      <c r="I26" s="283"/>
      <c r="J26" s="283"/>
    </row>
    <row r="27" spans="1:10" x14ac:dyDescent="0.25">
      <c r="A27" s="90" t="s">
        <v>59</v>
      </c>
      <c r="B27" s="272">
        <v>1</v>
      </c>
      <c r="C27" s="272">
        <v>780</v>
      </c>
      <c r="D27" s="272">
        <v>92.32</v>
      </c>
      <c r="E27" s="288">
        <f>C27+D27</f>
        <v>872.31999999999994</v>
      </c>
      <c r="F27" s="292">
        <f>E27*0.2</f>
        <v>174.464</v>
      </c>
      <c r="G27" s="282">
        <f t="shared" ref="G27:G30" si="8">B27*12*F27</f>
        <v>2093.5680000000002</v>
      </c>
      <c r="H27" s="293">
        <f t="shared" ref="H27:H30" si="9">G27*1.2409</f>
        <v>2597.9085312000002</v>
      </c>
      <c r="I27" s="283"/>
      <c r="J27" s="283"/>
    </row>
    <row r="28" spans="1:10" x14ac:dyDescent="0.25">
      <c r="A28" s="90" t="s">
        <v>57</v>
      </c>
      <c r="B28" s="272">
        <v>1.5</v>
      </c>
      <c r="C28" s="272">
        <v>674</v>
      </c>
      <c r="D28" s="272">
        <v>68.709999999999994</v>
      </c>
      <c r="E28" s="288">
        <f t="shared" ref="E28:E29" si="10">C28+D28</f>
        <v>742.71</v>
      </c>
      <c r="F28" s="292">
        <f t="shared" ref="F28:F29" si="11">E28*0.2</f>
        <v>148.542</v>
      </c>
      <c r="G28" s="282">
        <f t="shared" si="8"/>
        <v>2673.7559999999999</v>
      </c>
      <c r="H28" s="293">
        <f t="shared" si="9"/>
        <v>3317.8638203999994</v>
      </c>
      <c r="I28" s="283"/>
      <c r="J28" s="283"/>
    </row>
    <row r="29" spans="1:10" x14ac:dyDescent="0.25">
      <c r="A29" s="90" t="s">
        <v>57</v>
      </c>
      <c r="B29" s="272">
        <v>1</v>
      </c>
      <c r="C29" s="272">
        <v>662</v>
      </c>
      <c r="D29" s="272">
        <v>63.2</v>
      </c>
      <c r="E29" s="288">
        <f t="shared" si="10"/>
        <v>725.2</v>
      </c>
      <c r="F29" s="292">
        <f t="shared" si="11"/>
        <v>145.04000000000002</v>
      </c>
      <c r="G29" s="282">
        <f t="shared" si="8"/>
        <v>1740.4800000000002</v>
      </c>
      <c r="H29" s="293">
        <f t="shared" si="9"/>
        <v>2159.7616320000002</v>
      </c>
      <c r="I29" s="283"/>
      <c r="J29" s="283"/>
    </row>
    <row r="30" spans="1:10" x14ac:dyDescent="0.25">
      <c r="A30" s="299" t="s">
        <v>25</v>
      </c>
      <c r="B30" s="272">
        <v>2.5</v>
      </c>
      <c r="C30" s="272">
        <v>638</v>
      </c>
      <c r="D30" s="272">
        <v>59.5</v>
      </c>
      <c r="E30" s="288">
        <f>C30+D30</f>
        <v>697.5</v>
      </c>
      <c r="F30" s="292">
        <f>E30*0.2</f>
        <v>139.5</v>
      </c>
      <c r="G30" s="282">
        <f t="shared" si="8"/>
        <v>4185</v>
      </c>
      <c r="H30" s="293">
        <f t="shared" si="9"/>
        <v>5193.1664999999994</v>
      </c>
      <c r="I30" s="283"/>
      <c r="J30" s="283"/>
    </row>
    <row r="31" spans="1:10" x14ac:dyDescent="0.25">
      <c r="A31" s="279" t="s">
        <v>54</v>
      </c>
      <c r="B31" s="300">
        <f>B25+B27+B28+B29+B30</f>
        <v>6.625</v>
      </c>
      <c r="C31" s="281"/>
      <c r="D31" s="281"/>
      <c r="E31" s="290"/>
      <c r="F31" s="296">
        <f>F25+F27+F28+F29+F30</f>
        <v>859.30600000000004</v>
      </c>
      <c r="G31" s="285">
        <f t="shared" ref="G31" si="12">G25+G27+G28+G29+G30</f>
        <v>12581.003999999999</v>
      </c>
      <c r="H31" s="297">
        <f>H25+H27+H28+H29+H30</f>
        <v>15611.767863599998</v>
      </c>
      <c r="I31" s="283"/>
      <c r="J31" s="283"/>
    </row>
    <row r="32" spans="1:10" ht="42" customHeight="1" x14ac:dyDescent="0.25">
      <c r="A32" s="931" t="s">
        <v>60</v>
      </c>
      <c r="B32" s="932"/>
      <c r="C32" s="932"/>
      <c r="D32" s="932"/>
      <c r="E32" s="932"/>
      <c r="F32" s="932"/>
      <c r="G32" s="932"/>
      <c r="H32" s="933"/>
      <c r="I32" s="283"/>
      <c r="J32" s="283"/>
    </row>
    <row r="33" spans="1:10" x14ac:dyDescent="0.25">
      <c r="A33" s="286" t="s">
        <v>20</v>
      </c>
      <c r="B33" s="271"/>
      <c r="C33" s="271"/>
      <c r="D33" s="271"/>
      <c r="E33" s="287"/>
      <c r="F33" s="270"/>
      <c r="G33" s="271"/>
      <c r="H33" s="291"/>
      <c r="I33" s="283"/>
      <c r="J33" s="283"/>
    </row>
    <row r="34" spans="1:10" x14ac:dyDescent="0.25">
      <c r="A34" s="90" t="s">
        <v>61</v>
      </c>
      <c r="B34" s="272">
        <v>1</v>
      </c>
      <c r="C34" s="272">
        <v>1100</v>
      </c>
      <c r="D34" s="272">
        <v>450</v>
      </c>
      <c r="E34" s="288">
        <f t="shared" ref="E34:E38" si="13">C34+D34</f>
        <v>1550</v>
      </c>
      <c r="F34" s="292">
        <f t="shared" ref="F34:F38" si="14">E34*0.2</f>
        <v>310</v>
      </c>
      <c r="G34" s="282">
        <f t="shared" ref="G34:G38" si="15">B34*12*F34</f>
        <v>3720</v>
      </c>
      <c r="H34" s="293">
        <f t="shared" ref="H34:H38" si="16">G34*1.2409</f>
        <v>4616.1479999999992</v>
      </c>
      <c r="I34" s="283"/>
      <c r="J34" s="283"/>
    </row>
    <row r="35" spans="1:10" x14ac:dyDescent="0.25">
      <c r="A35" s="90" t="s">
        <v>62</v>
      </c>
      <c r="B35" s="272">
        <v>0.25</v>
      </c>
      <c r="C35" s="272">
        <v>950</v>
      </c>
      <c r="D35" s="272">
        <v>0</v>
      </c>
      <c r="E35" s="288">
        <f t="shared" si="13"/>
        <v>950</v>
      </c>
      <c r="F35" s="292">
        <f t="shared" si="14"/>
        <v>190</v>
      </c>
      <c r="G35" s="282">
        <f t="shared" si="15"/>
        <v>570</v>
      </c>
      <c r="H35" s="293">
        <f t="shared" si="16"/>
        <v>707.31299999999999</v>
      </c>
      <c r="I35" s="283"/>
      <c r="J35" s="283"/>
    </row>
    <row r="36" spans="1:10" x14ac:dyDescent="0.25">
      <c r="A36" s="90" t="s">
        <v>56</v>
      </c>
      <c r="B36" s="272">
        <v>0.25</v>
      </c>
      <c r="C36" s="272">
        <v>1190</v>
      </c>
      <c r="D36" s="272">
        <v>0</v>
      </c>
      <c r="E36" s="288">
        <f t="shared" si="13"/>
        <v>1190</v>
      </c>
      <c r="F36" s="292">
        <f t="shared" si="14"/>
        <v>238</v>
      </c>
      <c r="G36" s="282">
        <f t="shared" si="15"/>
        <v>714</v>
      </c>
      <c r="H36" s="293">
        <f t="shared" si="16"/>
        <v>886.00259999999992</v>
      </c>
      <c r="I36" s="283"/>
      <c r="J36" s="283"/>
    </row>
    <row r="37" spans="1:10" x14ac:dyDescent="0.25">
      <c r="A37" s="90" t="s">
        <v>64</v>
      </c>
      <c r="B37" s="272">
        <v>0.5</v>
      </c>
      <c r="C37" s="272">
        <v>550</v>
      </c>
      <c r="D37" s="272">
        <v>0</v>
      </c>
      <c r="E37" s="288">
        <f t="shared" si="13"/>
        <v>550</v>
      </c>
      <c r="F37" s="292">
        <f t="shared" si="14"/>
        <v>110</v>
      </c>
      <c r="G37" s="282">
        <f t="shared" si="15"/>
        <v>660</v>
      </c>
      <c r="H37" s="293">
        <f t="shared" si="16"/>
        <v>818.99399999999991</v>
      </c>
      <c r="I37" s="283"/>
      <c r="J37" s="283"/>
    </row>
    <row r="38" spans="1:10" x14ac:dyDescent="0.25">
      <c r="A38" s="90" t="s">
        <v>65</v>
      </c>
      <c r="B38" s="272">
        <v>1</v>
      </c>
      <c r="C38" s="272">
        <v>1150</v>
      </c>
      <c r="D38" s="272">
        <v>0</v>
      </c>
      <c r="E38" s="288">
        <f t="shared" si="13"/>
        <v>1150</v>
      </c>
      <c r="F38" s="292">
        <f t="shared" si="14"/>
        <v>230</v>
      </c>
      <c r="G38" s="282">
        <f t="shared" si="15"/>
        <v>2760</v>
      </c>
      <c r="H38" s="293">
        <f t="shared" si="16"/>
        <v>3424.8839999999996</v>
      </c>
      <c r="I38" s="283"/>
      <c r="J38" s="283"/>
    </row>
    <row r="39" spans="1:10" ht="26.25" x14ac:dyDescent="0.25">
      <c r="A39" s="286" t="s">
        <v>10</v>
      </c>
      <c r="B39" s="271"/>
      <c r="C39" s="271"/>
      <c r="D39" s="271"/>
      <c r="E39" s="287"/>
      <c r="F39" s="270"/>
      <c r="G39" s="271"/>
      <c r="H39" s="291"/>
      <c r="I39" s="283"/>
      <c r="J39" s="283"/>
    </row>
    <row r="40" spans="1:10" x14ac:dyDescent="0.25">
      <c r="A40" s="90" t="s">
        <v>66</v>
      </c>
      <c r="B40" s="272">
        <v>0.5</v>
      </c>
      <c r="C40" s="272">
        <v>1052</v>
      </c>
      <c r="D40" s="272">
        <v>0</v>
      </c>
      <c r="E40" s="288">
        <f t="shared" ref="E40:E41" si="17">C40+D40</f>
        <v>1052</v>
      </c>
      <c r="F40" s="292">
        <f t="shared" ref="F40:F42" si="18">E40*0.2</f>
        <v>210.4</v>
      </c>
      <c r="G40" s="282">
        <f t="shared" ref="G40:G42" si="19">B40*12*F40</f>
        <v>1262.4000000000001</v>
      </c>
      <c r="H40" s="293">
        <f t="shared" ref="H40:H44" si="20">G40*1.2409</f>
        <v>1566.51216</v>
      </c>
      <c r="I40" s="283"/>
      <c r="J40" s="283"/>
    </row>
    <row r="41" spans="1:10" x14ac:dyDescent="0.25">
      <c r="A41" s="90" t="s">
        <v>68</v>
      </c>
      <c r="B41" s="272">
        <v>3.5</v>
      </c>
      <c r="C41" s="272">
        <v>750</v>
      </c>
      <c r="D41" s="272">
        <v>195</v>
      </c>
      <c r="E41" s="288">
        <f t="shared" si="17"/>
        <v>945</v>
      </c>
      <c r="F41" s="292">
        <f t="shared" si="18"/>
        <v>189</v>
      </c>
      <c r="G41" s="282">
        <f t="shared" si="19"/>
        <v>7938</v>
      </c>
      <c r="H41" s="293">
        <f t="shared" si="20"/>
        <v>9850.2641999999996</v>
      </c>
      <c r="I41" s="283"/>
      <c r="J41" s="283"/>
    </row>
    <row r="42" spans="1:10" x14ac:dyDescent="0.25">
      <c r="A42" s="90" t="s">
        <v>53</v>
      </c>
      <c r="B42" s="272">
        <v>1</v>
      </c>
      <c r="C42" s="272">
        <v>800</v>
      </c>
      <c r="D42" s="272">
        <v>207</v>
      </c>
      <c r="E42" s="288">
        <f>C42+D42</f>
        <v>1007</v>
      </c>
      <c r="F42" s="292">
        <f t="shared" si="18"/>
        <v>201.4</v>
      </c>
      <c r="G42" s="282">
        <f t="shared" si="19"/>
        <v>2416.8000000000002</v>
      </c>
      <c r="H42" s="293">
        <f t="shared" si="20"/>
        <v>2999.0071199999998</v>
      </c>
      <c r="I42" s="283"/>
      <c r="J42" s="283"/>
    </row>
    <row r="43" spans="1:10" ht="26.25" x14ac:dyDescent="0.25">
      <c r="A43" s="286" t="s">
        <v>11</v>
      </c>
      <c r="B43" s="271"/>
      <c r="C43" s="271"/>
      <c r="D43" s="271"/>
      <c r="E43" s="287"/>
      <c r="F43" s="270"/>
      <c r="G43" s="271"/>
      <c r="H43" s="291"/>
      <c r="I43" s="283"/>
      <c r="J43" s="283"/>
    </row>
    <row r="44" spans="1:10" x14ac:dyDescent="0.25">
      <c r="A44" s="90" t="s">
        <v>46</v>
      </c>
      <c r="B44" s="272">
        <v>5</v>
      </c>
      <c r="C44" s="272">
        <v>575</v>
      </c>
      <c r="D44" s="272">
        <v>149</v>
      </c>
      <c r="E44" s="288">
        <f>C44+D44</f>
        <v>724</v>
      </c>
      <c r="F44" s="292">
        <f>E44*0.2</f>
        <v>144.80000000000001</v>
      </c>
      <c r="G44" s="282">
        <f t="shared" ref="G44" si="21">B44*12*F44</f>
        <v>8688</v>
      </c>
      <c r="H44" s="293">
        <f t="shared" si="20"/>
        <v>10780.939199999999</v>
      </c>
      <c r="I44" s="283"/>
      <c r="J44" s="283"/>
    </row>
    <row r="45" spans="1:10" x14ac:dyDescent="0.25">
      <c r="A45" s="279" t="s">
        <v>54</v>
      </c>
      <c r="B45" s="280">
        <f>B44+B42+B41+B40+B38+B37+B36+B35+B34</f>
        <v>13</v>
      </c>
      <c r="C45" s="281"/>
      <c r="D45" s="281"/>
      <c r="E45" s="290"/>
      <c r="F45" s="296">
        <f t="shared" ref="F45:H45" si="22">F44+F42+F41+F40+F38+F37+F36+F35+F34</f>
        <v>1823.6</v>
      </c>
      <c r="G45" s="285">
        <f t="shared" si="22"/>
        <v>28729.200000000001</v>
      </c>
      <c r="H45" s="297">
        <f t="shared" si="22"/>
        <v>35650.064279999991</v>
      </c>
      <c r="I45" s="283"/>
      <c r="J45" s="283"/>
    </row>
    <row r="46" spans="1:10" ht="31.5" customHeight="1" x14ac:dyDescent="0.25">
      <c r="A46" s="931" t="s">
        <v>69</v>
      </c>
      <c r="B46" s="932"/>
      <c r="C46" s="932"/>
      <c r="D46" s="932"/>
      <c r="E46" s="932"/>
      <c r="F46" s="932"/>
      <c r="G46" s="932"/>
      <c r="H46" s="933"/>
      <c r="I46" s="283"/>
      <c r="J46" s="283"/>
    </row>
    <row r="47" spans="1:10" x14ac:dyDescent="0.25">
      <c r="A47" s="286" t="s">
        <v>20</v>
      </c>
      <c r="B47" s="271"/>
      <c r="C47" s="271"/>
      <c r="D47" s="271"/>
      <c r="E47" s="287"/>
      <c r="F47" s="270"/>
      <c r="G47" s="271"/>
      <c r="H47" s="291"/>
      <c r="I47" s="283"/>
      <c r="J47" s="283"/>
    </row>
    <row r="48" spans="1:10" x14ac:dyDescent="0.25">
      <c r="A48" s="90" t="s">
        <v>56</v>
      </c>
      <c r="B48" s="272">
        <v>2</v>
      </c>
      <c r="C48" s="272">
        <v>1170</v>
      </c>
      <c r="D48" s="272">
        <v>115</v>
      </c>
      <c r="E48" s="288">
        <f t="shared" ref="E48" si="23">C48+D48</f>
        <v>1285</v>
      </c>
      <c r="F48" s="292">
        <f t="shared" ref="F48" si="24">E48*0.2</f>
        <v>257</v>
      </c>
      <c r="G48" s="282">
        <f t="shared" ref="G48" si="25">B48*12*F48</f>
        <v>6168</v>
      </c>
      <c r="H48" s="293">
        <f t="shared" ref="H48" si="26">G48*1.2409</f>
        <v>7653.8711999999996</v>
      </c>
      <c r="I48" s="283"/>
      <c r="J48" s="283"/>
    </row>
    <row r="49" spans="1:10" ht="26.25" x14ac:dyDescent="0.25">
      <c r="A49" s="286" t="s">
        <v>10</v>
      </c>
      <c r="B49" s="271"/>
      <c r="C49" s="271"/>
      <c r="D49" s="271"/>
      <c r="E49" s="287"/>
      <c r="F49" s="270"/>
      <c r="G49" s="271"/>
      <c r="H49" s="291"/>
      <c r="I49" s="283"/>
      <c r="J49" s="283"/>
    </row>
    <row r="50" spans="1:10" x14ac:dyDescent="0.25">
      <c r="A50" s="90" t="s">
        <v>24</v>
      </c>
      <c r="B50" s="272">
        <v>1</v>
      </c>
      <c r="C50" s="272">
        <v>900</v>
      </c>
      <c r="D50" s="272">
        <v>99</v>
      </c>
      <c r="E50" s="288">
        <f t="shared" ref="E50:E51" si="27">C50+D50</f>
        <v>999</v>
      </c>
      <c r="F50" s="292">
        <f t="shared" ref="F50:F51" si="28">E50*0.2</f>
        <v>199.8</v>
      </c>
      <c r="G50" s="282">
        <f t="shared" ref="G50:G51" si="29">B50*12*F50</f>
        <v>2397.6000000000004</v>
      </c>
      <c r="H50" s="293">
        <f t="shared" ref="H50:H51" si="30">G50*1.2409</f>
        <v>2975.1818400000002</v>
      </c>
      <c r="I50" s="283"/>
      <c r="J50" s="283"/>
    </row>
    <row r="51" spans="1:10" x14ac:dyDescent="0.25">
      <c r="A51" s="90" t="s">
        <v>25</v>
      </c>
      <c r="B51" s="272">
        <v>13</v>
      </c>
      <c r="C51" s="272">
        <v>600</v>
      </c>
      <c r="D51" s="272">
        <v>225</v>
      </c>
      <c r="E51" s="288">
        <f t="shared" si="27"/>
        <v>825</v>
      </c>
      <c r="F51" s="292">
        <f t="shared" si="28"/>
        <v>165</v>
      </c>
      <c r="G51" s="282">
        <f t="shared" si="29"/>
        <v>25740</v>
      </c>
      <c r="H51" s="293">
        <f t="shared" si="30"/>
        <v>31940.765999999996</v>
      </c>
      <c r="I51" s="283"/>
      <c r="J51" s="283"/>
    </row>
    <row r="52" spans="1:10" x14ac:dyDescent="0.25">
      <c r="A52" s="279" t="s">
        <v>54</v>
      </c>
      <c r="B52" s="280">
        <f>B51+B50+B48</f>
        <v>16</v>
      </c>
      <c r="C52" s="281"/>
      <c r="D52" s="281"/>
      <c r="E52" s="290"/>
      <c r="F52" s="296">
        <f t="shared" ref="F52:H52" si="31">F51+F50+F48</f>
        <v>621.79999999999995</v>
      </c>
      <c r="G52" s="285">
        <f t="shared" si="31"/>
        <v>34305.599999999999</v>
      </c>
      <c r="H52" s="297">
        <f t="shared" si="31"/>
        <v>42569.819039999995</v>
      </c>
      <c r="I52" s="283"/>
      <c r="J52" s="283"/>
    </row>
    <row r="53" spans="1:10" ht="31.5" customHeight="1" x14ac:dyDescent="0.25">
      <c r="A53" s="931" t="s">
        <v>70</v>
      </c>
      <c r="B53" s="932"/>
      <c r="C53" s="932"/>
      <c r="D53" s="932"/>
      <c r="E53" s="932"/>
      <c r="F53" s="932"/>
      <c r="G53" s="932"/>
      <c r="H53" s="933"/>
      <c r="I53" s="283"/>
      <c r="J53" s="283"/>
    </row>
    <row r="54" spans="1:10" x14ac:dyDescent="0.25">
      <c r="A54" s="286" t="s">
        <v>20</v>
      </c>
      <c r="B54" s="271"/>
      <c r="C54" s="271"/>
      <c r="D54" s="271"/>
      <c r="E54" s="287"/>
      <c r="F54" s="270"/>
      <c r="G54" s="271"/>
      <c r="H54" s="291"/>
      <c r="I54" s="283"/>
      <c r="J54" s="283"/>
    </row>
    <row r="55" spans="1:10" x14ac:dyDescent="0.25">
      <c r="A55" s="90" t="s">
        <v>56</v>
      </c>
      <c r="B55" s="272">
        <v>0.5</v>
      </c>
      <c r="C55" s="272">
        <v>720</v>
      </c>
      <c r="D55" s="272">
        <v>0</v>
      </c>
      <c r="E55" s="288">
        <f t="shared" ref="E55" si="32">C55+D55</f>
        <v>720</v>
      </c>
      <c r="F55" s="292">
        <f t="shared" ref="F55" si="33">E55*0.2</f>
        <v>144</v>
      </c>
      <c r="G55" s="282">
        <f t="shared" ref="G55" si="34">B55*12*F55</f>
        <v>864</v>
      </c>
      <c r="H55" s="293">
        <f t="shared" ref="H55" si="35">G55*1.2409</f>
        <v>1072.1376</v>
      </c>
      <c r="I55" s="283"/>
      <c r="J55" s="283"/>
    </row>
    <row r="56" spans="1:10" ht="26.25" x14ac:dyDescent="0.25">
      <c r="A56" s="286" t="s">
        <v>10</v>
      </c>
      <c r="B56" s="271"/>
      <c r="C56" s="271"/>
      <c r="D56" s="271"/>
      <c r="E56" s="287"/>
      <c r="F56" s="270"/>
      <c r="G56" s="271"/>
      <c r="H56" s="291"/>
      <c r="I56" s="283"/>
      <c r="J56" s="283"/>
    </row>
    <row r="57" spans="1:10" x14ac:dyDescent="0.25">
      <c r="A57" s="90" t="s">
        <v>32</v>
      </c>
      <c r="B57" s="272">
        <v>0.5</v>
      </c>
      <c r="C57" s="272">
        <v>1000</v>
      </c>
      <c r="D57" s="272">
        <v>0</v>
      </c>
      <c r="E57" s="288">
        <f t="shared" ref="E57:E59" si="36">C57+D57</f>
        <v>1000</v>
      </c>
      <c r="F57" s="292">
        <f t="shared" ref="F57:F59" si="37">E57*0.2</f>
        <v>200</v>
      </c>
      <c r="G57" s="282">
        <f t="shared" ref="G57:G60" si="38">B57*12*F57</f>
        <v>1200</v>
      </c>
      <c r="H57" s="293">
        <f t="shared" ref="H57:H60" si="39">G57*1.2409</f>
        <v>1489.08</v>
      </c>
      <c r="I57" s="283"/>
      <c r="J57" s="283"/>
    </row>
    <row r="58" spans="1:10" x14ac:dyDescent="0.25">
      <c r="A58" s="90" t="s">
        <v>71</v>
      </c>
      <c r="B58" s="272">
        <v>0.5</v>
      </c>
      <c r="C58" s="272">
        <v>595</v>
      </c>
      <c r="D58" s="272">
        <v>0</v>
      </c>
      <c r="E58" s="288">
        <f t="shared" si="36"/>
        <v>595</v>
      </c>
      <c r="F58" s="292">
        <f t="shared" si="37"/>
        <v>119</v>
      </c>
      <c r="G58" s="282">
        <f t="shared" si="38"/>
        <v>714</v>
      </c>
      <c r="H58" s="293">
        <f t="shared" si="39"/>
        <v>886.00259999999992</v>
      </c>
      <c r="I58" s="283"/>
      <c r="J58" s="283"/>
    </row>
    <row r="59" spans="1:10" x14ac:dyDescent="0.25">
      <c r="A59" s="90" t="s">
        <v>25</v>
      </c>
      <c r="B59" s="272">
        <v>3</v>
      </c>
      <c r="C59" s="272">
        <v>595</v>
      </c>
      <c r="D59" s="272">
        <v>115</v>
      </c>
      <c r="E59" s="288">
        <f t="shared" si="36"/>
        <v>710</v>
      </c>
      <c r="F59" s="292">
        <f t="shared" si="37"/>
        <v>142</v>
      </c>
      <c r="G59" s="282">
        <f t="shared" si="38"/>
        <v>5112</v>
      </c>
      <c r="H59" s="293">
        <f t="shared" si="39"/>
        <v>6343.4807999999994</v>
      </c>
      <c r="I59" s="283"/>
      <c r="J59" s="283"/>
    </row>
    <row r="60" spans="1:10" x14ac:dyDescent="0.25">
      <c r="A60" s="299" t="s">
        <v>25</v>
      </c>
      <c r="B60" s="272">
        <v>1</v>
      </c>
      <c r="C60" s="272">
        <v>595</v>
      </c>
      <c r="D60" s="272">
        <v>0</v>
      </c>
      <c r="E60" s="288">
        <f>C60+D60</f>
        <v>595</v>
      </c>
      <c r="F60" s="292">
        <f>E60*0.2</f>
        <v>119</v>
      </c>
      <c r="G60" s="282">
        <f t="shared" si="38"/>
        <v>1428</v>
      </c>
      <c r="H60" s="293">
        <f t="shared" si="39"/>
        <v>1772.0051999999998</v>
      </c>
      <c r="I60" s="283"/>
      <c r="J60" s="283"/>
    </row>
    <row r="61" spans="1:10" x14ac:dyDescent="0.25">
      <c r="A61" s="279" t="s">
        <v>54</v>
      </c>
      <c r="B61" s="280">
        <f>B60+B59+B58+B57+B55</f>
        <v>5.5</v>
      </c>
      <c r="C61" s="281"/>
      <c r="D61" s="281"/>
      <c r="E61" s="290"/>
      <c r="F61" s="296">
        <f t="shared" ref="F61:H61" si="40">F60+F59+F58+F57+F55</f>
        <v>724</v>
      </c>
      <c r="G61" s="285">
        <f t="shared" si="40"/>
        <v>9318</v>
      </c>
      <c r="H61" s="297">
        <f t="shared" si="40"/>
        <v>11562.706199999999</v>
      </c>
      <c r="I61" s="283"/>
      <c r="J61" s="283"/>
    </row>
    <row r="62" spans="1:10" ht="44.25" customHeight="1" x14ac:dyDescent="0.25">
      <c r="A62" s="931" t="s">
        <v>72</v>
      </c>
      <c r="B62" s="932"/>
      <c r="C62" s="932"/>
      <c r="D62" s="932"/>
      <c r="E62" s="932"/>
      <c r="F62" s="932"/>
      <c r="G62" s="932"/>
      <c r="H62" s="933"/>
      <c r="I62" s="283"/>
      <c r="J62" s="283"/>
    </row>
    <row r="63" spans="1:10" x14ac:dyDescent="0.25">
      <c r="A63" s="286" t="s">
        <v>20</v>
      </c>
      <c r="B63" s="271"/>
      <c r="C63" s="271"/>
      <c r="D63" s="271"/>
      <c r="E63" s="287"/>
      <c r="F63" s="270"/>
      <c r="G63" s="271"/>
      <c r="H63" s="291"/>
      <c r="I63" s="283"/>
      <c r="J63" s="283"/>
    </row>
    <row r="64" spans="1:10" x14ac:dyDescent="0.25">
      <c r="A64" s="90" t="s">
        <v>56</v>
      </c>
      <c r="B64" s="272">
        <v>0.3</v>
      </c>
      <c r="C64" s="272">
        <v>2020.7</v>
      </c>
      <c r="D64" s="272">
        <v>0</v>
      </c>
      <c r="E64" s="288">
        <f t="shared" ref="E64:E65" si="41">C64+D64</f>
        <v>2020.7</v>
      </c>
      <c r="F64" s="292">
        <f t="shared" ref="F64:F65" si="42">E64*0.2</f>
        <v>404.14000000000004</v>
      </c>
      <c r="G64" s="282">
        <f t="shared" ref="G64:G65" si="43">B64*12*F64</f>
        <v>1454.904</v>
      </c>
      <c r="H64" s="293">
        <f t="shared" ref="H64:H65" si="44">G64*1.2409</f>
        <v>1805.3903735999997</v>
      </c>
      <c r="I64" s="283"/>
      <c r="J64" s="283"/>
    </row>
    <row r="65" spans="1:10" x14ac:dyDescent="0.25">
      <c r="A65" s="90" t="s">
        <v>65</v>
      </c>
      <c r="B65" s="272">
        <v>0.1</v>
      </c>
      <c r="C65" s="272">
        <v>1900</v>
      </c>
      <c r="D65" s="272">
        <v>0</v>
      </c>
      <c r="E65" s="288">
        <f t="shared" si="41"/>
        <v>1900</v>
      </c>
      <c r="F65" s="292">
        <f t="shared" si="42"/>
        <v>380</v>
      </c>
      <c r="G65" s="282">
        <f t="shared" si="43"/>
        <v>456.00000000000006</v>
      </c>
      <c r="H65" s="293">
        <f t="shared" si="44"/>
        <v>565.85040000000004</v>
      </c>
      <c r="I65" s="283"/>
      <c r="J65" s="283"/>
    </row>
    <row r="66" spans="1:10" ht="26.25" x14ac:dyDescent="0.25">
      <c r="A66" s="286" t="s">
        <v>10</v>
      </c>
      <c r="B66" s="271"/>
      <c r="C66" s="271"/>
      <c r="D66" s="271"/>
      <c r="E66" s="287"/>
      <c r="F66" s="270"/>
      <c r="G66" s="271"/>
      <c r="H66" s="291"/>
      <c r="I66" s="283"/>
      <c r="J66" s="283"/>
    </row>
    <row r="67" spans="1:10" x14ac:dyDescent="0.25">
      <c r="A67" s="90" t="s">
        <v>59</v>
      </c>
      <c r="B67" s="272">
        <v>1</v>
      </c>
      <c r="C67" s="272">
        <v>1070</v>
      </c>
      <c r="D67" s="272">
        <v>0</v>
      </c>
      <c r="E67" s="288">
        <f t="shared" ref="E67:E68" si="45">C67+D67</f>
        <v>1070</v>
      </c>
      <c r="F67" s="292">
        <f t="shared" ref="F67:F68" si="46">E67*0.2</f>
        <v>214</v>
      </c>
      <c r="G67" s="282">
        <f t="shared" ref="G67:G68" si="47">B67*12*F67</f>
        <v>2568</v>
      </c>
      <c r="H67" s="293">
        <f t="shared" ref="H67:H68" si="48">G67*1.2409</f>
        <v>3186.6311999999998</v>
      </c>
      <c r="I67" s="283"/>
      <c r="J67" s="283"/>
    </row>
    <row r="68" spans="1:10" x14ac:dyDescent="0.25">
      <c r="A68" s="90" t="s">
        <v>25</v>
      </c>
      <c r="B68" s="272">
        <v>2</v>
      </c>
      <c r="C68" s="272">
        <v>718.1</v>
      </c>
      <c r="D68" s="272">
        <v>0</v>
      </c>
      <c r="E68" s="288">
        <f t="shared" si="45"/>
        <v>718.1</v>
      </c>
      <c r="F68" s="292">
        <f t="shared" si="46"/>
        <v>143.62</v>
      </c>
      <c r="G68" s="282">
        <f t="shared" si="47"/>
        <v>3446.88</v>
      </c>
      <c r="H68" s="293">
        <f t="shared" si="48"/>
        <v>4277.2333920000001</v>
      </c>
      <c r="I68" s="283"/>
      <c r="J68" s="283"/>
    </row>
    <row r="69" spans="1:10" x14ac:dyDescent="0.25">
      <c r="A69" s="279" t="s">
        <v>54</v>
      </c>
      <c r="B69" s="280">
        <f>B68+B67+B65+B64</f>
        <v>3.4</v>
      </c>
      <c r="C69" s="281"/>
      <c r="D69" s="281"/>
      <c r="E69" s="290"/>
      <c r="F69" s="296">
        <f t="shared" ref="F69:G69" si="49">F68+F67+F65+F64</f>
        <v>1141.76</v>
      </c>
      <c r="G69" s="285">
        <f t="shared" si="49"/>
        <v>7925.7839999999997</v>
      </c>
      <c r="H69" s="297">
        <f>H68+H67+H65+H64</f>
        <v>9835.1053656000004</v>
      </c>
      <c r="I69" s="283"/>
      <c r="J69" s="283"/>
    </row>
    <row r="70" spans="1:10" ht="44.25" customHeight="1" x14ac:dyDescent="0.25">
      <c r="A70" s="931" t="s">
        <v>250</v>
      </c>
      <c r="B70" s="932"/>
      <c r="C70" s="932"/>
      <c r="D70" s="932"/>
      <c r="E70" s="932"/>
      <c r="F70" s="932"/>
      <c r="G70" s="932"/>
      <c r="H70" s="933"/>
      <c r="I70" s="283"/>
      <c r="J70" s="283"/>
    </row>
    <row r="71" spans="1:10" x14ac:dyDescent="0.25">
      <c r="A71" s="286" t="s">
        <v>20</v>
      </c>
      <c r="B71" s="271"/>
      <c r="C71" s="271"/>
      <c r="D71" s="271"/>
      <c r="E71" s="287"/>
      <c r="F71" s="270"/>
      <c r="G71" s="271"/>
      <c r="H71" s="291"/>
      <c r="I71" s="283"/>
      <c r="J71" s="283"/>
    </row>
    <row r="72" spans="1:10" x14ac:dyDescent="0.25">
      <c r="A72" s="90" t="s">
        <v>62</v>
      </c>
      <c r="B72" s="272">
        <v>0.25</v>
      </c>
      <c r="C72" s="272">
        <v>819</v>
      </c>
      <c r="D72" s="272">
        <v>52.76</v>
      </c>
      <c r="E72" s="288">
        <f t="shared" ref="E72:E73" si="50">C72+D72</f>
        <v>871.76</v>
      </c>
      <c r="F72" s="292">
        <f t="shared" ref="F72:F73" si="51">E72*0.2</f>
        <v>174.352</v>
      </c>
      <c r="G72" s="282">
        <f t="shared" ref="G72:G73" si="52">B72*12*F72</f>
        <v>523.05600000000004</v>
      </c>
      <c r="H72" s="293">
        <f t="shared" ref="H72:H73" si="53">G72*1.2409</f>
        <v>649.06019040000001</v>
      </c>
      <c r="I72" s="283"/>
      <c r="J72" s="283"/>
    </row>
    <row r="73" spans="1:10" x14ac:dyDescent="0.25">
      <c r="A73" s="90" t="s">
        <v>65</v>
      </c>
      <c r="B73" s="272">
        <v>1</v>
      </c>
      <c r="C73" s="272">
        <v>769</v>
      </c>
      <c r="D73" s="272">
        <v>20</v>
      </c>
      <c r="E73" s="288">
        <f t="shared" si="50"/>
        <v>789</v>
      </c>
      <c r="F73" s="292">
        <f t="shared" si="51"/>
        <v>157.80000000000001</v>
      </c>
      <c r="G73" s="282">
        <f t="shared" si="52"/>
        <v>1893.6000000000001</v>
      </c>
      <c r="H73" s="293">
        <f t="shared" si="53"/>
        <v>2349.7682399999999</v>
      </c>
      <c r="I73" s="283"/>
      <c r="J73" s="283"/>
    </row>
    <row r="74" spans="1:10" ht="26.25" x14ac:dyDescent="0.25">
      <c r="A74" s="286" t="s">
        <v>10</v>
      </c>
      <c r="B74" s="271"/>
      <c r="C74" s="271"/>
      <c r="D74" s="271"/>
      <c r="E74" s="287"/>
      <c r="F74" s="270"/>
      <c r="G74" s="271"/>
      <c r="H74" s="291"/>
      <c r="I74" s="283"/>
      <c r="J74" s="283"/>
    </row>
    <row r="75" spans="1:10" x14ac:dyDescent="0.25">
      <c r="A75" s="90" t="s">
        <v>73</v>
      </c>
      <c r="B75" s="272">
        <v>1</v>
      </c>
      <c r="C75" s="272">
        <v>656</v>
      </c>
      <c r="D75" s="272">
        <v>72.48</v>
      </c>
      <c r="E75" s="288">
        <f t="shared" ref="E75:E77" si="54">C75+D75</f>
        <v>728.48</v>
      </c>
      <c r="F75" s="292">
        <f t="shared" ref="F75:F77" si="55">E75*0.2</f>
        <v>145.696</v>
      </c>
      <c r="G75" s="282">
        <f t="shared" ref="G75:G77" si="56">B75*12*F75</f>
        <v>1748.3519999999999</v>
      </c>
      <c r="H75" s="293">
        <f t="shared" ref="H75:H77" si="57">G75*1.2409</f>
        <v>2169.5299967999995</v>
      </c>
      <c r="I75" s="283"/>
      <c r="J75" s="283"/>
    </row>
    <row r="76" spans="1:10" x14ac:dyDescent="0.25">
      <c r="A76" s="90" t="s">
        <v>73</v>
      </c>
      <c r="B76" s="272">
        <v>1</v>
      </c>
      <c r="C76" s="272">
        <v>631</v>
      </c>
      <c r="D76" s="272">
        <v>70.48</v>
      </c>
      <c r="E76" s="288">
        <f t="shared" si="54"/>
        <v>701.48</v>
      </c>
      <c r="F76" s="292">
        <f t="shared" si="55"/>
        <v>140.29600000000002</v>
      </c>
      <c r="G76" s="282">
        <f t="shared" si="56"/>
        <v>1683.5520000000001</v>
      </c>
      <c r="H76" s="293">
        <f t="shared" si="57"/>
        <v>2089.1196768</v>
      </c>
      <c r="I76" s="283"/>
      <c r="J76" s="283"/>
    </row>
    <row r="77" spans="1:10" x14ac:dyDescent="0.25">
      <c r="A77" s="299" t="s">
        <v>25</v>
      </c>
      <c r="B77" s="272">
        <v>1</v>
      </c>
      <c r="C77" s="272">
        <v>580</v>
      </c>
      <c r="D77" s="272">
        <v>66.400000000000006</v>
      </c>
      <c r="E77" s="288">
        <f t="shared" si="54"/>
        <v>646.4</v>
      </c>
      <c r="F77" s="292">
        <f t="shared" si="55"/>
        <v>129.28</v>
      </c>
      <c r="G77" s="282">
        <f t="shared" si="56"/>
        <v>1551.3600000000001</v>
      </c>
      <c r="H77" s="293">
        <f t="shared" si="57"/>
        <v>1925.0826239999999</v>
      </c>
      <c r="I77" s="283"/>
      <c r="J77" s="283"/>
    </row>
    <row r="78" spans="1:10" ht="26.25" x14ac:dyDescent="0.25">
      <c r="A78" s="286" t="s">
        <v>11</v>
      </c>
      <c r="B78" s="271"/>
      <c r="C78" s="271"/>
      <c r="D78" s="271"/>
      <c r="E78" s="287"/>
      <c r="F78" s="270"/>
      <c r="G78" s="271"/>
      <c r="H78" s="291"/>
      <c r="I78" s="283"/>
      <c r="J78" s="283"/>
    </row>
    <row r="79" spans="1:10" x14ac:dyDescent="0.25">
      <c r="A79" s="90" t="s">
        <v>46</v>
      </c>
      <c r="B79" s="272">
        <v>3</v>
      </c>
      <c r="C79" s="272">
        <v>455</v>
      </c>
      <c r="D79" s="272">
        <v>38.200000000000003</v>
      </c>
      <c r="E79" s="288">
        <f>C79+D79</f>
        <v>493.2</v>
      </c>
      <c r="F79" s="292">
        <f>E79*0.2</f>
        <v>98.64</v>
      </c>
      <c r="G79" s="282">
        <f t="shared" ref="G79" si="58">B79*12*F79</f>
        <v>3551.04</v>
      </c>
      <c r="H79" s="293">
        <f t="shared" ref="H79" si="59">G79*1.2409</f>
        <v>4406.4855359999992</v>
      </c>
      <c r="I79" s="283"/>
      <c r="J79" s="283"/>
    </row>
    <row r="80" spans="1:10" x14ac:dyDescent="0.25">
      <c r="A80" s="279" t="s">
        <v>54</v>
      </c>
      <c r="B80" s="300">
        <f>B79+B77+B76+B75+B73+B72</f>
        <v>7.25</v>
      </c>
      <c r="C80" s="281"/>
      <c r="D80" s="281"/>
      <c r="E80" s="290"/>
      <c r="F80" s="296">
        <f>F79+F77+F76+F75+F73+F72</f>
        <v>846.06399999999996</v>
      </c>
      <c r="G80" s="285">
        <f t="shared" ref="G80:H80" si="60">G79+G77+G76+G75+G73+G72</f>
        <v>10950.960000000001</v>
      </c>
      <c r="H80" s="297">
        <f t="shared" si="60"/>
        <v>13589.046263999999</v>
      </c>
      <c r="I80" s="283"/>
      <c r="J80" s="283"/>
    </row>
    <row r="81" spans="1:10" ht="44.25" customHeight="1" x14ac:dyDescent="0.25">
      <c r="A81" s="931" t="s">
        <v>251</v>
      </c>
      <c r="B81" s="932"/>
      <c r="C81" s="932"/>
      <c r="D81" s="932"/>
      <c r="E81" s="932"/>
      <c r="F81" s="932"/>
      <c r="G81" s="932"/>
      <c r="H81" s="933"/>
      <c r="I81" s="283"/>
      <c r="J81" s="283"/>
    </row>
    <row r="82" spans="1:10" ht="26.25" x14ac:dyDescent="0.25">
      <c r="A82" s="286" t="s">
        <v>10</v>
      </c>
      <c r="B82" s="271"/>
      <c r="C82" s="271"/>
      <c r="D82" s="271"/>
      <c r="E82" s="287"/>
      <c r="F82" s="270"/>
      <c r="G82" s="271"/>
      <c r="H82" s="291"/>
      <c r="I82" s="283"/>
      <c r="J82" s="283"/>
    </row>
    <row r="83" spans="1:10" ht="26.25" x14ac:dyDescent="0.25">
      <c r="A83" s="301" t="s">
        <v>74</v>
      </c>
      <c r="B83" s="272">
        <v>1</v>
      </c>
      <c r="C83" s="272">
        <v>1176</v>
      </c>
      <c r="D83" s="272">
        <v>114.08</v>
      </c>
      <c r="E83" s="288">
        <f t="shared" ref="E83:E89" si="61">C83+D83</f>
        <v>1290.08</v>
      </c>
      <c r="F83" s="292">
        <f t="shared" ref="F83:F89" si="62">E83*0.2</f>
        <v>258.01600000000002</v>
      </c>
      <c r="G83" s="282">
        <f t="shared" ref="G83:G89" si="63">B83*12*F83</f>
        <v>3096.192</v>
      </c>
      <c r="H83" s="293">
        <f t="shared" ref="H83:H89" si="64">G83*1.2409</f>
        <v>3842.0646527999997</v>
      </c>
      <c r="I83" s="283"/>
      <c r="J83" s="283"/>
    </row>
    <row r="84" spans="1:10" x14ac:dyDescent="0.25">
      <c r="A84" s="90" t="s">
        <v>73</v>
      </c>
      <c r="B84" s="272">
        <v>6.5</v>
      </c>
      <c r="C84" s="272">
        <v>656</v>
      </c>
      <c r="D84" s="272">
        <v>49.989999999999995</v>
      </c>
      <c r="E84" s="288">
        <f t="shared" si="61"/>
        <v>705.99</v>
      </c>
      <c r="F84" s="292">
        <f t="shared" si="62"/>
        <v>141.19800000000001</v>
      </c>
      <c r="G84" s="282">
        <f t="shared" si="63"/>
        <v>11013.444000000001</v>
      </c>
      <c r="H84" s="293">
        <f t="shared" si="64"/>
        <v>13666.582659600001</v>
      </c>
      <c r="I84" s="283"/>
      <c r="J84" s="283"/>
    </row>
    <row r="85" spans="1:10" x14ac:dyDescent="0.25">
      <c r="A85" s="90" t="s">
        <v>73</v>
      </c>
      <c r="B85" s="272">
        <v>4.0999999999999996</v>
      </c>
      <c r="C85" s="272">
        <v>631</v>
      </c>
      <c r="D85" s="272">
        <v>65.430000000000007</v>
      </c>
      <c r="E85" s="288">
        <f t="shared" si="61"/>
        <v>696.43000000000006</v>
      </c>
      <c r="F85" s="292">
        <f t="shared" si="62"/>
        <v>139.28600000000003</v>
      </c>
      <c r="G85" s="282">
        <f t="shared" si="63"/>
        <v>6852.8712000000005</v>
      </c>
      <c r="H85" s="293">
        <f t="shared" si="64"/>
        <v>8503.7278720800005</v>
      </c>
      <c r="I85" s="283"/>
      <c r="J85" s="283"/>
    </row>
    <row r="86" spans="1:10" x14ac:dyDescent="0.25">
      <c r="A86" s="90" t="s">
        <v>25</v>
      </c>
      <c r="B86" s="272">
        <v>0.5</v>
      </c>
      <c r="C86" s="272">
        <v>631</v>
      </c>
      <c r="D86" s="272">
        <v>70.47999999999999</v>
      </c>
      <c r="E86" s="288">
        <f t="shared" si="61"/>
        <v>701.48</v>
      </c>
      <c r="F86" s="292">
        <f t="shared" si="62"/>
        <v>140.29600000000002</v>
      </c>
      <c r="G86" s="282">
        <f t="shared" si="63"/>
        <v>841.77600000000007</v>
      </c>
      <c r="H86" s="293">
        <f t="shared" si="64"/>
        <v>1044.5598384</v>
      </c>
      <c r="I86" s="283"/>
      <c r="J86" s="283"/>
    </row>
    <row r="87" spans="1:10" x14ac:dyDescent="0.25">
      <c r="A87" s="90" t="s">
        <v>25</v>
      </c>
      <c r="B87" s="272">
        <v>1.5</v>
      </c>
      <c r="C87" s="272">
        <v>580</v>
      </c>
      <c r="D87" s="272">
        <v>60.6</v>
      </c>
      <c r="E87" s="288">
        <f t="shared" si="61"/>
        <v>640.6</v>
      </c>
      <c r="F87" s="292">
        <f t="shared" si="62"/>
        <v>128.12</v>
      </c>
      <c r="G87" s="282">
        <f t="shared" si="63"/>
        <v>2306.16</v>
      </c>
      <c r="H87" s="293">
        <f t="shared" si="64"/>
        <v>2861.7139439999996</v>
      </c>
      <c r="I87" s="283"/>
      <c r="J87" s="283"/>
    </row>
    <row r="88" spans="1:10" x14ac:dyDescent="0.25">
      <c r="A88" s="90" t="s">
        <v>25</v>
      </c>
      <c r="B88" s="272">
        <v>1</v>
      </c>
      <c r="C88" s="272">
        <v>580</v>
      </c>
      <c r="D88" s="272">
        <v>20</v>
      </c>
      <c r="E88" s="288">
        <f t="shared" si="61"/>
        <v>600</v>
      </c>
      <c r="F88" s="292">
        <f t="shared" si="62"/>
        <v>120</v>
      </c>
      <c r="G88" s="282">
        <f t="shared" si="63"/>
        <v>1440</v>
      </c>
      <c r="H88" s="293">
        <f t="shared" si="64"/>
        <v>1786.8959999999997</v>
      </c>
      <c r="I88" s="283"/>
      <c r="J88" s="283"/>
    </row>
    <row r="89" spans="1:10" x14ac:dyDescent="0.25">
      <c r="A89" s="90" t="s">
        <v>32</v>
      </c>
      <c r="B89" s="272">
        <v>1</v>
      </c>
      <c r="C89" s="272">
        <v>746</v>
      </c>
      <c r="D89" s="272">
        <v>34.92</v>
      </c>
      <c r="E89" s="288">
        <f t="shared" si="61"/>
        <v>780.92</v>
      </c>
      <c r="F89" s="292">
        <f t="shared" si="62"/>
        <v>156.184</v>
      </c>
      <c r="G89" s="282">
        <f t="shared" si="63"/>
        <v>1874.2080000000001</v>
      </c>
      <c r="H89" s="293">
        <f t="shared" si="64"/>
        <v>2325.7047072</v>
      </c>
      <c r="I89" s="283"/>
      <c r="J89" s="283"/>
    </row>
    <row r="90" spans="1:10" x14ac:dyDescent="0.25">
      <c r="A90" s="90" t="s">
        <v>32</v>
      </c>
      <c r="B90" s="272">
        <v>1</v>
      </c>
      <c r="C90" s="272">
        <v>725</v>
      </c>
      <c r="D90" s="272">
        <v>34.5</v>
      </c>
      <c r="E90" s="288">
        <f>C90+D90</f>
        <v>759.5</v>
      </c>
      <c r="F90" s="292">
        <f>E90*0.2</f>
        <v>151.9</v>
      </c>
      <c r="G90" s="282">
        <f>B90*12*F90</f>
        <v>1822.8000000000002</v>
      </c>
      <c r="H90" s="293">
        <f>G90*1.2409</f>
        <v>2261.9125199999999</v>
      </c>
      <c r="I90" s="283"/>
      <c r="J90" s="283"/>
    </row>
    <row r="91" spans="1:10" ht="26.25" x14ac:dyDescent="0.25">
      <c r="A91" s="286" t="s">
        <v>11</v>
      </c>
      <c r="B91" s="271"/>
      <c r="C91" s="271"/>
      <c r="D91" s="271"/>
      <c r="E91" s="287"/>
      <c r="F91" s="270"/>
      <c r="G91" s="271"/>
      <c r="H91" s="291"/>
      <c r="I91" s="283"/>
      <c r="J91" s="283"/>
    </row>
    <row r="92" spans="1:10" x14ac:dyDescent="0.25">
      <c r="A92" s="90" t="s">
        <v>46</v>
      </c>
      <c r="B92" s="272">
        <v>4</v>
      </c>
      <c r="C92" s="272">
        <v>455</v>
      </c>
      <c r="D92" s="272">
        <v>45.03</v>
      </c>
      <c r="E92" s="288">
        <f t="shared" ref="E92:E93" si="65">C92+D92</f>
        <v>500.03</v>
      </c>
      <c r="F92" s="292">
        <f t="shared" ref="F92:F93" si="66">E92*0.2</f>
        <v>100.006</v>
      </c>
      <c r="G92" s="282">
        <f t="shared" ref="G92:G93" si="67">B92*12*F92</f>
        <v>4800.2880000000005</v>
      </c>
      <c r="H92" s="293">
        <f t="shared" ref="H92:H93" si="68">G92*1.2409</f>
        <v>5956.6773792000004</v>
      </c>
      <c r="I92" s="283"/>
      <c r="J92" s="283"/>
    </row>
    <row r="93" spans="1:10" x14ac:dyDescent="0.25">
      <c r="A93" s="120" t="s">
        <v>46</v>
      </c>
      <c r="B93" s="272">
        <v>7</v>
      </c>
      <c r="C93" s="272">
        <v>455</v>
      </c>
      <c r="D93" s="272">
        <v>29.1</v>
      </c>
      <c r="E93" s="288">
        <f t="shared" si="65"/>
        <v>484.1</v>
      </c>
      <c r="F93" s="292">
        <f t="shared" si="66"/>
        <v>96.820000000000007</v>
      </c>
      <c r="G93" s="282">
        <f t="shared" si="67"/>
        <v>8132.880000000001</v>
      </c>
      <c r="H93" s="293">
        <f t="shared" si="68"/>
        <v>10092.090792000001</v>
      </c>
      <c r="I93" s="283"/>
      <c r="J93" s="283"/>
    </row>
    <row r="94" spans="1:10" x14ac:dyDescent="0.25">
      <c r="A94" s="279" t="s">
        <v>54</v>
      </c>
      <c r="B94" s="300">
        <f>SUM(B83+B84+B85+B86+B87+B88+B89+B90)+B92+B93</f>
        <v>27.6</v>
      </c>
      <c r="C94" s="281"/>
      <c r="D94" s="281"/>
      <c r="E94" s="290"/>
      <c r="F94" s="296">
        <f t="shared" ref="F94:G94" si="69">SUM(F83+F84+F85+F86+F87+F88+F89+F90)+F92+F93</f>
        <v>1431.8260000000002</v>
      </c>
      <c r="G94" s="285">
        <f t="shared" si="69"/>
        <v>42180.619200000001</v>
      </c>
      <c r="H94" s="297">
        <f>SUM(H83+H84+H85+H86+H87+H88+H89+H90)+H92+H93</f>
        <v>52341.930365280001</v>
      </c>
      <c r="I94" s="283"/>
      <c r="J94" s="283"/>
    </row>
    <row r="95" spans="1:10" ht="43.5" customHeight="1" x14ac:dyDescent="0.25">
      <c r="A95" s="931" t="s">
        <v>80</v>
      </c>
      <c r="B95" s="932"/>
      <c r="C95" s="932"/>
      <c r="D95" s="932"/>
      <c r="E95" s="932"/>
      <c r="F95" s="932"/>
      <c r="G95" s="932"/>
      <c r="H95" s="933"/>
      <c r="I95" s="283"/>
      <c r="J95" s="283"/>
    </row>
    <row r="96" spans="1:10" x14ac:dyDescent="0.25">
      <c r="A96" s="286" t="s">
        <v>20</v>
      </c>
      <c r="B96" s="271"/>
      <c r="C96" s="271"/>
      <c r="D96" s="271"/>
      <c r="E96" s="287"/>
      <c r="F96" s="270"/>
      <c r="G96" s="271"/>
      <c r="H96" s="291"/>
      <c r="I96" s="283"/>
      <c r="J96" s="283"/>
    </row>
    <row r="97" spans="1:10" x14ac:dyDescent="0.25">
      <c r="A97" s="90" t="s">
        <v>56</v>
      </c>
      <c r="B97" s="272">
        <v>0.2</v>
      </c>
      <c r="C97" s="272">
        <v>1050</v>
      </c>
      <c r="D97" s="272">
        <v>262.5</v>
      </c>
      <c r="E97" s="288">
        <f t="shared" ref="E97:E98" si="70">C97+D97</f>
        <v>1312.5</v>
      </c>
      <c r="F97" s="292">
        <f t="shared" ref="F97:F98" si="71">E97*0.2</f>
        <v>262.5</v>
      </c>
      <c r="G97" s="282">
        <f t="shared" ref="G97:G98" si="72">B97*12*F97</f>
        <v>630.00000000000011</v>
      </c>
      <c r="H97" s="293">
        <f t="shared" ref="H97:H98" si="73">G97*1.2409</f>
        <v>781.76700000000005</v>
      </c>
      <c r="I97" s="283"/>
      <c r="J97" s="283"/>
    </row>
    <row r="98" spans="1:10" x14ac:dyDescent="0.25">
      <c r="A98" s="90" t="s">
        <v>62</v>
      </c>
      <c r="B98" s="272">
        <v>0.25</v>
      </c>
      <c r="C98" s="272">
        <v>840</v>
      </c>
      <c r="D98" s="272">
        <v>126</v>
      </c>
      <c r="E98" s="288">
        <f t="shared" si="70"/>
        <v>966</v>
      </c>
      <c r="F98" s="292">
        <f t="shared" si="71"/>
        <v>193.20000000000002</v>
      </c>
      <c r="G98" s="282">
        <f t="shared" si="72"/>
        <v>579.6</v>
      </c>
      <c r="H98" s="293">
        <f t="shared" si="73"/>
        <v>719.22564</v>
      </c>
      <c r="I98" s="283"/>
      <c r="J98" s="283"/>
    </row>
    <row r="99" spans="1:10" ht="26.25" x14ac:dyDescent="0.25">
      <c r="A99" s="286" t="s">
        <v>10</v>
      </c>
      <c r="B99" s="271"/>
      <c r="C99" s="271"/>
      <c r="D99" s="271"/>
      <c r="E99" s="287"/>
      <c r="F99" s="270"/>
      <c r="G99" s="271"/>
      <c r="H99" s="291"/>
      <c r="I99" s="283"/>
      <c r="J99" s="283"/>
    </row>
    <row r="100" spans="1:10" x14ac:dyDescent="0.25">
      <c r="A100" s="90" t="s">
        <v>24</v>
      </c>
      <c r="B100" s="272">
        <v>1</v>
      </c>
      <c r="C100" s="272">
        <v>800</v>
      </c>
      <c r="D100" s="272">
        <v>200</v>
      </c>
      <c r="E100" s="288">
        <f t="shared" ref="E100:E101" si="74">C100+D100</f>
        <v>1000</v>
      </c>
      <c r="F100" s="292">
        <f t="shared" ref="F100:F101" si="75">E100*0.2</f>
        <v>200</v>
      </c>
      <c r="G100" s="282">
        <f t="shared" ref="G100:G101" si="76">B100*12*F100</f>
        <v>2400</v>
      </c>
      <c r="H100" s="293">
        <f t="shared" ref="H100:H101" si="77">G100*1.2409</f>
        <v>2978.16</v>
      </c>
      <c r="I100" s="283"/>
      <c r="J100" s="283"/>
    </row>
    <row r="101" spans="1:10" x14ac:dyDescent="0.25">
      <c r="A101" s="90" t="s">
        <v>25</v>
      </c>
      <c r="B101" s="272">
        <v>4.8</v>
      </c>
      <c r="C101" s="272">
        <v>660</v>
      </c>
      <c r="D101" s="272">
        <v>165</v>
      </c>
      <c r="E101" s="288">
        <f t="shared" si="74"/>
        <v>825</v>
      </c>
      <c r="F101" s="292">
        <f t="shared" si="75"/>
        <v>165</v>
      </c>
      <c r="G101" s="282">
        <f t="shared" si="76"/>
        <v>9503.9999999999982</v>
      </c>
      <c r="H101" s="293">
        <f t="shared" si="77"/>
        <v>11793.513599999997</v>
      </c>
      <c r="I101" s="283"/>
      <c r="J101" s="283"/>
    </row>
    <row r="102" spans="1:10" x14ac:dyDescent="0.25">
      <c r="A102" s="279" t="s">
        <v>54</v>
      </c>
      <c r="B102" s="300">
        <f>B101+B100+B98+B97</f>
        <v>6.25</v>
      </c>
      <c r="C102" s="281"/>
      <c r="D102" s="281"/>
      <c r="E102" s="290"/>
      <c r="F102" s="296">
        <f t="shared" ref="F102:H102" si="78">F101+F100+F98+F97</f>
        <v>820.7</v>
      </c>
      <c r="G102" s="285">
        <f t="shared" si="78"/>
        <v>13113.599999999999</v>
      </c>
      <c r="H102" s="297">
        <f t="shared" si="78"/>
        <v>16272.666239999997</v>
      </c>
      <c r="I102" s="283"/>
      <c r="J102" s="283"/>
    </row>
    <row r="103" spans="1:10" ht="44.25" customHeight="1" x14ac:dyDescent="0.25">
      <c r="A103" s="931" t="s">
        <v>81</v>
      </c>
      <c r="B103" s="932"/>
      <c r="C103" s="932"/>
      <c r="D103" s="932"/>
      <c r="E103" s="932"/>
      <c r="F103" s="932"/>
      <c r="G103" s="932"/>
      <c r="H103" s="933"/>
      <c r="I103" s="283"/>
      <c r="J103" s="283"/>
    </row>
    <row r="104" spans="1:10" x14ac:dyDescent="0.25">
      <c r="A104" s="286" t="s">
        <v>20</v>
      </c>
      <c r="B104" s="271"/>
      <c r="C104" s="271"/>
      <c r="D104" s="271"/>
      <c r="E104" s="287"/>
      <c r="F104" s="270"/>
      <c r="G104" s="271"/>
      <c r="H104" s="291"/>
      <c r="I104" s="283"/>
      <c r="J104" s="283"/>
    </row>
    <row r="105" spans="1:10" x14ac:dyDescent="0.25">
      <c r="A105" s="90" t="s">
        <v>56</v>
      </c>
      <c r="B105" s="272">
        <v>0.3</v>
      </c>
      <c r="C105" s="272">
        <v>1101</v>
      </c>
      <c r="D105" s="272">
        <v>0</v>
      </c>
      <c r="E105" s="288">
        <f t="shared" ref="E105" si="79">C105+D105</f>
        <v>1101</v>
      </c>
      <c r="F105" s="292">
        <f t="shared" ref="F105" si="80">E105*0.2</f>
        <v>220.20000000000002</v>
      </c>
      <c r="G105" s="282">
        <f t="shared" ref="G105" si="81">B105*12*F105</f>
        <v>792.72</v>
      </c>
      <c r="H105" s="293">
        <f t="shared" ref="H105" si="82">G105*1.2409</f>
        <v>983.68624799999998</v>
      </c>
      <c r="I105" s="283"/>
      <c r="J105" s="283"/>
    </row>
    <row r="106" spans="1:10" ht="26.25" x14ac:dyDescent="0.25">
      <c r="A106" s="286" t="s">
        <v>10</v>
      </c>
      <c r="B106" s="271"/>
      <c r="C106" s="271"/>
      <c r="D106" s="271"/>
      <c r="E106" s="287"/>
      <c r="F106" s="270"/>
      <c r="G106" s="271"/>
      <c r="H106" s="291"/>
      <c r="I106" s="283"/>
      <c r="J106" s="283"/>
    </row>
    <row r="107" spans="1:10" x14ac:dyDescent="0.25">
      <c r="A107" s="90" t="s">
        <v>25</v>
      </c>
      <c r="B107" s="272">
        <v>3</v>
      </c>
      <c r="C107" s="272">
        <v>716</v>
      </c>
      <c r="D107" s="272">
        <v>0</v>
      </c>
      <c r="E107" s="288">
        <f t="shared" ref="E107" si="83">C107+D107</f>
        <v>716</v>
      </c>
      <c r="F107" s="292">
        <f t="shared" ref="F107" si="84">E107*0.2</f>
        <v>143.20000000000002</v>
      </c>
      <c r="G107" s="282">
        <f t="shared" ref="G107" si="85">B107*12*F107</f>
        <v>5155.2000000000007</v>
      </c>
      <c r="H107" s="293">
        <f t="shared" ref="H107" si="86">G107*1.2409</f>
        <v>6397.0876800000005</v>
      </c>
      <c r="I107" s="283"/>
      <c r="J107" s="283"/>
    </row>
    <row r="108" spans="1:10" x14ac:dyDescent="0.25">
      <c r="A108" s="279" t="s">
        <v>54</v>
      </c>
      <c r="B108" s="300">
        <f>B107+B105</f>
        <v>3.3</v>
      </c>
      <c r="C108" s="281"/>
      <c r="D108" s="281"/>
      <c r="E108" s="290"/>
      <c r="F108" s="296">
        <f>F107+F105</f>
        <v>363.40000000000003</v>
      </c>
      <c r="G108" s="285">
        <f>G107+G105</f>
        <v>5947.920000000001</v>
      </c>
      <c r="H108" s="297">
        <f>H107+H105</f>
        <v>7380.7739280000005</v>
      </c>
      <c r="I108" s="283"/>
      <c r="J108" s="283"/>
    </row>
    <row r="109" spans="1:10" ht="32.25" customHeight="1" x14ac:dyDescent="0.25">
      <c r="A109" s="931" t="s">
        <v>252</v>
      </c>
      <c r="B109" s="932"/>
      <c r="C109" s="932"/>
      <c r="D109" s="932"/>
      <c r="E109" s="932"/>
      <c r="F109" s="932"/>
      <c r="G109" s="932"/>
      <c r="H109" s="933"/>
      <c r="I109" s="283"/>
      <c r="J109" s="283"/>
    </row>
    <row r="110" spans="1:10" ht="26.25" x14ac:dyDescent="0.25">
      <c r="A110" s="286" t="s">
        <v>10</v>
      </c>
      <c r="B110" s="271"/>
      <c r="C110" s="271"/>
      <c r="D110" s="271"/>
      <c r="E110" s="287"/>
      <c r="F110" s="270"/>
      <c r="G110" s="271"/>
      <c r="H110" s="291"/>
      <c r="I110" s="283"/>
      <c r="J110" s="283"/>
    </row>
    <row r="111" spans="1:10" x14ac:dyDescent="0.25">
      <c r="A111" s="90" t="s">
        <v>82</v>
      </c>
      <c r="B111" s="272">
        <v>0.5</v>
      </c>
      <c r="C111" s="272">
        <v>770</v>
      </c>
      <c r="D111" s="272">
        <v>46.2</v>
      </c>
      <c r="E111" s="288">
        <f t="shared" ref="E111:E112" si="87">C111+D111</f>
        <v>816.2</v>
      </c>
      <c r="F111" s="292">
        <f t="shared" ref="F111:F112" si="88">E111*0.2</f>
        <v>163.24</v>
      </c>
      <c r="G111" s="282">
        <f t="shared" ref="G111:G112" si="89">B111*12*F111</f>
        <v>979.44</v>
      </c>
      <c r="H111" s="293">
        <f t="shared" ref="H111:H112" si="90">G111*1.2409</f>
        <v>1215.3870959999999</v>
      </c>
      <c r="I111" s="283"/>
      <c r="J111" s="283"/>
    </row>
    <row r="112" spans="1:10" x14ac:dyDescent="0.25">
      <c r="A112" s="90" t="s">
        <v>83</v>
      </c>
      <c r="B112" s="272">
        <v>0.25</v>
      </c>
      <c r="C112" s="272">
        <v>1050</v>
      </c>
      <c r="D112" s="272">
        <v>220.5</v>
      </c>
      <c r="E112" s="288">
        <f t="shared" si="87"/>
        <v>1270.5</v>
      </c>
      <c r="F112" s="292">
        <f t="shared" si="88"/>
        <v>254.10000000000002</v>
      </c>
      <c r="G112" s="282">
        <f t="shared" si="89"/>
        <v>762.30000000000007</v>
      </c>
      <c r="H112" s="293">
        <f t="shared" si="90"/>
        <v>945.93807000000004</v>
      </c>
      <c r="I112" s="283"/>
      <c r="J112" s="283"/>
    </row>
    <row r="113" spans="1:10" x14ac:dyDescent="0.25">
      <c r="A113" s="279" t="s">
        <v>54</v>
      </c>
      <c r="B113" s="300">
        <f>B112+B111</f>
        <v>0.75</v>
      </c>
      <c r="C113" s="281"/>
      <c r="D113" s="281"/>
      <c r="E113" s="290"/>
      <c r="F113" s="296">
        <f t="shared" ref="F113:H113" si="91">F112+F111</f>
        <v>417.34000000000003</v>
      </c>
      <c r="G113" s="285">
        <f t="shared" si="91"/>
        <v>1741.7400000000002</v>
      </c>
      <c r="H113" s="297">
        <f t="shared" si="91"/>
        <v>2161.3251660000001</v>
      </c>
      <c r="I113" s="283"/>
      <c r="J113" s="283"/>
    </row>
    <row r="114" spans="1:10" ht="27.75" customHeight="1" x14ac:dyDescent="0.25">
      <c r="A114" s="931" t="s">
        <v>84</v>
      </c>
      <c r="B114" s="932"/>
      <c r="C114" s="932"/>
      <c r="D114" s="932"/>
      <c r="E114" s="932"/>
      <c r="F114" s="932"/>
      <c r="G114" s="932"/>
      <c r="H114" s="933"/>
      <c r="I114" s="283"/>
      <c r="J114" s="283"/>
    </row>
    <row r="115" spans="1:10" x14ac:dyDescent="0.25">
      <c r="A115" s="286" t="s">
        <v>20</v>
      </c>
      <c r="B115" s="271"/>
      <c r="C115" s="271"/>
      <c r="D115" s="271"/>
      <c r="E115" s="287"/>
      <c r="F115" s="270"/>
      <c r="G115" s="271"/>
      <c r="H115" s="291"/>
      <c r="I115" s="283"/>
      <c r="J115" s="283"/>
    </row>
    <row r="116" spans="1:10" x14ac:dyDescent="0.25">
      <c r="A116" s="90" t="s">
        <v>2</v>
      </c>
      <c r="B116" s="272">
        <v>0.5</v>
      </c>
      <c r="C116" s="272">
        <v>480</v>
      </c>
      <c r="D116" s="272">
        <v>0</v>
      </c>
      <c r="E116" s="288">
        <f t="shared" ref="E116:E117" si="92">C116+D116</f>
        <v>480</v>
      </c>
      <c r="F116" s="292">
        <f t="shared" ref="F116:F117" si="93">E116*0.2</f>
        <v>96</v>
      </c>
      <c r="G116" s="282">
        <f t="shared" ref="G116:G117" si="94">B116*12*F116</f>
        <v>576</v>
      </c>
      <c r="H116" s="293">
        <f t="shared" ref="H116:H117" si="95">G116*1.2409</f>
        <v>714.75839999999994</v>
      </c>
      <c r="I116" s="283"/>
      <c r="J116" s="283"/>
    </row>
    <row r="117" spans="1:10" ht="26.25" x14ac:dyDescent="0.25">
      <c r="A117" s="301" t="s">
        <v>85</v>
      </c>
      <c r="B117" s="272">
        <v>0.1</v>
      </c>
      <c r="C117" s="272">
        <v>2288</v>
      </c>
      <c r="D117" s="272">
        <v>0</v>
      </c>
      <c r="E117" s="288">
        <f t="shared" si="92"/>
        <v>2288</v>
      </c>
      <c r="F117" s="292">
        <f t="shared" si="93"/>
        <v>457.6</v>
      </c>
      <c r="G117" s="282">
        <f t="shared" si="94"/>
        <v>549.12000000000012</v>
      </c>
      <c r="H117" s="293">
        <f t="shared" si="95"/>
        <v>681.40300800000011</v>
      </c>
      <c r="I117" s="283"/>
      <c r="J117" s="283"/>
    </row>
    <row r="118" spans="1:10" ht="26.25" x14ac:dyDescent="0.25">
      <c r="A118" s="286" t="s">
        <v>10</v>
      </c>
      <c r="B118" s="271"/>
      <c r="C118" s="271"/>
      <c r="D118" s="271"/>
      <c r="E118" s="287"/>
      <c r="F118" s="270"/>
      <c r="G118" s="271"/>
      <c r="H118" s="291"/>
      <c r="I118" s="283"/>
      <c r="J118" s="283"/>
    </row>
    <row r="119" spans="1:10" x14ac:dyDescent="0.25">
      <c r="A119" s="90" t="s">
        <v>12</v>
      </c>
      <c r="B119" s="272">
        <v>1</v>
      </c>
      <c r="C119" s="272">
        <v>550</v>
      </c>
      <c r="D119" s="272">
        <v>0</v>
      </c>
      <c r="E119" s="288">
        <f t="shared" ref="E119:E124" si="96">C119+D119</f>
        <v>550</v>
      </c>
      <c r="F119" s="292">
        <f t="shared" ref="F119:F124" si="97">E119*0.2</f>
        <v>110</v>
      </c>
      <c r="G119" s="282">
        <f t="shared" ref="G119:G124" si="98">B119*12*F119</f>
        <v>1320</v>
      </c>
      <c r="H119" s="293">
        <f t="shared" ref="H119:H123" si="99">G119*1.2409</f>
        <v>1637.9879999999998</v>
      </c>
      <c r="I119" s="283"/>
      <c r="J119" s="283"/>
    </row>
    <row r="120" spans="1:10" x14ac:dyDescent="0.25">
      <c r="A120" s="90" t="s">
        <v>12</v>
      </c>
      <c r="B120" s="272">
        <v>0.15</v>
      </c>
      <c r="C120" s="272">
        <v>1289</v>
      </c>
      <c r="D120" s="272">
        <v>0</v>
      </c>
      <c r="E120" s="288">
        <f t="shared" si="96"/>
        <v>1289</v>
      </c>
      <c r="F120" s="292">
        <f t="shared" si="97"/>
        <v>257.8</v>
      </c>
      <c r="G120" s="282">
        <f t="shared" si="98"/>
        <v>464.03999999999996</v>
      </c>
      <c r="H120" s="293">
        <f t="shared" si="99"/>
        <v>575.82723599999986</v>
      </c>
      <c r="I120" s="283"/>
      <c r="J120" s="283"/>
    </row>
    <row r="121" spans="1:10" x14ac:dyDescent="0.25">
      <c r="A121" s="90" t="s">
        <v>32</v>
      </c>
      <c r="B121" s="272">
        <v>0.5</v>
      </c>
      <c r="C121" s="272">
        <v>820</v>
      </c>
      <c r="D121" s="272">
        <v>0</v>
      </c>
      <c r="E121" s="288">
        <f t="shared" si="96"/>
        <v>820</v>
      </c>
      <c r="F121" s="292">
        <f t="shared" si="97"/>
        <v>164</v>
      </c>
      <c r="G121" s="282">
        <f t="shared" si="98"/>
        <v>984</v>
      </c>
      <c r="H121" s="293">
        <f t="shared" si="99"/>
        <v>1221.0455999999999</v>
      </c>
      <c r="I121" s="283"/>
      <c r="J121" s="283"/>
    </row>
    <row r="122" spans="1:10" x14ac:dyDescent="0.25">
      <c r="A122" s="90" t="s">
        <v>25</v>
      </c>
      <c r="B122" s="272">
        <v>0.4</v>
      </c>
      <c r="C122" s="272">
        <v>645</v>
      </c>
      <c r="D122" s="272">
        <v>0</v>
      </c>
      <c r="E122" s="288">
        <f t="shared" si="96"/>
        <v>645</v>
      </c>
      <c r="F122" s="292">
        <f t="shared" si="97"/>
        <v>129</v>
      </c>
      <c r="G122" s="282">
        <f t="shared" si="98"/>
        <v>619.20000000000005</v>
      </c>
      <c r="H122" s="293">
        <f t="shared" si="99"/>
        <v>768.36527999999998</v>
      </c>
      <c r="I122" s="283"/>
      <c r="J122" s="283"/>
    </row>
    <row r="123" spans="1:10" x14ac:dyDescent="0.25">
      <c r="A123" s="90" t="s">
        <v>25</v>
      </c>
      <c r="B123" s="272">
        <v>1</v>
      </c>
      <c r="C123" s="272">
        <v>587</v>
      </c>
      <c r="D123" s="272">
        <v>176.1</v>
      </c>
      <c r="E123" s="288">
        <f t="shared" si="96"/>
        <v>763.1</v>
      </c>
      <c r="F123" s="292">
        <f t="shared" si="97"/>
        <v>152.62</v>
      </c>
      <c r="G123" s="282">
        <f t="shared" si="98"/>
        <v>1831.44</v>
      </c>
      <c r="H123" s="293">
        <f t="shared" si="99"/>
        <v>2272.6338959999998</v>
      </c>
      <c r="I123" s="283"/>
      <c r="J123" s="283"/>
    </row>
    <row r="124" spans="1:10" x14ac:dyDescent="0.25">
      <c r="A124" s="299" t="s">
        <v>25</v>
      </c>
      <c r="B124" s="272">
        <v>0.25</v>
      </c>
      <c r="C124" s="272">
        <v>1000</v>
      </c>
      <c r="D124" s="272">
        <v>0</v>
      </c>
      <c r="E124" s="288">
        <f t="shared" si="96"/>
        <v>1000</v>
      </c>
      <c r="F124" s="292">
        <f t="shared" si="97"/>
        <v>200</v>
      </c>
      <c r="G124" s="282">
        <f t="shared" si="98"/>
        <v>600</v>
      </c>
      <c r="H124" s="293">
        <f>G124*1.2409</f>
        <v>744.54</v>
      </c>
      <c r="I124" s="283"/>
      <c r="J124" s="283"/>
    </row>
    <row r="125" spans="1:10" x14ac:dyDescent="0.25">
      <c r="A125" s="279" t="s">
        <v>54</v>
      </c>
      <c r="B125" s="300">
        <f>B124+B123+B122+B121+B120+B119+B117+B116</f>
        <v>3.9</v>
      </c>
      <c r="C125" s="281"/>
      <c r="D125" s="281"/>
      <c r="E125" s="290"/>
      <c r="F125" s="296">
        <f t="shared" ref="F125" si="100">F124+F123+F122+F121+F120+F119+F117+F116</f>
        <v>1567.02</v>
      </c>
      <c r="G125" s="285">
        <f>G124+G123+G122+G121+G120+G119+G117+G116</f>
        <v>6943.8</v>
      </c>
      <c r="H125" s="297">
        <f>H124+H123+H122+H121+H120+H119+H117+H116</f>
        <v>8616.56142</v>
      </c>
      <c r="I125" s="283"/>
      <c r="J125" s="283"/>
    </row>
    <row r="126" spans="1:10" ht="31.5" customHeight="1" x14ac:dyDescent="0.25">
      <c r="A126" s="931" t="s">
        <v>86</v>
      </c>
      <c r="B126" s="932"/>
      <c r="C126" s="932"/>
      <c r="D126" s="932"/>
      <c r="E126" s="932"/>
      <c r="F126" s="932"/>
      <c r="G126" s="932"/>
      <c r="H126" s="933"/>
      <c r="I126" s="283"/>
      <c r="J126" s="283"/>
    </row>
    <row r="127" spans="1:10" x14ac:dyDescent="0.25">
      <c r="A127" s="286" t="s">
        <v>20</v>
      </c>
      <c r="B127" s="271"/>
      <c r="C127" s="271"/>
      <c r="D127" s="271"/>
      <c r="E127" s="287"/>
      <c r="F127" s="270"/>
      <c r="G127" s="271"/>
      <c r="H127" s="291"/>
      <c r="I127" s="283"/>
      <c r="J127" s="283"/>
    </row>
    <row r="128" spans="1:10" x14ac:dyDescent="0.25">
      <c r="A128" s="90" t="s">
        <v>87</v>
      </c>
      <c r="B128" s="272">
        <v>3.05</v>
      </c>
      <c r="C128" s="272">
        <v>1200</v>
      </c>
      <c r="D128" s="272">
        <v>0</v>
      </c>
      <c r="E128" s="288">
        <f t="shared" ref="E128" si="101">C128+D128</f>
        <v>1200</v>
      </c>
      <c r="F128" s="292">
        <f>E128*0.2</f>
        <v>240</v>
      </c>
      <c r="G128" s="282">
        <f>B128*12*F128</f>
        <v>8783.9999999999982</v>
      </c>
      <c r="H128" s="293">
        <f>G128*1.2409</f>
        <v>10900.065599999996</v>
      </c>
      <c r="I128" s="283"/>
      <c r="J128" s="283"/>
    </row>
    <row r="129" spans="1:10" x14ac:dyDescent="0.25">
      <c r="A129" s="279" t="s">
        <v>54</v>
      </c>
      <c r="B129" s="300">
        <f>B128</f>
        <v>3.05</v>
      </c>
      <c r="C129" s="281"/>
      <c r="D129" s="281"/>
      <c r="E129" s="290"/>
      <c r="F129" s="296">
        <f>F128</f>
        <v>240</v>
      </c>
      <c r="G129" s="285">
        <f>G128</f>
        <v>8783.9999999999982</v>
      </c>
      <c r="H129" s="297">
        <f>H128</f>
        <v>10900.065599999996</v>
      </c>
      <c r="I129" s="283"/>
      <c r="J129" s="283"/>
    </row>
    <row r="130" spans="1:10" ht="33" customHeight="1" x14ac:dyDescent="0.25">
      <c r="A130" s="931" t="s">
        <v>88</v>
      </c>
      <c r="B130" s="932"/>
      <c r="C130" s="932"/>
      <c r="D130" s="932"/>
      <c r="E130" s="932"/>
      <c r="F130" s="932"/>
      <c r="G130" s="932"/>
      <c r="H130" s="933"/>
      <c r="I130" s="283"/>
      <c r="J130" s="283"/>
    </row>
    <row r="131" spans="1:10" x14ac:dyDescent="0.25">
      <c r="A131" s="286" t="s">
        <v>20</v>
      </c>
      <c r="B131" s="271"/>
      <c r="C131" s="271"/>
      <c r="D131" s="271"/>
      <c r="E131" s="287"/>
      <c r="F131" s="270"/>
      <c r="G131" s="271"/>
      <c r="H131" s="291"/>
      <c r="I131" s="283"/>
      <c r="J131" s="283"/>
    </row>
    <row r="132" spans="1:10" ht="51.75" x14ac:dyDescent="0.25">
      <c r="A132" s="301" t="s">
        <v>89</v>
      </c>
      <c r="B132" s="272">
        <v>0.25</v>
      </c>
      <c r="C132" s="272">
        <v>1855</v>
      </c>
      <c r="D132" s="272">
        <v>0</v>
      </c>
      <c r="E132" s="288">
        <f t="shared" ref="E132:E145" si="102">C132+D132</f>
        <v>1855</v>
      </c>
      <c r="F132" s="292">
        <f t="shared" ref="F132:F145" si="103">E132*0.2</f>
        <v>371</v>
      </c>
      <c r="G132" s="282">
        <f t="shared" ref="G132:G145" si="104">B132*12*F132</f>
        <v>1113</v>
      </c>
      <c r="H132" s="293">
        <f t="shared" ref="H132:H145" si="105">G132*1.2409</f>
        <v>1381.1216999999999</v>
      </c>
      <c r="I132" s="283"/>
      <c r="J132" s="283"/>
    </row>
    <row r="133" spans="1:10" x14ac:dyDescent="0.25">
      <c r="A133" s="90" t="s">
        <v>90</v>
      </c>
      <c r="B133" s="272">
        <v>0.75</v>
      </c>
      <c r="C133" s="272">
        <v>1250</v>
      </c>
      <c r="D133" s="272">
        <v>0</v>
      </c>
      <c r="E133" s="288">
        <f t="shared" si="102"/>
        <v>1250</v>
      </c>
      <c r="F133" s="292">
        <f t="shared" si="103"/>
        <v>250</v>
      </c>
      <c r="G133" s="282">
        <f t="shared" si="104"/>
        <v>2250</v>
      </c>
      <c r="H133" s="293">
        <f t="shared" si="105"/>
        <v>2792.0249999999996</v>
      </c>
      <c r="I133" s="283"/>
      <c r="J133" s="283"/>
    </row>
    <row r="134" spans="1:10" x14ac:dyDescent="0.25">
      <c r="A134" s="90" t="s">
        <v>91</v>
      </c>
      <c r="B134" s="272">
        <v>0.25</v>
      </c>
      <c r="C134" s="272">
        <v>1150</v>
      </c>
      <c r="D134" s="272">
        <v>0</v>
      </c>
      <c r="E134" s="288">
        <f t="shared" si="102"/>
        <v>1150</v>
      </c>
      <c r="F134" s="292">
        <f t="shared" si="103"/>
        <v>230</v>
      </c>
      <c r="G134" s="282">
        <f t="shared" si="104"/>
        <v>690</v>
      </c>
      <c r="H134" s="293">
        <f t="shared" si="105"/>
        <v>856.22099999999989</v>
      </c>
      <c r="I134" s="283"/>
      <c r="J134" s="283"/>
    </row>
    <row r="135" spans="1:10" x14ac:dyDescent="0.25">
      <c r="A135" s="90" t="s">
        <v>92</v>
      </c>
      <c r="B135" s="272">
        <v>1</v>
      </c>
      <c r="C135" s="272">
        <v>1225</v>
      </c>
      <c r="D135" s="272">
        <v>0</v>
      </c>
      <c r="E135" s="288">
        <f t="shared" si="102"/>
        <v>1225</v>
      </c>
      <c r="F135" s="292">
        <f t="shared" si="103"/>
        <v>245</v>
      </c>
      <c r="G135" s="282">
        <f t="shared" si="104"/>
        <v>2940</v>
      </c>
      <c r="H135" s="293">
        <f t="shared" si="105"/>
        <v>3648.2459999999996</v>
      </c>
      <c r="I135" s="283"/>
      <c r="J135" s="283"/>
    </row>
    <row r="136" spans="1:10" x14ac:dyDescent="0.25">
      <c r="A136" s="90" t="s">
        <v>93</v>
      </c>
      <c r="B136" s="272">
        <v>1</v>
      </c>
      <c r="C136" s="272">
        <v>1100</v>
      </c>
      <c r="D136" s="272">
        <v>0</v>
      </c>
      <c r="E136" s="288">
        <f t="shared" si="102"/>
        <v>1100</v>
      </c>
      <c r="F136" s="292">
        <f t="shared" si="103"/>
        <v>220</v>
      </c>
      <c r="G136" s="282">
        <f t="shared" si="104"/>
        <v>2640</v>
      </c>
      <c r="H136" s="293">
        <f t="shared" si="105"/>
        <v>3275.9759999999997</v>
      </c>
      <c r="I136" s="283"/>
      <c r="J136" s="283"/>
    </row>
    <row r="137" spans="1:10" x14ac:dyDescent="0.25">
      <c r="A137" s="90" t="s">
        <v>94</v>
      </c>
      <c r="B137" s="272">
        <v>1</v>
      </c>
      <c r="C137" s="272">
        <v>1000</v>
      </c>
      <c r="D137" s="272">
        <v>0</v>
      </c>
      <c r="E137" s="288">
        <f t="shared" si="102"/>
        <v>1000</v>
      </c>
      <c r="F137" s="292">
        <f t="shared" si="103"/>
        <v>200</v>
      </c>
      <c r="G137" s="282">
        <f t="shared" si="104"/>
        <v>2400</v>
      </c>
      <c r="H137" s="293">
        <f t="shared" si="105"/>
        <v>2978.16</v>
      </c>
      <c r="I137" s="283"/>
      <c r="J137" s="283"/>
    </row>
    <row r="138" spans="1:10" x14ac:dyDescent="0.25">
      <c r="A138" s="90" t="s">
        <v>95</v>
      </c>
      <c r="B138" s="272">
        <v>1</v>
      </c>
      <c r="C138" s="272">
        <v>900</v>
      </c>
      <c r="D138" s="272">
        <v>0</v>
      </c>
      <c r="E138" s="288">
        <f t="shared" si="102"/>
        <v>900</v>
      </c>
      <c r="F138" s="292">
        <f t="shared" si="103"/>
        <v>180</v>
      </c>
      <c r="G138" s="282">
        <f t="shared" si="104"/>
        <v>2160</v>
      </c>
      <c r="H138" s="293">
        <f t="shared" si="105"/>
        <v>2680.3439999999996</v>
      </c>
      <c r="I138" s="283"/>
      <c r="J138" s="283"/>
    </row>
    <row r="139" spans="1:10" x14ac:dyDescent="0.25">
      <c r="A139" s="90" t="s">
        <v>96</v>
      </c>
      <c r="B139" s="272">
        <v>1</v>
      </c>
      <c r="C139" s="272">
        <v>1100</v>
      </c>
      <c r="D139" s="272">
        <v>0</v>
      </c>
      <c r="E139" s="288">
        <f t="shared" si="102"/>
        <v>1100</v>
      </c>
      <c r="F139" s="292">
        <f t="shared" si="103"/>
        <v>220</v>
      </c>
      <c r="G139" s="282">
        <f t="shared" si="104"/>
        <v>2640</v>
      </c>
      <c r="H139" s="293">
        <f t="shared" si="105"/>
        <v>3275.9759999999997</v>
      </c>
      <c r="I139" s="283"/>
      <c r="J139" s="283"/>
    </row>
    <row r="140" spans="1:10" x14ac:dyDescent="0.25">
      <c r="A140" s="90" t="s">
        <v>96</v>
      </c>
      <c r="B140" s="272">
        <v>1</v>
      </c>
      <c r="C140" s="272">
        <v>1050</v>
      </c>
      <c r="D140" s="272">
        <v>0</v>
      </c>
      <c r="E140" s="288">
        <f t="shared" si="102"/>
        <v>1050</v>
      </c>
      <c r="F140" s="292">
        <f t="shared" si="103"/>
        <v>210</v>
      </c>
      <c r="G140" s="282">
        <f t="shared" si="104"/>
        <v>2520</v>
      </c>
      <c r="H140" s="293">
        <f t="shared" si="105"/>
        <v>3127.0679999999998</v>
      </c>
      <c r="I140" s="283"/>
      <c r="J140" s="283"/>
    </row>
    <row r="141" spans="1:10" x14ac:dyDescent="0.25">
      <c r="A141" s="90" t="s">
        <v>97</v>
      </c>
      <c r="B141" s="272">
        <v>2</v>
      </c>
      <c r="C141" s="272">
        <v>1000</v>
      </c>
      <c r="D141" s="272">
        <v>0</v>
      </c>
      <c r="E141" s="288">
        <f t="shared" si="102"/>
        <v>1000</v>
      </c>
      <c r="F141" s="292">
        <f t="shared" si="103"/>
        <v>200</v>
      </c>
      <c r="G141" s="282">
        <f t="shared" si="104"/>
        <v>4800</v>
      </c>
      <c r="H141" s="293">
        <f t="shared" si="105"/>
        <v>5956.32</v>
      </c>
      <c r="I141" s="283"/>
      <c r="J141" s="283"/>
    </row>
    <row r="142" spans="1:10" x14ac:dyDescent="0.25">
      <c r="A142" s="90" t="s">
        <v>98</v>
      </c>
      <c r="B142" s="272">
        <v>2</v>
      </c>
      <c r="C142" s="272">
        <v>900</v>
      </c>
      <c r="D142" s="272">
        <v>0</v>
      </c>
      <c r="E142" s="288">
        <f t="shared" si="102"/>
        <v>900</v>
      </c>
      <c r="F142" s="292">
        <f t="shared" si="103"/>
        <v>180</v>
      </c>
      <c r="G142" s="282">
        <f t="shared" si="104"/>
        <v>4320</v>
      </c>
      <c r="H142" s="293">
        <f t="shared" si="105"/>
        <v>5360.6879999999992</v>
      </c>
      <c r="I142" s="283"/>
      <c r="J142" s="283"/>
    </row>
    <row r="143" spans="1:10" x14ac:dyDescent="0.25">
      <c r="A143" s="90" t="s">
        <v>99</v>
      </c>
      <c r="B143" s="272">
        <v>1</v>
      </c>
      <c r="C143" s="272">
        <v>900</v>
      </c>
      <c r="D143" s="272">
        <v>0</v>
      </c>
      <c r="E143" s="288">
        <f t="shared" si="102"/>
        <v>900</v>
      </c>
      <c r="F143" s="292">
        <f t="shared" si="103"/>
        <v>180</v>
      </c>
      <c r="G143" s="282">
        <f t="shared" si="104"/>
        <v>2160</v>
      </c>
      <c r="H143" s="293">
        <f t="shared" si="105"/>
        <v>2680.3439999999996</v>
      </c>
      <c r="I143" s="283"/>
      <c r="J143" s="283"/>
    </row>
    <row r="144" spans="1:10" x14ac:dyDescent="0.25">
      <c r="A144" s="90" t="s">
        <v>100</v>
      </c>
      <c r="B144" s="272">
        <v>1</v>
      </c>
      <c r="C144" s="272">
        <v>1100</v>
      </c>
      <c r="D144" s="272">
        <v>0</v>
      </c>
      <c r="E144" s="288">
        <f t="shared" si="102"/>
        <v>1100</v>
      </c>
      <c r="F144" s="292">
        <f t="shared" si="103"/>
        <v>220</v>
      </c>
      <c r="G144" s="282">
        <f t="shared" si="104"/>
        <v>2640</v>
      </c>
      <c r="H144" s="293">
        <f t="shared" si="105"/>
        <v>3275.9759999999997</v>
      </c>
      <c r="I144" s="283"/>
      <c r="J144" s="283"/>
    </row>
    <row r="145" spans="1:10" x14ac:dyDescent="0.25">
      <c r="A145" s="299" t="s">
        <v>101</v>
      </c>
      <c r="B145" s="272">
        <v>1</v>
      </c>
      <c r="C145" s="272">
        <v>1000</v>
      </c>
      <c r="D145" s="272">
        <v>0</v>
      </c>
      <c r="E145" s="288">
        <f t="shared" si="102"/>
        <v>1000</v>
      </c>
      <c r="F145" s="292">
        <f t="shared" si="103"/>
        <v>200</v>
      </c>
      <c r="G145" s="282">
        <f t="shared" si="104"/>
        <v>2400</v>
      </c>
      <c r="H145" s="293">
        <f t="shared" si="105"/>
        <v>2978.16</v>
      </c>
      <c r="I145" s="283"/>
      <c r="J145" s="283"/>
    </row>
    <row r="146" spans="1:10" x14ac:dyDescent="0.25">
      <c r="A146" s="279" t="s">
        <v>54</v>
      </c>
      <c r="B146" s="300">
        <f>SUM(B132:B145)</f>
        <v>14.25</v>
      </c>
      <c r="C146" s="281"/>
      <c r="D146" s="281"/>
      <c r="E146" s="290"/>
      <c r="F146" s="296">
        <f t="shared" ref="F146:H146" si="106">SUM(F132:F145)</f>
        <v>3106</v>
      </c>
      <c r="G146" s="285">
        <f t="shared" si="106"/>
        <v>35673</v>
      </c>
      <c r="H146" s="297">
        <f t="shared" si="106"/>
        <v>44266.62569999999</v>
      </c>
      <c r="I146" s="283"/>
      <c r="J146" s="283"/>
    </row>
    <row r="147" spans="1:10" ht="71.25" customHeight="1" x14ac:dyDescent="0.25">
      <c r="A147" s="931" t="s">
        <v>102</v>
      </c>
      <c r="B147" s="932"/>
      <c r="C147" s="932"/>
      <c r="D147" s="932"/>
      <c r="E147" s="932"/>
      <c r="F147" s="932"/>
      <c r="G147" s="932"/>
      <c r="H147" s="933"/>
      <c r="I147" s="283"/>
      <c r="J147" s="283"/>
    </row>
    <row r="148" spans="1:10" x14ac:dyDescent="0.25">
      <c r="A148" s="286" t="s">
        <v>20</v>
      </c>
      <c r="B148" s="271"/>
      <c r="C148" s="271"/>
      <c r="D148" s="271"/>
      <c r="E148" s="287"/>
      <c r="F148" s="270"/>
      <c r="G148" s="271"/>
      <c r="H148" s="291"/>
      <c r="I148" s="283"/>
      <c r="J148" s="283"/>
    </row>
    <row r="149" spans="1:10" x14ac:dyDescent="0.25">
      <c r="A149" s="90" t="s">
        <v>103</v>
      </c>
      <c r="B149" s="272">
        <v>0.2</v>
      </c>
      <c r="C149" s="272">
        <v>1490.52</v>
      </c>
      <c r="D149" s="272">
        <v>207.85</v>
      </c>
      <c r="E149" s="288">
        <f t="shared" ref="E149" si="107">C149+D149</f>
        <v>1698.37</v>
      </c>
      <c r="F149" s="292">
        <f t="shared" ref="F149" si="108">E149*0.2</f>
        <v>339.67399999999998</v>
      </c>
      <c r="G149" s="282">
        <f t="shared" ref="G149" si="109">B149*12*F149</f>
        <v>815.21760000000006</v>
      </c>
      <c r="H149" s="293">
        <f t="shared" ref="H149" si="110">G149*1.2409</f>
        <v>1011.60351984</v>
      </c>
      <c r="I149" s="283"/>
      <c r="J149" s="283"/>
    </row>
    <row r="150" spans="1:10" ht="26.25" x14ac:dyDescent="0.25">
      <c r="A150" s="286" t="s">
        <v>10</v>
      </c>
      <c r="B150" s="271"/>
      <c r="C150" s="271"/>
      <c r="D150" s="271"/>
      <c r="E150" s="287"/>
      <c r="F150" s="270"/>
      <c r="G150" s="271"/>
      <c r="H150" s="291"/>
      <c r="I150" s="283"/>
      <c r="J150" s="283"/>
    </row>
    <row r="151" spans="1:10" x14ac:dyDescent="0.25">
      <c r="A151" s="90" t="s">
        <v>104</v>
      </c>
      <c r="B151" s="272">
        <v>0.2</v>
      </c>
      <c r="C151" s="272">
        <v>773.81</v>
      </c>
      <c r="D151" s="272">
        <v>135.46</v>
      </c>
      <c r="E151" s="288">
        <f t="shared" ref="E151" si="111">C151+D151</f>
        <v>909.27</v>
      </c>
      <c r="F151" s="292">
        <f t="shared" ref="F151" si="112">E151*0.2</f>
        <v>181.85400000000001</v>
      </c>
      <c r="G151" s="282">
        <f t="shared" ref="G151" si="113">B151*12*F151</f>
        <v>436.44960000000009</v>
      </c>
      <c r="H151" s="293">
        <f t="shared" ref="H151" si="114">G151*1.2409</f>
        <v>541.5903086400001</v>
      </c>
      <c r="I151" s="283"/>
      <c r="J151" s="283"/>
    </row>
    <row r="152" spans="1:10" x14ac:dyDescent="0.25">
      <c r="A152" s="279" t="s">
        <v>54</v>
      </c>
      <c r="B152" s="300">
        <f>B151+B149</f>
        <v>0.4</v>
      </c>
      <c r="C152" s="281"/>
      <c r="D152" s="281"/>
      <c r="E152" s="290"/>
      <c r="F152" s="296">
        <f t="shared" ref="F152:H152" si="115">F151+F149</f>
        <v>521.52800000000002</v>
      </c>
      <c r="G152" s="285">
        <f t="shared" si="115"/>
        <v>1251.6672000000001</v>
      </c>
      <c r="H152" s="297">
        <f t="shared" si="115"/>
        <v>1553.1938284800001</v>
      </c>
      <c r="I152" s="283"/>
      <c r="J152" s="283"/>
    </row>
    <row r="153" spans="1:10" ht="6" customHeight="1" thickBot="1" x14ac:dyDescent="0.3">
      <c r="F153" s="283"/>
      <c r="G153" s="283"/>
      <c r="H153" s="283"/>
      <c r="I153" s="283"/>
      <c r="J153" s="283"/>
    </row>
    <row r="154" spans="1:10" ht="15.75" thickBot="1" x14ac:dyDescent="0.3">
      <c r="A154" s="302" t="s">
        <v>105</v>
      </c>
      <c r="B154" s="303">
        <f>B13+B22+B31+B45+B52+B61+B69+B80+B94+B108+B113+B125+B129+B146+B152+B102</f>
        <v>119.27500000000001</v>
      </c>
      <c r="C154" s="304"/>
      <c r="D154" s="304"/>
      <c r="E154" s="305"/>
      <c r="F154" s="306">
        <f t="shared" ref="F154:H154" si="116">F13+F22+F31+F45+F52+F61+F69+F80+F94+F108+F113+F125+F129+F146+F152+F102</f>
        <v>15709.604000000003</v>
      </c>
      <c r="G154" s="307">
        <f t="shared" si="116"/>
        <v>235171.8144</v>
      </c>
      <c r="H154" s="308">
        <f t="shared" si="116"/>
        <v>291824.70448896004</v>
      </c>
      <c r="I154" s="283"/>
      <c r="J154" s="283"/>
    </row>
    <row r="155" spans="1:10" x14ac:dyDescent="0.25">
      <c r="F155" s="283"/>
      <c r="G155" s="283"/>
      <c r="H155" s="283"/>
      <c r="I155" s="283"/>
      <c r="J155" s="283"/>
    </row>
    <row r="156" spans="1:10" x14ac:dyDescent="0.25">
      <c r="B156" s="309"/>
      <c r="F156" s="283"/>
      <c r="G156" s="283"/>
      <c r="H156" s="283"/>
      <c r="I156" s="283"/>
      <c r="J156" s="283"/>
    </row>
    <row r="157" spans="1:10" x14ac:dyDescent="0.25">
      <c r="F157" s="283"/>
      <c r="G157" s="283"/>
      <c r="H157" s="283"/>
      <c r="I157" s="283"/>
      <c r="J157" s="283"/>
    </row>
    <row r="158" spans="1:10" x14ac:dyDescent="0.25">
      <c r="F158" s="283"/>
      <c r="G158" s="283"/>
      <c r="H158" s="283"/>
      <c r="I158" s="283"/>
      <c r="J158" s="283"/>
    </row>
    <row r="159" spans="1:10" x14ac:dyDescent="0.25">
      <c r="F159" s="283"/>
      <c r="G159" s="283"/>
      <c r="H159" s="283"/>
      <c r="I159" s="283"/>
      <c r="J159" s="283"/>
    </row>
    <row r="160" spans="1:10" x14ac:dyDescent="0.25">
      <c r="F160" s="283"/>
      <c r="G160" s="283"/>
      <c r="H160" s="283"/>
      <c r="I160" s="283"/>
      <c r="J160" s="283"/>
    </row>
    <row r="161" spans="6:10" x14ac:dyDescent="0.25">
      <c r="F161" s="283"/>
      <c r="G161" s="283"/>
      <c r="H161" s="283"/>
      <c r="I161" s="283"/>
      <c r="J161" s="283"/>
    </row>
    <row r="162" spans="6:10" x14ac:dyDescent="0.25">
      <c r="F162" s="283"/>
      <c r="G162" s="283"/>
      <c r="H162" s="283"/>
      <c r="I162" s="283"/>
      <c r="J162" s="283"/>
    </row>
    <row r="163" spans="6:10" x14ac:dyDescent="0.25">
      <c r="F163" s="283"/>
      <c r="G163" s="283"/>
      <c r="H163" s="283"/>
      <c r="I163" s="283"/>
      <c r="J163" s="283"/>
    </row>
    <row r="164" spans="6:10" x14ac:dyDescent="0.25">
      <c r="F164" s="283"/>
      <c r="G164" s="283"/>
      <c r="H164" s="283"/>
      <c r="I164" s="283"/>
      <c r="J164" s="283"/>
    </row>
    <row r="165" spans="6:10" x14ac:dyDescent="0.25">
      <c r="F165" s="283"/>
      <c r="G165" s="283"/>
      <c r="H165" s="283"/>
      <c r="I165" s="283"/>
      <c r="J165" s="283"/>
    </row>
    <row r="166" spans="6:10" x14ac:dyDescent="0.25">
      <c r="F166" s="283"/>
      <c r="G166" s="283"/>
      <c r="H166" s="283"/>
      <c r="I166" s="283"/>
      <c r="J166" s="283"/>
    </row>
    <row r="167" spans="6:10" x14ac:dyDescent="0.25">
      <c r="F167" s="283"/>
      <c r="G167" s="283"/>
      <c r="H167" s="283"/>
      <c r="I167" s="283"/>
      <c r="J167" s="283"/>
    </row>
    <row r="168" spans="6:10" x14ac:dyDescent="0.25">
      <c r="F168" s="283"/>
      <c r="G168" s="283"/>
      <c r="H168" s="283"/>
      <c r="I168" s="283"/>
      <c r="J168" s="283"/>
    </row>
    <row r="169" spans="6:10" x14ac:dyDescent="0.25">
      <c r="F169" s="283"/>
      <c r="G169" s="283"/>
      <c r="H169" s="283"/>
      <c r="I169" s="283"/>
      <c r="J169" s="283"/>
    </row>
    <row r="170" spans="6:10" x14ac:dyDescent="0.25">
      <c r="F170" s="283"/>
      <c r="G170" s="283"/>
      <c r="H170" s="283"/>
      <c r="I170" s="283"/>
      <c r="J170" s="283"/>
    </row>
    <row r="171" spans="6:10" x14ac:dyDescent="0.25">
      <c r="F171" s="283"/>
      <c r="G171" s="283"/>
      <c r="H171" s="283"/>
      <c r="I171" s="283"/>
      <c r="J171" s="283"/>
    </row>
    <row r="172" spans="6:10" x14ac:dyDescent="0.25">
      <c r="F172" s="283"/>
      <c r="G172" s="283"/>
      <c r="H172" s="283"/>
      <c r="I172" s="283"/>
      <c r="J172" s="283"/>
    </row>
    <row r="173" spans="6:10" x14ac:dyDescent="0.25">
      <c r="F173" s="283"/>
      <c r="G173" s="283"/>
      <c r="H173" s="283"/>
      <c r="I173" s="283"/>
      <c r="J173" s="283"/>
    </row>
    <row r="174" spans="6:10" x14ac:dyDescent="0.25">
      <c r="F174" s="283"/>
      <c r="G174" s="283"/>
      <c r="H174" s="283"/>
      <c r="I174" s="283"/>
      <c r="J174" s="283"/>
    </row>
    <row r="175" spans="6:10" x14ac:dyDescent="0.25">
      <c r="F175" s="283"/>
      <c r="G175" s="283"/>
      <c r="H175" s="283"/>
      <c r="I175" s="283"/>
      <c r="J175" s="283"/>
    </row>
    <row r="176" spans="6:10" x14ac:dyDescent="0.25">
      <c r="F176" s="283"/>
      <c r="G176" s="283"/>
      <c r="H176" s="283"/>
      <c r="I176" s="283"/>
      <c r="J176" s="283"/>
    </row>
    <row r="177" spans="6:10" x14ac:dyDescent="0.25">
      <c r="F177" s="283"/>
      <c r="G177" s="283"/>
      <c r="H177" s="283"/>
      <c r="I177" s="283"/>
      <c r="J177" s="283"/>
    </row>
    <row r="178" spans="6:10" x14ac:dyDescent="0.25">
      <c r="F178" s="283"/>
      <c r="G178" s="283"/>
      <c r="H178" s="283"/>
      <c r="I178" s="283"/>
      <c r="J178" s="283"/>
    </row>
    <row r="179" spans="6:10" x14ac:dyDescent="0.25">
      <c r="F179" s="283"/>
      <c r="G179" s="283"/>
      <c r="H179" s="283"/>
      <c r="I179" s="283"/>
      <c r="J179" s="283"/>
    </row>
    <row r="180" spans="6:10" x14ac:dyDescent="0.25">
      <c r="F180" s="283"/>
      <c r="G180" s="283"/>
      <c r="H180" s="283"/>
      <c r="I180" s="283"/>
      <c r="J180" s="283"/>
    </row>
    <row r="181" spans="6:10" x14ac:dyDescent="0.25">
      <c r="F181" s="283"/>
      <c r="G181" s="283"/>
      <c r="H181" s="283"/>
      <c r="I181" s="283"/>
      <c r="J181" s="283"/>
    </row>
    <row r="182" spans="6:10" x14ac:dyDescent="0.25">
      <c r="F182" s="283"/>
      <c r="G182" s="283"/>
      <c r="H182" s="283"/>
      <c r="I182" s="283"/>
      <c r="J182" s="283"/>
    </row>
    <row r="183" spans="6:10" x14ac:dyDescent="0.25">
      <c r="F183" s="283"/>
      <c r="G183" s="283"/>
      <c r="H183" s="283"/>
      <c r="I183" s="283"/>
      <c r="J183" s="283"/>
    </row>
    <row r="184" spans="6:10" x14ac:dyDescent="0.25">
      <c r="F184" s="283"/>
      <c r="G184" s="283"/>
      <c r="H184" s="283"/>
      <c r="I184" s="283"/>
      <c r="J184" s="283"/>
    </row>
    <row r="185" spans="6:10" x14ac:dyDescent="0.25">
      <c r="F185" s="283"/>
      <c r="G185" s="283"/>
      <c r="H185" s="283"/>
      <c r="I185" s="283"/>
      <c r="J185" s="283"/>
    </row>
    <row r="186" spans="6:10" x14ac:dyDescent="0.25">
      <c r="F186" s="283"/>
      <c r="G186" s="283"/>
      <c r="H186" s="283"/>
      <c r="I186" s="283"/>
      <c r="J186" s="283"/>
    </row>
    <row r="187" spans="6:10" x14ac:dyDescent="0.25">
      <c r="F187" s="283"/>
      <c r="G187" s="283"/>
      <c r="H187" s="283"/>
      <c r="I187" s="283"/>
      <c r="J187" s="283"/>
    </row>
    <row r="188" spans="6:10" x14ac:dyDescent="0.25">
      <c r="F188" s="283"/>
      <c r="G188" s="283"/>
      <c r="H188" s="283"/>
      <c r="I188" s="283"/>
      <c r="J188" s="283"/>
    </row>
    <row r="189" spans="6:10" x14ac:dyDescent="0.25">
      <c r="F189" s="283"/>
      <c r="G189" s="283"/>
      <c r="H189" s="283"/>
      <c r="I189" s="283"/>
      <c r="J189" s="283"/>
    </row>
    <row r="190" spans="6:10" x14ac:dyDescent="0.25">
      <c r="F190" s="283"/>
      <c r="G190" s="283"/>
      <c r="H190" s="283"/>
      <c r="I190" s="283"/>
      <c r="J190" s="283"/>
    </row>
    <row r="191" spans="6:10" x14ac:dyDescent="0.25">
      <c r="F191" s="283"/>
      <c r="G191" s="283"/>
      <c r="H191" s="283"/>
      <c r="I191" s="283"/>
      <c r="J191" s="283"/>
    </row>
    <row r="192" spans="6:10" x14ac:dyDescent="0.25">
      <c r="F192" s="283"/>
      <c r="G192" s="283"/>
      <c r="H192" s="283"/>
      <c r="I192" s="283"/>
      <c r="J192" s="283"/>
    </row>
    <row r="193" spans="6:10" x14ac:dyDescent="0.25">
      <c r="F193" s="283"/>
      <c r="G193" s="283"/>
      <c r="H193" s="283"/>
      <c r="I193" s="283"/>
      <c r="J193" s="283"/>
    </row>
    <row r="194" spans="6:10" x14ac:dyDescent="0.25">
      <c r="F194" s="283"/>
      <c r="G194" s="283"/>
      <c r="H194" s="283"/>
      <c r="I194" s="283"/>
      <c r="J194" s="283"/>
    </row>
    <row r="195" spans="6:10" x14ac:dyDescent="0.25">
      <c r="F195" s="283"/>
      <c r="G195" s="283"/>
      <c r="H195" s="283"/>
      <c r="I195" s="283"/>
      <c r="J195" s="283"/>
    </row>
    <row r="196" spans="6:10" x14ac:dyDescent="0.25">
      <c r="F196" s="283"/>
      <c r="G196" s="283"/>
      <c r="H196" s="283"/>
      <c r="I196" s="283"/>
      <c r="J196" s="283"/>
    </row>
    <row r="197" spans="6:10" x14ac:dyDescent="0.25">
      <c r="F197" s="283"/>
      <c r="G197" s="283"/>
      <c r="H197" s="283"/>
      <c r="I197" s="283"/>
      <c r="J197" s="283"/>
    </row>
    <row r="198" spans="6:10" x14ac:dyDescent="0.25">
      <c r="F198" s="283"/>
      <c r="G198" s="283"/>
      <c r="H198" s="283"/>
      <c r="I198" s="283"/>
      <c r="J198" s="283"/>
    </row>
    <row r="199" spans="6:10" x14ac:dyDescent="0.25">
      <c r="F199" s="283"/>
      <c r="G199" s="283"/>
      <c r="H199" s="283"/>
      <c r="I199" s="283"/>
      <c r="J199" s="283"/>
    </row>
    <row r="200" spans="6:10" x14ac:dyDescent="0.25">
      <c r="F200" s="283"/>
      <c r="G200" s="283"/>
      <c r="H200" s="283"/>
      <c r="I200" s="283"/>
      <c r="J200" s="283"/>
    </row>
    <row r="201" spans="6:10" x14ac:dyDescent="0.25">
      <c r="F201" s="283"/>
      <c r="G201" s="283"/>
      <c r="H201" s="283"/>
      <c r="I201" s="283"/>
      <c r="J201" s="283"/>
    </row>
    <row r="202" spans="6:10" x14ac:dyDescent="0.25">
      <c r="F202" s="283"/>
      <c r="G202" s="283"/>
      <c r="H202" s="283"/>
      <c r="I202" s="283"/>
      <c r="J202" s="283"/>
    </row>
    <row r="203" spans="6:10" x14ac:dyDescent="0.25">
      <c r="F203" s="283"/>
      <c r="G203" s="283"/>
      <c r="H203" s="283"/>
      <c r="I203" s="283"/>
      <c r="J203" s="283"/>
    </row>
    <row r="204" spans="6:10" x14ac:dyDescent="0.25">
      <c r="F204" s="283"/>
      <c r="G204" s="283"/>
      <c r="H204" s="283"/>
      <c r="I204" s="283"/>
      <c r="J204" s="283"/>
    </row>
    <row r="205" spans="6:10" x14ac:dyDescent="0.25">
      <c r="F205" s="283"/>
      <c r="G205" s="283"/>
      <c r="H205" s="283"/>
      <c r="I205" s="283"/>
      <c r="J205" s="283"/>
    </row>
    <row r="206" spans="6:10" x14ac:dyDescent="0.25">
      <c r="F206" s="283"/>
      <c r="G206" s="283"/>
      <c r="H206" s="283"/>
      <c r="I206" s="283"/>
      <c r="J206" s="283"/>
    </row>
    <row r="207" spans="6:10" x14ac:dyDescent="0.25">
      <c r="F207" s="283"/>
      <c r="G207" s="283"/>
      <c r="H207" s="283"/>
      <c r="I207" s="283"/>
      <c r="J207" s="283"/>
    </row>
    <row r="208" spans="6:10" x14ac:dyDescent="0.25">
      <c r="F208" s="283"/>
      <c r="G208" s="283"/>
      <c r="H208" s="283"/>
      <c r="I208" s="283"/>
      <c r="J208" s="283"/>
    </row>
    <row r="209" spans="6:10" x14ac:dyDescent="0.25">
      <c r="F209" s="283"/>
      <c r="G209" s="283"/>
      <c r="H209" s="283"/>
      <c r="I209" s="283"/>
      <c r="J209" s="283"/>
    </row>
    <row r="210" spans="6:10" x14ac:dyDescent="0.25">
      <c r="F210" s="283"/>
      <c r="G210" s="283"/>
      <c r="H210" s="283"/>
      <c r="I210" s="283"/>
      <c r="J210" s="283"/>
    </row>
    <row r="211" spans="6:10" x14ac:dyDescent="0.25">
      <c r="F211" s="283"/>
      <c r="G211" s="283"/>
      <c r="H211" s="283"/>
      <c r="I211" s="283"/>
      <c r="J211" s="283"/>
    </row>
    <row r="212" spans="6:10" x14ac:dyDescent="0.25">
      <c r="F212" s="283"/>
      <c r="G212" s="283"/>
      <c r="H212" s="283"/>
      <c r="I212" s="283"/>
      <c r="J212" s="283"/>
    </row>
    <row r="213" spans="6:10" x14ac:dyDescent="0.25">
      <c r="F213" s="283"/>
      <c r="G213" s="283"/>
      <c r="H213" s="283"/>
      <c r="I213" s="283"/>
      <c r="J213" s="283"/>
    </row>
    <row r="214" spans="6:10" x14ac:dyDescent="0.25">
      <c r="F214" s="283"/>
      <c r="G214" s="283"/>
      <c r="H214" s="283"/>
      <c r="I214" s="283"/>
      <c r="J214" s="283"/>
    </row>
    <row r="215" spans="6:10" x14ac:dyDescent="0.25">
      <c r="F215" s="283"/>
      <c r="G215" s="283"/>
      <c r="H215" s="283"/>
      <c r="I215" s="283"/>
      <c r="J215" s="283"/>
    </row>
    <row r="216" spans="6:10" x14ac:dyDescent="0.25">
      <c r="F216" s="283"/>
      <c r="G216" s="283"/>
      <c r="H216" s="283"/>
      <c r="I216" s="283"/>
      <c r="J216" s="283"/>
    </row>
    <row r="217" spans="6:10" x14ac:dyDescent="0.25">
      <c r="F217" s="283"/>
      <c r="G217" s="283"/>
      <c r="H217" s="283"/>
      <c r="I217" s="283"/>
      <c r="J217" s="283"/>
    </row>
    <row r="218" spans="6:10" x14ac:dyDescent="0.25">
      <c r="F218" s="283"/>
      <c r="G218" s="283"/>
      <c r="H218" s="283"/>
      <c r="I218" s="283"/>
      <c r="J218" s="283"/>
    </row>
    <row r="219" spans="6:10" x14ac:dyDescent="0.25">
      <c r="F219" s="283"/>
      <c r="G219" s="283"/>
      <c r="H219" s="283"/>
      <c r="I219" s="283"/>
      <c r="J219" s="283"/>
    </row>
    <row r="220" spans="6:10" x14ac:dyDescent="0.25">
      <c r="F220" s="283"/>
      <c r="G220" s="283"/>
      <c r="H220" s="283"/>
      <c r="I220" s="283"/>
      <c r="J220" s="283"/>
    </row>
    <row r="221" spans="6:10" x14ac:dyDescent="0.25">
      <c r="F221" s="283"/>
      <c r="G221" s="283"/>
      <c r="H221" s="283"/>
      <c r="I221" s="283"/>
      <c r="J221" s="283"/>
    </row>
    <row r="222" spans="6:10" x14ac:dyDescent="0.25">
      <c r="F222" s="283"/>
      <c r="G222" s="283"/>
      <c r="H222" s="283"/>
      <c r="I222" s="283"/>
      <c r="J222" s="283"/>
    </row>
    <row r="223" spans="6:10" x14ac:dyDescent="0.25">
      <c r="F223" s="283"/>
      <c r="G223" s="283"/>
      <c r="H223" s="283"/>
      <c r="I223" s="283"/>
      <c r="J223" s="283"/>
    </row>
    <row r="224" spans="6:10" x14ac:dyDescent="0.25">
      <c r="F224" s="283"/>
      <c r="G224" s="283"/>
      <c r="H224" s="283"/>
      <c r="I224" s="283"/>
      <c r="J224" s="283"/>
    </row>
    <row r="225" spans="6:10" x14ac:dyDescent="0.25">
      <c r="F225" s="283"/>
      <c r="G225" s="283"/>
      <c r="H225" s="283"/>
      <c r="I225" s="283"/>
      <c r="J225" s="283"/>
    </row>
    <row r="226" spans="6:10" x14ac:dyDescent="0.25">
      <c r="F226" s="283"/>
      <c r="G226" s="283"/>
      <c r="H226" s="283"/>
      <c r="I226" s="283"/>
      <c r="J226" s="283"/>
    </row>
    <row r="227" spans="6:10" x14ac:dyDescent="0.25">
      <c r="F227" s="283"/>
      <c r="G227" s="283"/>
      <c r="H227" s="283"/>
      <c r="I227" s="283"/>
      <c r="J227" s="283"/>
    </row>
    <row r="228" spans="6:10" x14ac:dyDescent="0.25">
      <c r="F228" s="283"/>
      <c r="G228" s="283"/>
      <c r="H228" s="283"/>
      <c r="I228" s="283"/>
      <c r="J228" s="283"/>
    </row>
    <row r="229" spans="6:10" x14ac:dyDescent="0.25">
      <c r="F229" s="283"/>
      <c r="G229" s="283"/>
      <c r="H229" s="283"/>
      <c r="I229" s="283"/>
      <c r="J229" s="283"/>
    </row>
    <row r="230" spans="6:10" x14ac:dyDescent="0.25">
      <c r="F230" s="283"/>
      <c r="G230" s="283"/>
      <c r="H230" s="283"/>
      <c r="I230" s="283"/>
      <c r="J230" s="283"/>
    </row>
    <row r="231" spans="6:10" x14ac:dyDescent="0.25">
      <c r="F231" s="283"/>
      <c r="G231" s="283"/>
      <c r="H231" s="283"/>
      <c r="I231" s="283"/>
      <c r="J231" s="283"/>
    </row>
    <row r="232" spans="6:10" x14ac:dyDescent="0.25">
      <c r="F232" s="283"/>
      <c r="G232" s="283"/>
      <c r="H232" s="283"/>
      <c r="I232" s="283"/>
      <c r="J232" s="283"/>
    </row>
    <row r="233" spans="6:10" x14ac:dyDescent="0.25">
      <c r="F233" s="283"/>
      <c r="G233" s="283"/>
      <c r="H233" s="283"/>
      <c r="I233" s="283"/>
      <c r="J233" s="283"/>
    </row>
    <row r="234" spans="6:10" x14ac:dyDescent="0.25">
      <c r="F234" s="283"/>
      <c r="G234" s="283"/>
      <c r="H234" s="283"/>
      <c r="I234" s="283"/>
      <c r="J234" s="283"/>
    </row>
    <row r="235" spans="6:10" x14ac:dyDescent="0.25">
      <c r="F235" s="283"/>
      <c r="G235" s="283"/>
      <c r="H235" s="283"/>
      <c r="I235" s="283"/>
      <c r="J235" s="283"/>
    </row>
    <row r="236" spans="6:10" x14ac:dyDescent="0.25">
      <c r="F236" s="283"/>
      <c r="G236" s="283"/>
      <c r="H236" s="283"/>
      <c r="I236" s="283"/>
      <c r="J236" s="283"/>
    </row>
    <row r="237" spans="6:10" x14ac:dyDescent="0.25">
      <c r="F237" s="283"/>
      <c r="G237" s="283"/>
      <c r="H237" s="283"/>
      <c r="I237" s="283"/>
      <c r="J237" s="283"/>
    </row>
    <row r="238" spans="6:10" x14ac:dyDescent="0.25">
      <c r="F238" s="283"/>
      <c r="G238" s="283"/>
      <c r="H238" s="283"/>
      <c r="I238" s="283"/>
      <c r="J238" s="283"/>
    </row>
    <row r="239" spans="6:10" x14ac:dyDescent="0.25">
      <c r="F239" s="283"/>
      <c r="G239" s="283"/>
      <c r="H239" s="283"/>
      <c r="I239" s="283"/>
      <c r="J239" s="283"/>
    </row>
    <row r="240" spans="6:10" x14ac:dyDescent="0.25">
      <c r="F240" s="283"/>
      <c r="G240" s="283"/>
      <c r="H240" s="283"/>
      <c r="I240" s="283"/>
      <c r="J240" s="283"/>
    </row>
    <row r="241" spans="6:10" x14ac:dyDescent="0.25">
      <c r="F241" s="283"/>
      <c r="G241" s="283"/>
      <c r="H241" s="283"/>
      <c r="I241" s="283"/>
      <c r="J241" s="283"/>
    </row>
    <row r="242" spans="6:10" x14ac:dyDescent="0.25">
      <c r="F242" s="283"/>
      <c r="G242" s="283"/>
      <c r="H242" s="283"/>
      <c r="I242" s="283"/>
      <c r="J242" s="283"/>
    </row>
    <row r="243" spans="6:10" x14ac:dyDescent="0.25">
      <c r="F243" s="283"/>
      <c r="G243" s="283"/>
      <c r="H243" s="283"/>
      <c r="I243" s="283"/>
      <c r="J243" s="283"/>
    </row>
    <row r="244" spans="6:10" x14ac:dyDescent="0.25">
      <c r="F244" s="283"/>
      <c r="G244" s="283"/>
      <c r="H244" s="283"/>
      <c r="I244" s="283"/>
      <c r="J244" s="283"/>
    </row>
    <row r="245" spans="6:10" x14ac:dyDescent="0.25">
      <c r="F245" s="283"/>
      <c r="G245" s="283"/>
      <c r="H245" s="283"/>
      <c r="I245" s="283"/>
      <c r="J245" s="283"/>
    </row>
    <row r="246" spans="6:10" x14ac:dyDescent="0.25">
      <c r="F246" s="283"/>
      <c r="G246" s="283"/>
      <c r="H246" s="283"/>
      <c r="I246" s="283"/>
      <c r="J246" s="283"/>
    </row>
    <row r="247" spans="6:10" x14ac:dyDescent="0.25">
      <c r="F247" s="283"/>
      <c r="G247" s="283"/>
      <c r="H247" s="283"/>
      <c r="I247" s="283"/>
      <c r="J247" s="283"/>
    </row>
    <row r="248" spans="6:10" x14ac:dyDescent="0.25">
      <c r="F248" s="283"/>
      <c r="G248" s="283"/>
      <c r="H248" s="283"/>
      <c r="I248" s="283"/>
      <c r="J248" s="283"/>
    </row>
    <row r="249" spans="6:10" x14ac:dyDescent="0.25">
      <c r="F249" s="283"/>
      <c r="G249" s="283"/>
      <c r="H249" s="283"/>
      <c r="I249" s="283"/>
      <c r="J249" s="283"/>
    </row>
    <row r="250" spans="6:10" x14ac:dyDescent="0.25">
      <c r="F250" s="283"/>
      <c r="G250" s="283"/>
      <c r="H250" s="283"/>
      <c r="I250" s="283"/>
      <c r="J250" s="283"/>
    </row>
    <row r="251" spans="6:10" x14ac:dyDescent="0.25">
      <c r="F251" s="283"/>
      <c r="G251" s="283"/>
      <c r="H251" s="283"/>
      <c r="I251" s="283"/>
      <c r="J251" s="283"/>
    </row>
    <row r="252" spans="6:10" x14ac:dyDescent="0.25">
      <c r="F252" s="283"/>
      <c r="G252" s="283"/>
      <c r="H252" s="283"/>
      <c r="I252" s="283"/>
      <c r="J252" s="283"/>
    </row>
    <row r="253" spans="6:10" x14ac:dyDescent="0.25">
      <c r="F253" s="283"/>
      <c r="G253" s="283"/>
      <c r="H253" s="283"/>
      <c r="I253" s="283"/>
      <c r="J253" s="283"/>
    </row>
    <row r="254" spans="6:10" x14ac:dyDescent="0.25">
      <c r="F254" s="283"/>
      <c r="G254" s="283"/>
      <c r="H254" s="283"/>
      <c r="I254" s="283"/>
      <c r="J254" s="283"/>
    </row>
    <row r="255" spans="6:10" x14ac:dyDescent="0.25">
      <c r="F255" s="283"/>
      <c r="G255" s="283"/>
      <c r="H255" s="283"/>
      <c r="I255" s="283"/>
      <c r="J255" s="283"/>
    </row>
    <row r="256" spans="6:10" x14ac:dyDescent="0.25">
      <c r="F256" s="283"/>
      <c r="G256" s="283"/>
      <c r="H256" s="283"/>
      <c r="I256" s="283"/>
      <c r="J256" s="283"/>
    </row>
    <row r="257" spans="6:10" x14ac:dyDescent="0.25">
      <c r="F257" s="283"/>
      <c r="G257" s="283"/>
      <c r="H257" s="283"/>
      <c r="I257" s="283"/>
      <c r="J257" s="283"/>
    </row>
    <row r="258" spans="6:10" x14ac:dyDescent="0.25">
      <c r="F258" s="283"/>
      <c r="G258" s="283"/>
      <c r="H258" s="283"/>
      <c r="I258" s="283"/>
      <c r="J258" s="283"/>
    </row>
    <row r="259" spans="6:10" x14ac:dyDescent="0.25">
      <c r="F259" s="283"/>
      <c r="G259" s="283"/>
      <c r="H259" s="283"/>
      <c r="I259" s="283"/>
      <c r="J259" s="283"/>
    </row>
    <row r="260" spans="6:10" x14ac:dyDescent="0.25">
      <c r="F260" s="283"/>
      <c r="G260" s="283"/>
      <c r="H260" s="283"/>
      <c r="I260" s="283"/>
      <c r="J260" s="283"/>
    </row>
    <row r="261" spans="6:10" x14ac:dyDescent="0.25">
      <c r="F261" s="283"/>
      <c r="G261" s="283"/>
      <c r="H261" s="283"/>
      <c r="I261" s="283"/>
      <c r="J261" s="283"/>
    </row>
    <row r="262" spans="6:10" x14ac:dyDescent="0.25">
      <c r="F262" s="283"/>
      <c r="G262" s="283"/>
      <c r="H262" s="283"/>
      <c r="I262" s="283"/>
      <c r="J262" s="283"/>
    </row>
    <row r="263" spans="6:10" x14ac:dyDescent="0.25">
      <c r="F263" s="283"/>
      <c r="G263" s="283"/>
      <c r="H263" s="283"/>
      <c r="I263" s="283"/>
      <c r="J263" s="283"/>
    </row>
    <row r="264" spans="6:10" x14ac:dyDescent="0.25">
      <c r="F264" s="283"/>
      <c r="G264" s="283"/>
      <c r="H264" s="283"/>
      <c r="I264" s="283"/>
      <c r="J264" s="283"/>
    </row>
    <row r="265" spans="6:10" x14ac:dyDescent="0.25">
      <c r="F265" s="283"/>
      <c r="G265" s="283"/>
      <c r="H265" s="283"/>
      <c r="I265" s="283"/>
      <c r="J265" s="283"/>
    </row>
    <row r="266" spans="6:10" x14ac:dyDescent="0.25">
      <c r="F266" s="283"/>
      <c r="G266" s="283"/>
      <c r="H266" s="283"/>
      <c r="I266" s="283"/>
      <c r="J266" s="283"/>
    </row>
    <row r="267" spans="6:10" x14ac:dyDescent="0.25">
      <c r="F267" s="283"/>
      <c r="G267" s="283"/>
      <c r="H267" s="283"/>
      <c r="I267" s="283"/>
      <c r="J267" s="283"/>
    </row>
    <row r="268" spans="6:10" x14ac:dyDescent="0.25">
      <c r="F268" s="283"/>
      <c r="G268" s="283"/>
      <c r="H268" s="283"/>
      <c r="I268" s="283"/>
      <c r="J268" s="283"/>
    </row>
    <row r="269" spans="6:10" x14ac:dyDescent="0.25">
      <c r="F269" s="283"/>
      <c r="G269" s="283"/>
      <c r="H269" s="283"/>
      <c r="I269" s="283"/>
      <c r="J269" s="283"/>
    </row>
    <row r="270" spans="6:10" x14ac:dyDescent="0.25">
      <c r="F270" s="283"/>
      <c r="G270" s="283"/>
      <c r="H270" s="283"/>
      <c r="I270" s="283"/>
      <c r="J270" s="283"/>
    </row>
    <row r="271" spans="6:10" x14ac:dyDescent="0.25">
      <c r="F271" s="283"/>
      <c r="G271" s="283"/>
      <c r="H271" s="283"/>
      <c r="I271" s="283"/>
      <c r="J271" s="283"/>
    </row>
    <row r="272" spans="6:10" x14ac:dyDescent="0.25">
      <c r="F272" s="283"/>
      <c r="G272" s="283"/>
      <c r="H272" s="283"/>
      <c r="I272" s="283"/>
      <c r="J272" s="283"/>
    </row>
    <row r="273" spans="6:10" x14ac:dyDescent="0.25">
      <c r="F273" s="283"/>
      <c r="G273" s="283"/>
      <c r="H273" s="283"/>
      <c r="I273" s="283"/>
      <c r="J273" s="283"/>
    </row>
    <row r="274" spans="6:10" x14ac:dyDescent="0.25">
      <c r="F274" s="283"/>
      <c r="G274" s="283"/>
      <c r="H274" s="283"/>
      <c r="I274" s="283"/>
      <c r="J274" s="283"/>
    </row>
    <row r="275" spans="6:10" x14ac:dyDescent="0.25">
      <c r="F275" s="283"/>
      <c r="G275" s="283"/>
      <c r="H275" s="283"/>
      <c r="I275" s="283"/>
      <c r="J275" s="283"/>
    </row>
    <row r="276" spans="6:10" x14ac:dyDescent="0.25">
      <c r="F276" s="283"/>
      <c r="G276" s="283"/>
      <c r="H276" s="283"/>
      <c r="I276" s="283"/>
      <c r="J276" s="283"/>
    </row>
    <row r="277" spans="6:10" x14ac:dyDescent="0.25">
      <c r="F277" s="283"/>
      <c r="G277" s="283"/>
      <c r="H277" s="283"/>
      <c r="I277" s="283"/>
      <c r="J277" s="283"/>
    </row>
    <row r="278" spans="6:10" x14ac:dyDescent="0.25">
      <c r="F278" s="283"/>
      <c r="G278" s="283"/>
      <c r="H278" s="283"/>
      <c r="I278" s="283"/>
      <c r="J278" s="283"/>
    </row>
    <row r="279" spans="6:10" x14ac:dyDescent="0.25">
      <c r="F279" s="283"/>
      <c r="G279" s="283"/>
      <c r="H279" s="283"/>
      <c r="I279" s="283"/>
      <c r="J279" s="283"/>
    </row>
    <row r="280" spans="6:10" x14ac:dyDescent="0.25">
      <c r="F280" s="283"/>
      <c r="G280" s="283"/>
      <c r="H280" s="283"/>
      <c r="I280" s="283"/>
      <c r="J280" s="283"/>
    </row>
    <row r="281" spans="6:10" x14ac:dyDescent="0.25">
      <c r="F281" s="283"/>
      <c r="G281" s="283"/>
      <c r="H281" s="283"/>
      <c r="I281" s="283"/>
      <c r="J281" s="283"/>
    </row>
    <row r="282" spans="6:10" x14ac:dyDescent="0.25">
      <c r="F282" s="283"/>
      <c r="G282" s="283"/>
      <c r="H282" s="283"/>
      <c r="I282" s="283"/>
      <c r="J282" s="283"/>
    </row>
    <row r="283" spans="6:10" x14ac:dyDescent="0.25">
      <c r="F283" s="283"/>
      <c r="G283" s="283"/>
      <c r="H283" s="283"/>
      <c r="I283" s="283"/>
      <c r="J283" s="283"/>
    </row>
    <row r="284" spans="6:10" x14ac:dyDescent="0.25">
      <c r="F284" s="283"/>
      <c r="G284" s="283"/>
      <c r="H284" s="283"/>
      <c r="I284" s="283"/>
      <c r="J284" s="283"/>
    </row>
    <row r="285" spans="6:10" x14ac:dyDescent="0.25">
      <c r="F285" s="283"/>
      <c r="G285" s="283"/>
      <c r="H285" s="283"/>
      <c r="I285" s="283"/>
      <c r="J285" s="283"/>
    </row>
    <row r="286" spans="6:10" x14ac:dyDescent="0.25">
      <c r="F286" s="283"/>
      <c r="G286" s="283"/>
      <c r="H286" s="283"/>
      <c r="I286" s="283"/>
      <c r="J286" s="283"/>
    </row>
    <row r="287" spans="6:10" x14ac:dyDescent="0.25">
      <c r="F287" s="283"/>
      <c r="G287" s="283"/>
      <c r="H287" s="283"/>
      <c r="I287" s="283"/>
      <c r="J287" s="283"/>
    </row>
    <row r="288" spans="6:10" x14ac:dyDescent="0.25">
      <c r="F288" s="283"/>
      <c r="G288" s="283"/>
      <c r="H288" s="283"/>
      <c r="I288" s="283"/>
      <c r="J288" s="283"/>
    </row>
    <row r="289" spans="6:10" x14ac:dyDescent="0.25">
      <c r="F289" s="283"/>
      <c r="G289" s="283"/>
      <c r="H289" s="283"/>
      <c r="I289" s="283"/>
      <c r="J289" s="283"/>
    </row>
    <row r="290" spans="6:10" x14ac:dyDescent="0.25">
      <c r="F290" s="283"/>
      <c r="G290" s="283"/>
      <c r="H290" s="283"/>
      <c r="I290" s="283"/>
      <c r="J290" s="283"/>
    </row>
    <row r="291" spans="6:10" x14ac:dyDescent="0.25">
      <c r="F291" s="283"/>
      <c r="G291" s="283"/>
      <c r="H291" s="283"/>
      <c r="I291" s="283"/>
      <c r="J291" s="283"/>
    </row>
    <row r="292" spans="6:10" x14ac:dyDescent="0.25">
      <c r="F292" s="283"/>
      <c r="G292" s="283"/>
      <c r="H292" s="283"/>
      <c r="I292" s="283"/>
      <c r="J292" s="283"/>
    </row>
    <row r="293" spans="6:10" x14ac:dyDescent="0.25">
      <c r="F293" s="283"/>
      <c r="G293" s="283"/>
      <c r="H293" s="283"/>
      <c r="I293" s="283"/>
      <c r="J293" s="283"/>
    </row>
    <row r="294" spans="6:10" x14ac:dyDescent="0.25">
      <c r="F294" s="283"/>
      <c r="G294" s="283"/>
      <c r="H294" s="283"/>
      <c r="I294" s="283"/>
      <c r="J294" s="283"/>
    </row>
    <row r="295" spans="6:10" x14ac:dyDescent="0.25">
      <c r="F295" s="283"/>
      <c r="G295" s="283"/>
      <c r="H295" s="283"/>
      <c r="I295" s="283"/>
      <c r="J295" s="283"/>
    </row>
    <row r="296" spans="6:10" x14ac:dyDescent="0.25">
      <c r="F296" s="283"/>
      <c r="G296" s="283"/>
      <c r="H296" s="283"/>
      <c r="I296" s="283"/>
      <c r="J296" s="283"/>
    </row>
    <row r="297" spans="6:10" x14ac:dyDescent="0.25">
      <c r="F297" s="283"/>
      <c r="G297" s="283"/>
      <c r="H297" s="283"/>
      <c r="I297" s="283"/>
      <c r="J297" s="283"/>
    </row>
    <row r="298" spans="6:10" x14ac:dyDescent="0.25">
      <c r="F298" s="283"/>
      <c r="G298" s="283"/>
      <c r="H298" s="283"/>
      <c r="I298" s="283"/>
      <c r="J298" s="283"/>
    </row>
    <row r="299" spans="6:10" x14ac:dyDescent="0.25">
      <c r="F299" s="283"/>
      <c r="G299" s="283"/>
      <c r="H299" s="283"/>
      <c r="I299" s="283"/>
      <c r="J299" s="283"/>
    </row>
    <row r="300" spans="6:10" x14ac:dyDescent="0.25">
      <c r="F300" s="283"/>
      <c r="G300" s="283"/>
      <c r="H300" s="283"/>
      <c r="I300" s="283"/>
      <c r="J300" s="283"/>
    </row>
    <row r="301" spans="6:10" x14ac:dyDescent="0.25">
      <c r="F301" s="283"/>
      <c r="G301" s="283"/>
      <c r="H301" s="283"/>
      <c r="I301" s="283"/>
      <c r="J301" s="283"/>
    </row>
    <row r="302" spans="6:10" x14ac:dyDescent="0.25">
      <c r="F302" s="283"/>
      <c r="G302" s="283"/>
      <c r="H302" s="283"/>
      <c r="I302" s="283"/>
      <c r="J302" s="283"/>
    </row>
    <row r="303" spans="6:10" x14ac:dyDescent="0.25">
      <c r="F303" s="283"/>
      <c r="G303" s="283"/>
      <c r="H303" s="283"/>
      <c r="I303" s="283"/>
      <c r="J303" s="283"/>
    </row>
    <row r="304" spans="6:10" x14ac:dyDescent="0.25">
      <c r="F304" s="283"/>
      <c r="G304" s="283"/>
      <c r="H304" s="283"/>
      <c r="I304" s="283"/>
      <c r="J304" s="283"/>
    </row>
    <row r="305" spans="6:10" x14ac:dyDescent="0.25">
      <c r="F305" s="283"/>
      <c r="G305" s="283"/>
      <c r="H305" s="283"/>
      <c r="I305" s="283"/>
      <c r="J305" s="283"/>
    </row>
    <row r="306" spans="6:10" x14ac:dyDescent="0.25">
      <c r="F306" s="283"/>
      <c r="G306" s="283"/>
      <c r="H306" s="283"/>
      <c r="I306" s="283"/>
      <c r="J306" s="283"/>
    </row>
    <row r="307" spans="6:10" x14ac:dyDescent="0.25">
      <c r="F307" s="283"/>
      <c r="G307" s="283"/>
      <c r="H307" s="283"/>
      <c r="I307" s="283"/>
      <c r="J307" s="283"/>
    </row>
    <row r="308" spans="6:10" x14ac:dyDescent="0.25">
      <c r="F308" s="283"/>
      <c r="G308" s="283"/>
      <c r="H308" s="283"/>
      <c r="I308" s="283"/>
      <c r="J308" s="283"/>
    </row>
    <row r="309" spans="6:10" x14ac:dyDescent="0.25">
      <c r="F309" s="283"/>
      <c r="G309" s="283"/>
      <c r="H309" s="283"/>
      <c r="I309" s="283"/>
      <c r="J309" s="283"/>
    </row>
    <row r="310" spans="6:10" x14ac:dyDescent="0.25">
      <c r="F310" s="283"/>
      <c r="G310" s="283"/>
      <c r="H310" s="283"/>
      <c r="I310" s="283"/>
      <c r="J310" s="283"/>
    </row>
    <row r="311" spans="6:10" x14ac:dyDescent="0.25">
      <c r="F311" s="283"/>
      <c r="G311" s="283"/>
      <c r="H311" s="283"/>
      <c r="I311" s="283"/>
      <c r="J311" s="283"/>
    </row>
    <row r="312" spans="6:10" x14ac:dyDescent="0.25">
      <c r="F312" s="283"/>
      <c r="G312" s="283"/>
      <c r="H312" s="283"/>
      <c r="I312" s="283"/>
      <c r="J312" s="283"/>
    </row>
    <row r="313" spans="6:10" x14ac:dyDescent="0.25">
      <c r="F313" s="283"/>
      <c r="G313" s="283"/>
      <c r="H313" s="283"/>
      <c r="I313" s="283"/>
      <c r="J313" s="283"/>
    </row>
    <row r="314" spans="6:10" x14ac:dyDescent="0.25">
      <c r="F314" s="283"/>
      <c r="G314" s="283"/>
      <c r="H314" s="283"/>
      <c r="I314" s="283"/>
      <c r="J314" s="283"/>
    </row>
    <row r="315" spans="6:10" x14ac:dyDescent="0.25">
      <c r="F315" s="283"/>
      <c r="G315" s="283"/>
      <c r="H315" s="283"/>
      <c r="I315" s="283"/>
      <c r="J315" s="283"/>
    </row>
    <row r="316" spans="6:10" x14ac:dyDescent="0.25">
      <c r="F316" s="283"/>
      <c r="G316" s="283"/>
      <c r="H316" s="283"/>
      <c r="I316" s="283"/>
      <c r="J316" s="283"/>
    </row>
    <row r="317" spans="6:10" x14ac:dyDescent="0.25">
      <c r="F317" s="283"/>
      <c r="G317" s="283"/>
      <c r="H317" s="283"/>
      <c r="I317" s="283"/>
      <c r="J317" s="283"/>
    </row>
    <row r="318" spans="6:10" x14ac:dyDescent="0.25">
      <c r="F318" s="283"/>
      <c r="G318" s="283"/>
      <c r="H318" s="283"/>
      <c r="I318" s="283"/>
      <c r="J318" s="283"/>
    </row>
    <row r="319" spans="6:10" x14ac:dyDescent="0.25">
      <c r="F319" s="283"/>
      <c r="G319" s="283"/>
      <c r="H319" s="283"/>
      <c r="I319" s="283"/>
      <c r="J319" s="283"/>
    </row>
    <row r="320" spans="6:10" x14ac:dyDescent="0.25">
      <c r="F320" s="283"/>
      <c r="G320" s="283"/>
      <c r="H320" s="283"/>
      <c r="I320" s="283"/>
      <c r="J320" s="283"/>
    </row>
    <row r="321" spans="6:10" x14ac:dyDescent="0.25">
      <c r="F321" s="283"/>
      <c r="G321" s="283"/>
      <c r="H321" s="283"/>
      <c r="I321" s="283"/>
      <c r="J321" s="283"/>
    </row>
    <row r="322" spans="6:10" x14ac:dyDescent="0.25">
      <c r="F322" s="283"/>
      <c r="G322" s="283"/>
      <c r="H322" s="283"/>
      <c r="I322" s="283"/>
      <c r="J322" s="283"/>
    </row>
    <row r="323" spans="6:10" x14ac:dyDescent="0.25">
      <c r="F323" s="283"/>
      <c r="G323" s="283"/>
      <c r="H323" s="283"/>
      <c r="I323" s="283"/>
      <c r="J323" s="283"/>
    </row>
    <row r="324" spans="6:10" x14ac:dyDescent="0.25">
      <c r="F324" s="283"/>
      <c r="G324" s="283"/>
      <c r="H324" s="283"/>
      <c r="I324" s="283"/>
      <c r="J324" s="283"/>
    </row>
    <row r="325" spans="6:10" x14ac:dyDescent="0.25">
      <c r="F325" s="283"/>
      <c r="G325" s="283"/>
      <c r="H325" s="283"/>
      <c r="I325" s="283"/>
      <c r="J325" s="283"/>
    </row>
    <row r="326" spans="6:10" x14ac:dyDescent="0.25">
      <c r="F326" s="283"/>
      <c r="G326" s="283"/>
      <c r="H326" s="283"/>
      <c r="I326" s="283"/>
      <c r="J326" s="283"/>
    </row>
    <row r="327" spans="6:10" x14ac:dyDescent="0.25">
      <c r="F327" s="283"/>
      <c r="G327" s="283"/>
      <c r="H327" s="283"/>
      <c r="I327" s="283"/>
      <c r="J327" s="283"/>
    </row>
    <row r="328" spans="6:10" x14ac:dyDescent="0.25">
      <c r="F328" s="283"/>
      <c r="G328" s="283"/>
      <c r="H328" s="283"/>
      <c r="I328" s="283"/>
      <c r="J328" s="283"/>
    </row>
    <row r="329" spans="6:10" x14ac:dyDescent="0.25">
      <c r="F329" s="283"/>
      <c r="G329" s="283"/>
      <c r="H329" s="283"/>
      <c r="I329" s="283"/>
      <c r="J329" s="283"/>
    </row>
    <row r="330" spans="6:10" x14ac:dyDescent="0.25">
      <c r="F330" s="283"/>
      <c r="G330" s="283"/>
      <c r="H330" s="283"/>
      <c r="I330" s="283"/>
      <c r="J330" s="283"/>
    </row>
    <row r="331" spans="6:10" x14ac:dyDescent="0.25">
      <c r="F331" s="283"/>
      <c r="G331" s="283"/>
      <c r="H331" s="283"/>
      <c r="I331" s="283"/>
      <c r="J331" s="283"/>
    </row>
    <row r="332" spans="6:10" x14ac:dyDescent="0.25">
      <c r="F332" s="283"/>
      <c r="G332" s="283"/>
      <c r="H332" s="283"/>
      <c r="I332" s="283"/>
      <c r="J332" s="283"/>
    </row>
    <row r="333" spans="6:10" x14ac:dyDescent="0.25">
      <c r="F333" s="283"/>
      <c r="G333" s="283"/>
      <c r="H333" s="283"/>
      <c r="I333" s="283"/>
      <c r="J333" s="283"/>
    </row>
    <row r="334" spans="6:10" x14ac:dyDescent="0.25">
      <c r="F334" s="283"/>
      <c r="G334" s="283"/>
      <c r="H334" s="283"/>
      <c r="I334" s="283"/>
      <c r="J334" s="283"/>
    </row>
    <row r="335" spans="6:10" x14ac:dyDescent="0.25">
      <c r="F335" s="283"/>
      <c r="G335" s="283"/>
      <c r="H335" s="283"/>
      <c r="I335" s="283"/>
      <c r="J335" s="283"/>
    </row>
    <row r="336" spans="6:10" x14ac:dyDescent="0.25">
      <c r="F336" s="283"/>
      <c r="G336" s="283"/>
      <c r="H336" s="283"/>
      <c r="I336" s="283"/>
      <c r="J336" s="283"/>
    </row>
    <row r="337" spans="6:10" x14ac:dyDescent="0.25">
      <c r="F337" s="283"/>
      <c r="G337" s="283"/>
      <c r="H337" s="283"/>
      <c r="I337" s="283"/>
      <c r="J337" s="283"/>
    </row>
    <row r="338" spans="6:10" x14ac:dyDescent="0.25">
      <c r="F338" s="283"/>
      <c r="G338" s="283"/>
      <c r="H338" s="283"/>
      <c r="I338" s="283"/>
      <c r="J338" s="283"/>
    </row>
    <row r="339" spans="6:10" x14ac:dyDescent="0.25">
      <c r="F339" s="283"/>
      <c r="G339" s="283"/>
      <c r="H339" s="283"/>
      <c r="I339" s="283"/>
      <c r="J339" s="283"/>
    </row>
    <row r="340" spans="6:10" x14ac:dyDescent="0.25">
      <c r="F340" s="283"/>
      <c r="G340" s="283"/>
      <c r="H340" s="283"/>
      <c r="I340" s="283"/>
      <c r="J340" s="283"/>
    </row>
    <row r="341" spans="6:10" x14ac:dyDescent="0.25">
      <c r="F341" s="283"/>
      <c r="G341" s="283"/>
      <c r="H341" s="283"/>
      <c r="I341" s="283"/>
      <c r="J341" s="283"/>
    </row>
    <row r="342" spans="6:10" x14ac:dyDescent="0.25">
      <c r="F342" s="283"/>
      <c r="G342" s="283"/>
      <c r="H342" s="283"/>
      <c r="I342" s="283"/>
      <c r="J342" s="283"/>
    </row>
    <row r="343" spans="6:10" x14ac:dyDescent="0.25">
      <c r="F343" s="283"/>
      <c r="G343" s="283"/>
      <c r="H343" s="283"/>
      <c r="I343" s="283"/>
      <c r="J343" s="283"/>
    </row>
    <row r="344" spans="6:10" x14ac:dyDescent="0.25">
      <c r="F344" s="283"/>
      <c r="G344" s="283"/>
      <c r="H344" s="283"/>
      <c r="I344" s="283"/>
      <c r="J344" s="283"/>
    </row>
    <row r="345" spans="6:10" x14ac:dyDescent="0.25">
      <c r="F345" s="283"/>
      <c r="G345" s="283"/>
      <c r="H345" s="283"/>
      <c r="I345" s="283"/>
      <c r="J345" s="283"/>
    </row>
    <row r="346" spans="6:10" x14ac:dyDescent="0.25">
      <c r="F346" s="283"/>
      <c r="G346" s="283"/>
      <c r="H346" s="283"/>
      <c r="I346" s="283"/>
      <c r="J346" s="283"/>
    </row>
    <row r="347" spans="6:10" x14ac:dyDescent="0.25">
      <c r="F347" s="283"/>
      <c r="G347" s="283"/>
      <c r="H347" s="283"/>
      <c r="I347" s="283"/>
      <c r="J347" s="283"/>
    </row>
    <row r="348" spans="6:10" x14ac:dyDescent="0.25">
      <c r="F348" s="283"/>
      <c r="G348" s="283"/>
      <c r="H348" s="283"/>
      <c r="I348" s="283"/>
      <c r="J348" s="283"/>
    </row>
    <row r="349" spans="6:10" x14ac:dyDescent="0.25">
      <c r="F349" s="283"/>
      <c r="G349" s="283"/>
      <c r="H349" s="283"/>
      <c r="I349" s="283"/>
      <c r="J349" s="283"/>
    </row>
    <row r="350" spans="6:10" x14ac:dyDescent="0.25">
      <c r="F350" s="283"/>
      <c r="G350" s="283"/>
      <c r="H350" s="283"/>
      <c r="I350" s="283"/>
      <c r="J350" s="283"/>
    </row>
    <row r="351" spans="6:10" x14ac:dyDescent="0.25">
      <c r="F351" s="283"/>
      <c r="G351" s="283"/>
      <c r="H351" s="283"/>
      <c r="I351" s="283"/>
      <c r="J351" s="283"/>
    </row>
    <row r="352" spans="6:10" x14ac:dyDescent="0.25">
      <c r="F352" s="283"/>
      <c r="G352" s="283"/>
      <c r="H352" s="283"/>
      <c r="I352" s="283"/>
      <c r="J352" s="283"/>
    </row>
    <row r="353" spans="6:10" x14ac:dyDescent="0.25">
      <c r="F353" s="283"/>
      <c r="G353" s="283"/>
      <c r="H353" s="283"/>
      <c r="I353" s="283"/>
      <c r="J353" s="283"/>
    </row>
    <row r="354" spans="6:10" x14ac:dyDescent="0.25">
      <c r="F354" s="283"/>
      <c r="G354" s="283"/>
      <c r="H354" s="283"/>
      <c r="I354" s="283"/>
      <c r="J354" s="283"/>
    </row>
    <row r="355" spans="6:10" x14ac:dyDescent="0.25">
      <c r="F355" s="283"/>
      <c r="G355" s="283"/>
      <c r="H355" s="283"/>
      <c r="I355" s="283"/>
      <c r="J355" s="283"/>
    </row>
    <row r="356" spans="6:10" x14ac:dyDescent="0.25">
      <c r="F356" s="283"/>
      <c r="G356" s="283"/>
      <c r="H356" s="283"/>
      <c r="I356" s="283"/>
      <c r="J356" s="283"/>
    </row>
    <row r="357" spans="6:10" x14ac:dyDescent="0.25">
      <c r="F357" s="283"/>
      <c r="G357" s="283"/>
      <c r="H357" s="283"/>
      <c r="I357" s="283"/>
      <c r="J357" s="283"/>
    </row>
    <row r="358" spans="6:10" x14ac:dyDescent="0.25">
      <c r="F358" s="283"/>
      <c r="G358" s="283"/>
      <c r="H358" s="283"/>
      <c r="I358" s="283"/>
      <c r="J358" s="283"/>
    </row>
    <row r="359" spans="6:10" x14ac:dyDescent="0.25">
      <c r="F359" s="283"/>
      <c r="G359" s="283"/>
      <c r="H359" s="283"/>
      <c r="I359" s="283"/>
      <c r="J359" s="283"/>
    </row>
    <row r="360" spans="6:10" x14ac:dyDescent="0.25">
      <c r="F360" s="283"/>
      <c r="G360" s="283"/>
      <c r="H360" s="283"/>
      <c r="I360" s="283"/>
      <c r="J360" s="283"/>
    </row>
    <row r="361" spans="6:10" x14ac:dyDescent="0.25">
      <c r="F361" s="283"/>
      <c r="G361" s="283"/>
      <c r="H361" s="283"/>
      <c r="I361" s="283"/>
      <c r="J361" s="283"/>
    </row>
    <row r="362" spans="6:10" x14ac:dyDescent="0.25">
      <c r="F362" s="283"/>
      <c r="G362" s="283"/>
      <c r="H362" s="283"/>
      <c r="I362" s="283"/>
      <c r="J362" s="283"/>
    </row>
    <row r="363" spans="6:10" x14ac:dyDescent="0.25">
      <c r="F363" s="283"/>
      <c r="G363" s="283"/>
      <c r="H363" s="283"/>
      <c r="I363" s="283"/>
      <c r="J363" s="283"/>
    </row>
    <row r="364" spans="6:10" x14ac:dyDescent="0.25">
      <c r="F364" s="283"/>
      <c r="G364" s="283"/>
      <c r="H364" s="283"/>
      <c r="I364" s="283"/>
      <c r="J364" s="283"/>
    </row>
    <row r="365" spans="6:10" x14ac:dyDescent="0.25">
      <c r="F365" s="283"/>
      <c r="G365" s="283"/>
      <c r="H365" s="283"/>
      <c r="I365" s="283"/>
      <c r="J365" s="283"/>
    </row>
    <row r="366" spans="6:10" x14ac:dyDescent="0.25">
      <c r="F366" s="283"/>
      <c r="G366" s="283"/>
      <c r="H366" s="283"/>
      <c r="I366" s="283"/>
      <c r="J366" s="283"/>
    </row>
    <row r="367" spans="6:10" x14ac:dyDescent="0.25">
      <c r="F367" s="283"/>
      <c r="G367" s="283"/>
      <c r="H367" s="283"/>
      <c r="I367" s="283"/>
      <c r="J367" s="283"/>
    </row>
    <row r="368" spans="6:10" x14ac:dyDescent="0.25">
      <c r="F368" s="283"/>
      <c r="G368" s="283"/>
      <c r="H368" s="283"/>
      <c r="I368" s="283"/>
      <c r="J368" s="283"/>
    </row>
    <row r="369" spans="6:10" x14ac:dyDescent="0.25">
      <c r="F369" s="283"/>
      <c r="G369" s="283"/>
      <c r="H369" s="283"/>
      <c r="I369" s="283"/>
      <c r="J369" s="283"/>
    </row>
    <row r="370" spans="6:10" x14ac:dyDescent="0.25">
      <c r="F370" s="283"/>
      <c r="G370" s="283"/>
      <c r="H370" s="283"/>
      <c r="I370" s="283"/>
      <c r="J370" s="283"/>
    </row>
    <row r="371" spans="6:10" x14ac:dyDescent="0.25">
      <c r="F371" s="283"/>
      <c r="G371" s="283"/>
      <c r="H371" s="283"/>
      <c r="I371" s="283"/>
      <c r="J371" s="283"/>
    </row>
    <row r="372" spans="6:10" x14ac:dyDescent="0.25">
      <c r="F372" s="283"/>
      <c r="G372" s="283"/>
      <c r="H372" s="283"/>
      <c r="I372" s="283"/>
      <c r="J372" s="283"/>
    </row>
    <row r="373" spans="6:10" x14ac:dyDescent="0.25">
      <c r="F373" s="283"/>
      <c r="G373" s="283"/>
      <c r="H373" s="283"/>
      <c r="I373" s="283"/>
      <c r="J373" s="283"/>
    </row>
    <row r="374" spans="6:10" x14ac:dyDescent="0.25">
      <c r="F374" s="283"/>
      <c r="G374" s="283"/>
      <c r="H374" s="283"/>
      <c r="I374" s="283"/>
      <c r="J374" s="283"/>
    </row>
    <row r="375" spans="6:10" x14ac:dyDescent="0.25">
      <c r="F375" s="283"/>
      <c r="G375" s="283"/>
      <c r="H375" s="283"/>
      <c r="I375" s="283"/>
      <c r="J375" s="283"/>
    </row>
    <row r="376" spans="6:10" x14ac:dyDescent="0.25">
      <c r="F376" s="283"/>
      <c r="G376" s="283"/>
      <c r="H376" s="283"/>
      <c r="I376" s="283"/>
      <c r="J376" s="283"/>
    </row>
    <row r="377" spans="6:10" x14ac:dyDescent="0.25">
      <c r="F377" s="283"/>
      <c r="G377" s="283"/>
      <c r="H377" s="283"/>
      <c r="I377" s="283"/>
      <c r="J377" s="283"/>
    </row>
    <row r="378" spans="6:10" x14ac:dyDescent="0.25">
      <c r="F378" s="283"/>
      <c r="G378" s="283"/>
      <c r="H378" s="283"/>
      <c r="I378" s="283"/>
      <c r="J378" s="283"/>
    </row>
    <row r="379" spans="6:10" x14ac:dyDescent="0.25">
      <c r="F379" s="283"/>
      <c r="G379" s="283"/>
      <c r="H379" s="283"/>
      <c r="I379" s="283"/>
      <c r="J379" s="283"/>
    </row>
    <row r="380" spans="6:10" x14ac:dyDescent="0.25">
      <c r="F380" s="283"/>
      <c r="G380" s="283"/>
      <c r="H380" s="283"/>
      <c r="I380" s="283"/>
      <c r="J380" s="283"/>
    </row>
    <row r="381" spans="6:10" x14ac:dyDescent="0.25">
      <c r="F381" s="283"/>
      <c r="G381" s="283"/>
      <c r="H381" s="283"/>
      <c r="I381" s="283"/>
      <c r="J381" s="283"/>
    </row>
    <row r="382" spans="6:10" x14ac:dyDescent="0.25">
      <c r="F382" s="283"/>
      <c r="G382" s="283"/>
      <c r="H382" s="283"/>
      <c r="I382" s="283"/>
      <c r="J382" s="283"/>
    </row>
    <row r="383" spans="6:10" x14ac:dyDescent="0.25">
      <c r="F383" s="283"/>
      <c r="G383" s="283"/>
      <c r="H383" s="283"/>
      <c r="I383" s="283"/>
      <c r="J383" s="283"/>
    </row>
    <row r="384" spans="6:10" x14ac:dyDescent="0.25">
      <c r="F384" s="283"/>
      <c r="G384" s="283"/>
      <c r="H384" s="283"/>
      <c r="I384" s="283"/>
      <c r="J384" s="283"/>
    </row>
    <row r="385" spans="6:10" x14ac:dyDescent="0.25">
      <c r="F385" s="283"/>
      <c r="G385" s="283"/>
      <c r="H385" s="283"/>
      <c r="I385" s="283"/>
      <c r="J385" s="283"/>
    </row>
    <row r="386" spans="6:10" x14ac:dyDescent="0.25">
      <c r="F386" s="283"/>
      <c r="G386" s="283"/>
      <c r="H386" s="283"/>
      <c r="I386" s="283"/>
      <c r="J386" s="283"/>
    </row>
    <row r="387" spans="6:10" x14ac:dyDescent="0.25">
      <c r="F387" s="283"/>
      <c r="G387" s="283"/>
      <c r="H387" s="283"/>
      <c r="I387" s="283"/>
      <c r="J387" s="283"/>
    </row>
    <row r="388" spans="6:10" x14ac:dyDescent="0.25">
      <c r="F388" s="283"/>
      <c r="G388" s="283"/>
      <c r="H388" s="283"/>
      <c r="I388" s="283"/>
      <c r="J388" s="283"/>
    </row>
    <row r="389" spans="6:10" x14ac:dyDescent="0.25">
      <c r="F389" s="283"/>
      <c r="G389" s="283"/>
      <c r="H389" s="283"/>
      <c r="I389" s="283"/>
      <c r="J389" s="283"/>
    </row>
    <row r="390" spans="6:10" x14ac:dyDescent="0.25">
      <c r="F390" s="283"/>
      <c r="G390" s="283"/>
      <c r="H390" s="283"/>
      <c r="I390" s="283"/>
      <c r="J390" s="283"/>
    </row>
    <row r="391" spans="6:10" x14ac:dyDescent="0.25">
      <c r="F391" s="283"/>
      <c r="G391" s="283"/>
      <c r="H391" s="283"/>
      <c r="I391" s="283"/>
      <c r="J391" s="283"/>
    </row>
    <row r="392" spans="6:10" x14ac:dyDescent="0.25">
      <c r="F392" s="283"/>
      <c r="G392" s="283"/>
      <c r="H392" s="283"/>
      <c r="I392" s="283"/>
      <c r="J392" s="283"/>
    </row>
    <row r="393" spans="6:10" x14ac:dyDescent="0.25">
      <c r="F393" s="283"/>
      <c r="G393" s="283"/>
      <c r="H393" s="283"/>
      <c r="I393" s="283"/>
      <c r="J393" s="283"/>
    </row>
    <row r="394" spans="6:10" x14ac:dyDescent="0.25">
      <c r="F394" s="283"/>
      <c r="G394" s="283"/>
      <c r="H394" s="283"/>
      <c r="I394" s="283"/>
      <c r="J394" s="283"/>
    </row>
    <row r="395" spans="6:10" x14ac:dyDescent="0.25">
      <c r="F395" s="283"/>
      <c r="G395" s="283"/>
      <c r="H395" s="283"/>
      <c r="I395" s="283"/>
      <c r="J395" s="283"/>
    </row>
    <row r="396" spans="6:10" x14ac:dyDescent="0.25">
      <c r="F396" s="283"/>
      <c r="G396" s="283"/>
      <c r="H396" s="283"/>
      <c r="I396" s="283"/>
      <c r="J396" s="283"/>
    </row>
    <row r="397" spans="6:10" x14ac:dyDescent="0.25">
      <c r="F397" s="283"/>
      <c r="G397" s="283"/>
      <c r="H397" s="283"/>
      <c r="I397" s="283"/>
      <c r="J397" s="283"/>
    </row>
    <row r="398" spans="6:10" x14ac:dyDescent="0.25">
      <c r="F398" s="283"/>
      <c r="G398" s="283"/>
      <c r="H398" s="283"/>
      <c r="I398" s="283"/>
      <c r="J398" s="283"/>
    </row>
    <row r="399" spans="6:10" x14ac:dyDescent="0.25">
      <c r="F399" s="283"/>
      <c r="G399" s="283"/>
      <c r="H399" s="283"/>
      <c r="I399" s="283"/>
      <c r="J399" s="283"/>
    </row>
    <row r="400" spans="6:10" x14ac:dyDescent="0.25">
      <c r="F400" s="283"/>
      <c r="G400" s="283"/>
      <c r="H400" s="283"/>
      <c r="I400" s="283"/>
      <c r="J400" s="283"/>
    </row>
    <row r="401" spans="6:10" x14ac:dyDescent="0.25">
      <c r="F401" s="283"/>
      <c r="G401" s="283"/>
      <c r="H401" s="283"/>
      <c r="I401" s="283"/>
      <c r="J401" s="283"/>
    </row>
    <row r="402" spans="6:10" x14ac:dyDescent="0.25">
      <c r="F402" s="283"/>
      <c r="G402" s="283"/>
      <c r="H402" s="283"/>
      <c r="I402" s="283"/>
      <c r="J402" s="283"/>
    </row>
    <row r="403" spans="6:10" x14ac:dyDescent="0.25">
      <c r="F403" s="283"/>
      <c r="G403" s="283"/>
      <c r="H403" s="283"/>
      <c r="I403" s="283"/>
      <c r="J403" s="283"/>
    </row>
    <row r="404" spans="6:10" x14ac:dyDescent="0.25">
      <c r="F404" s="283"/>
      <c r="G404" s="283"/>
      <c r="H404" s="283"/>
      <c r="I404" s="283"/>
      <c r="J404" s="283"/>
    </row>
    <row r="405" spans="6:10" x14ac:dyDescent="0.25">
      <c r="F405" s="283"/>
      <c r="G405" s="283"/>
      <c r="H405" s="283"/>
      <c r="I405" s="283"/>
      <c r="J405" s="283"/>
    </row>
    <row r="406" spans="6:10" x14ac:dyDescent="0.25">
      <c r="F406" s="283"/>
      <c r="G406" s="283"/>
      <c r="H406" s="283"/>
      <c r="I406" s="283"/>
      <c r="J406" s="283"/>
    </row>
    <row r="407" spans="6:10" x14ac:dyDescent="0.25">
      <c r="F407" s="283"/>
      <c r="G407" s="283"/>
      <c r="H407" s="283"/>
      <c r="I407" s="283"/>
      <c r="J407" s="283"/>
    </row>
    <row r="408" spans="6:10" x14ac:dyDescent="0.25">
      <c r="F408" s="283"/>
      <c r="G408" s="283"/>
      <c r="H408" s="283"/>
      <c r="I408" s="283"/>
      <c r="J408" s="283"/>
    </row>
    <row r="409" spans="6:10" x14ac:dyDescent="0.25">
      <c r="F409" s="283"/>
      <c r="G409" s="283"/>
      <c r="H409" s="283"/>
      <c r="I409" s="283"/>
      <c r="J409" s="283"/>
    </row>
    <row r="410" spans="6:10" x14ac:dyDescent="0.25">
      <c r="F410" s="283"/>
      <c r="G410" s="283"/>
      <c r="H410" s="283"/>
      <c r="I410" s="283"/>
      <c r="J410" s="283"/>
    </row>
    <row r="411" spans="6:10" x14ac:dyDescent="0.25">
      <c r="F411" s="283"/>
      <c r="G411" s="283"/>
      <c r="H411" s="283"/>
      <c r="I411" s="283"/>
      <c r="J411" s="283"/>
    </row>
    <row r="412" spans="6:10" x14ac:dyDescent="0.25">
      <c r="F412" s="283"/>
      <c r="G412" s="283"/>
      <c r="H412" s="283"/>
      <c r="I412" s="283"/>
      <c r="J412" s="283"/>
    </row>
    <row r="413" spans="6:10" x14ac:dyDescent="0.25">
      <c r="F413" s="283"/>
      <c r="G413" s="283"/>
      <c r="H413" s="283"/>
      <c r="I413" s="283"/>
      <c r="J413" s="283"/>
    </row>
    <row r="414" spans="6:10" x14ac:dyDescent="0.25">
      <c r="F414" s="283"/>
      <c r="G414" s="283"/>
      <c r="H414" s="283"/>
      <c r="I414" s="283"/>
      <c r="J414" s="283"/>
    </row>
    <row r="415" spans="6:10" x14ac:dyDescent="0.25">
      <c r="F415" s="283"/>
      <c r="G415" s="283"/>
      <c r="H415" s="283"/>
      <c r="I415" s="283"/>
      <c r="J415" s="283"/>
    </row>
    <row r="416" spans="6:10" x14ac:dyDescent="0.25">
      <c r="F416" s="283"/>
      <c r="G416" s="283"/>
      <c r="H416" s="283"/>
      <c r="I416" s="283"/>
      <c r="J416" s="283"/>
    </row>
    <row r="417" spans="6:10" x14ac:dyDescent="0.25">
      <c r="F417" s="283"/>
      <c r="G417" s="283"/>
      <c r="H417" s="283"/>
      <c r="I417" s="283"/>
      <c r="J417" s="283"/>
    </row>
    <row r="418" spans="6:10" x14ac:dyDescent="0.25">
      <c r="F418" s="283"/>
      <c r="G418" s="283"/>
      <c r="H418" s="283"/>
      <c r="I418" s="283"/>
      <c r="J418" s="283"/>
    </row>
    <row r="419" spans="6:10" x14ac:dyDescent="0.25">
      <c r="F419" s="283"/>
      <c r="G419" s="283"/>
      <c r="H419" s="283"/>
      <c r="I419" s="283"/>
      <c r="J419" s="283"/>
    </row>
    <row r="420" spans="6:10" x14ac:dyDescent="0.25">
      <c r="F420" s="283"/>
      <c r="G420" s="283"/>
      <c r="H420" s="283"/>
      <c r="I420" s="283"/>
      <c r="J420" s="283"/>
    </row>
    <row r="421" spans="6:10" x14ac:dyDescent="0.25">
      <c r="F421" s="283"/>
      <c r="G421" s="283"/>
      <c r="H421" s="283"/>
      <c r="I421" s="283"/>
      <c r="J421" s="283"/>
    </row>
    <row r="422" spans="6:10" x14ac:dyDescent="0.25">
      <c r="F422" s="283"/>
      <c r="G422" s="283"/>
      <c r="H422" s="283"/>
      <c r="I422" s="283"/>
      <c r="J422" s="283"/>
    </row>
    <row r="423" spans="6:10" x14ac:dyDescent="0.25">
      <c r="F423" s="283"/>
      <c r="G423" s="283"/>
      <c r="H423" s="283"/>
      <c r="I423" s="283"/>
      <c r="J423" s="283"/>
    </row>
    <row r="424" spans="6:10" x14ac:dyDescent="0.25">
      <c r="F424" s="283"/>
      <c r="G424" s="283"/>
      <c r="H424" s="283"/>
      <c r="I424" s="283"/>
      <c r="J424" s="283"/>
    </row>
    <row r="425" spans="6:10" x14ac:dyDescent="0.25">
      <c r="F425" s="283"/>
      <c r="G425" s="283"/>
      <c r="H425" s="283"/>
      <c r="I425" s="283"/>
      <c r="J425" s="283"/>
    </row>
    <row r="426" spans="6:10" x14ac:dyDescent="0.25">
      <c r="F426" s="283"/>
      <c r="G426" s="283"/>
      <c r="H426" s="283"/>
      <c r="I426" s="283"/>
      <c r="J426" s="283"/>
    </row>
    <row r="427" spans="6:10" x14ac:dyDescent="0.25">
      <c r="F427" s="283"/>
      <c r="G427" s="283"/>
      <c r="H427" s="283"/>
      <c r="I427" s="283"/>
      <c r="J427" s="283"/>
    </row>
    <row r="428" spans="6:10" x14ac:dyDescent="0.25">
      <c r="F428" s="283"/>
      <c r="G428" s="283"/>
      <c r="H428" s="283"/>
      <c r="I428" s="283"/>
      <c r="J428" s="283"/>
    </row>
    <row r="429" spans="6:10" x14ac:dyDescent="0.25">
      <c r="F429" s="283"/>
      <c r="G429" s="283"/>
      <c r="H429" s="283"/>
      <c r="I429" s="283"/>
      <c r="J429" s="283"/>
    </row>
    <row r="430" spans="6:10" x14ac:dyDescent="0.25">
      <c r="F430" s="283"/>
      <c r="G430" s="283"/>
      <c r="H430" s="283"/>
      <c r="I430" s="283"/>
      <c r="J430" s="283"/>
    </row>
    <row r="431" spans="6:10" x14ac:dyDescent="0.25">
      <c r="F431" s="283"/>
      <c r="G431" s="283"/>
      <c r="H431" s="283"/>
      <c r="I431" s="283"/>
      <c r="J431" s="283"/>
    </row>
    <row r="432" spans="6:10" x14ac:dyDescent="0.25">
      <c r="F432" s="283"/>
      <c r="G432" s="283"/>
      <c r="H432" s="283"/>
      <c r="I432" s="283"/>
      <c r="J432" s="283"/>
    </row>
    <row r="433" spans="6:10" x14ac:dyDescent="0.25">
      <c r="F433" s="283"/>
      <c r="G433" s="283"/>
      <c r="H433" s="283"/>
      <c r="I433" s="283"/>
      <c r="J433" s="283"/>
    </row>
    <row r="434" spans="6:10" x14ac:dyDescent="0.25">
      <c r="F434" s="283"/>
      <c r="G434" s="283"/>
      <c r="H434" s="283"/>
      <c r="I434" s="283"/>
      <c r="J434" s="283"/>
    </row>
    <row r="435" spans="6:10" x14ac:dyDescent="0.25">
      <c r="F435" s="283"/>
      <c r="G435" s="283"/>
      <c r="H435" s="283"/>
      <c r="I435" s="283"/>
      <c r="J435" s="283"/>
    </row>
    <row r="436" spans="6:10" x14ac:dyDescent="0.25">
      <c r="F436" s="283"/>
      <c r="G436" s="283"/>
      <c r="H436" s="283"/>
      <c r="I436" s="283"/>
      <c r="J436" s="283"/>
    </row>
    <row r="437" spans="6:10" x14ac:dyDescent="0.25">
      <c r="F437" s="283"/>
      <c r="G437" s="283"/>
      <c r="H437" s="283"/>
      <c r="I437" s="283"/>
      <c r="J437" s="283"/>
    </row>
    <row r="438" spans="6:10" x14ac:dyDescent="0.25">
      <c r="F438" s="283"/>
      <c r="G438" s="283"/>
      <c r="H438" s="283"/>
      <c r="I438" s="283"/>
      <c r="J438" s="283"/>
    </row>
    <row r="439" spans="6:10" x14ac:dyDescent="0.25">
      <c r="F439" s="283"/>
      <c r="G439" s="283"/>
      <c r="H439" s="283"/>
      <c r="I439" s="283"/>
      <c r="J439" s="283"/>
    </row>
    <row r="440" spans="6:10" x14ac:dyDescent="0.25">
      <c r="F440" s="283"/>
      <c r="G440" s="283"/>
      <c r="H440" s="283"/>
      <c r="I440" s="283"/>
      <c r="J440" s="283"/>
    </row>
    <row r="441" spans="6:10" x14ac:dyDescent="0.25">
      <c r="F441" s="283"/>
      <c r="G441" s="283"/>
      <c r="H441" s="283"/>
      <c r="I441" s="283"/>
      <c r="J441" s="283"/>
    </row>
    <row r="442" spans="6:10" x14ac:dyDescent="0.25">
      <c r="F442" s="283"/>
      <c r="G442" s="283"/>
      <c r="H442" s="283"/>
      <c r="I442" s="283"/>
      <c r="J442" s="283"/>
    </row>
    <row r="443" spans="6:10" x14ac:dyDescent="0.25">
      <c r="F443" s="283"/>
      <c r="G443" s="283"/>
      <c r="H443" s="283"/>
      <c r="I443" s="283"/>
      <c r="J443" s="283"/>
    </row>
    <row r="444" spans="6:10" x14ac:dyDescent="0.25">
      <c r="F444" s="283"/>
      <c r="G444" s="283"/>
      <c r="H444" s="283"/>
      <c r="I444" s="283"/>
      <c r="J444" s="283"/>
    </row>
    <row r="445" spans="6:10" x14ac:dyDescent="0.25">
      <c r="F445" s="283"/>
      <c r="G445" s="283"/>
      <c r="H445" s="283"/>
      <c r="I445" s="283"/>
      <c r="J445" s="283"/>
    </row>
    <row r="446" spans="6:10" x14ac:dyDescent="0.25">
      <c r="F446" s="283"/>
      <c r="G446" s="283"/>
      <c r="H446" s="283"/>
      <c r="I446" s="283"/>
      <c r="J446" s="283"/>
    </row>
    <row r="447" spans="6:10" x14ac:dyDescent="0.25">
      <c r="F447" s="283"/>
      <c r="G447" s="283"/>
      <c r="H447" s="283"/>
      <c r="I447" s="283"/>
      <c r="J447" s="283"/>
    </row>
    <row r="448" spans="6:10" x14ac:dyDescent="0.25">
      <c r="F448" s="283"/>
      <c r="G448" s="283"/>
      <c r="H448" s="283"/>
      <c r="I448" s="283"/>
      <c r="J448" s="283"/>
    </row>
    <row r="449" spans="6:10" x14ac:dyDescent="0.25">
      <c r="F449" s="283"/>
      <c r="G449" s="283"/>
      <c r="H449" s="283"/>
      <c r="I449" s="283"/>
      <c r="J449" s="283"/>
    </row>
    <row r="450" spans="6:10" x14ac:dyDescent="0.25">
      <c r="F450" s="283"/>
      <c r="G450" s="283"/>
      <c r="H450" s="283"/>
      <c r="I450" s="283"/>
      <c r="J450" s="283"/>
    </row>
    <row r="451" spans="6:10" x14ac:dyDescent="0.25">
      <c r="F451" s="283"/>
      <c r="G451" s="283"/>
      <c r="H451" s="283"/>
      <c r="I451" s="283"/>
      <c r="J451" s="283"/>
    </row>
    <row r="452" spans="6:10" x14ac:dyDescent="0.25">
      <c r="F452" s="283"/>
      <c r="G452" s="283"/>
      <c r="H452" s="283"/>
      <c r="I452" s="283"/>
      <c r="J452" s="283"/>
    </row>
    <row r="453" spans="6:10" x14ac:dyDescent="0.25">
      <c r="F453" s="283"/>
      <c r="G453" s="283"/>
      <c r="H453" s="283"/>
      <c r="I453" s="283"/>
      <c r="J453" s="283"/>
    </row>
    <row r="454" spans="6:10" x14ac:dyDescent="0.25">
      <c r="F454" s="283"/>
      <c r="G454" s="283"/>
      <c r="H454" s="283"/>
      <c r="I454" s="283"/>
      <c r="J454" s="283"/>
    </row>
    <row r="455" spans="6:10" x14ac:dyDescent="0.25">
      <c r="F455" s="283"/>
      <c r="G455" s="283"/>
      <c r="H455" s="283"/>
      <c r="I455" s="283"/>
      <c r="J455" s="283"/>
    </row>
    <row r="456" spans="6:10" x14ac:dyDescent="0.25">
      <c r="F456" s="283"/>
      <c r="G456" s="283"/>
      <c r="H456" s="283"/>
      <c r="I456" s="283"/>
      <c r="J456" s="283"/>
    </row>
    <row r="457" spans="6:10" x14ac:dyDescent="0.25">
      <c r="F457" s="283"/>
      <c r="G457" s="283"/>
      <c r="H457" s="283"/>
      <c r="I457" s="283"/>
      <c r="J457" s="283"/>
    </row>
    <row r="458" spans="6:10" x14ac:dyDescent="0.25">
      <c r="F458" s="283"/>
      <c r="G458" s="283"/>
      <c r="H458" s="283"/>
      <c r="I458" s="283"/>
      <c r="J458" s="283"/>
    </row>
    <row r="459" spans="6:10" x14ac:dyDescent="0.25">
      <c r="F459" s="283"/>
      <c r="G459" s="283"/>
      <c r="H459" s="283"/>
      <c r="I459" s="283"/>
      <c r="J459" s="283"/>
    </row>
    <row r="460" spans="6:10" x14ac:dyDescent="0.25">
      <c r="F460" s="283"/>
      <c r="G460" s="283"/>
      <c r="H460" s="283"/>
      <c r="I460" s="283"/>
      <c r="J460" s="283"/>
    </row>
    <row r="461" spans="6:10" x14ac:dyDescent="0.25">
      <c r="F461" s="283"/>
      <c r="G461" s="283"/>
      <c r="H461" s="283"/>
      <c r="I461" s="283"/>
      <c r="J461" s="283"/>
    </row>
    <row r="462" spans="6:10" x14ac:dyDescent="0.25">
      <c r="F462" s="283"/>
      <c r="G462" s="283"/>
      <c r="H462" s="283"/>
      <c r="I462" s="283"/>
      <c r="J462" s="283"/>
    </row>
    <row r="463" spans="6:10" x14ac:dyDescent="0.25">
      <c r="F463" s="283"/>
      <c r="G463" s="283"/>
      <c r="H463" s="283"/>
      <c r="I463" s="283"/>
      <c r="J463" s="283"/>
    </row>
    <row r="464" spans="6:10" x14ac:dyDescent="0.25">
      <c r="F464" s="283"/>
      <c r="G464" s="283"/>
      <c r="H464" s="283"/>
      <c r="I464" s="283"/>
      <c r="J464" s="283"/>
    </row>
    <row r="465" spans="6:10" x14ac:dyDescent="0.25">
      <c r="F465" s="283"/>
      <c r="G465" s="283"/>
      <c r="H465" s="283"/>
      <c r="I465" s="283"/>
      <c r="J465" s="283"/>
    </row>
    <row r="466" spans="6:10" x14ac:dyDescent="0.25">
      <c r="F466" s="283"/>
      <c r="G466" s="283"/>
      <c r="H466" s="283"/>
      <c r="I466" s="283"/>
      <c r="J466" s="283"/>
    </row>
    <row r="467" spans="6:10" x14ac:dyDescent="0.25">
      <c r="F467" s="283"/>
      <c r="G467" s="283"/>
      <c r="H467" s="283"/>
      <c r="I467" s="283"/>
      <c r="J467" s="283"/>
    </row>
    <row r="468" spans="6:10" x14ac:dyDescent="0.25">
      <c r="F468" s="283"/>
      <c r="G468" s="283"/>
      <c r="H468" s="283"/>
      <c r="I468" s="283"/>
      <c r="J468" s="283"/>
    </row>
    <row r="469" spans="6:10" x14ac:dyDescent="0.25">
      <c r="F469" s="283"/>
      <c r="G469" s="283"/>
      <c r="H469" s="283"/>
      <c r="I469" s="283"/>
      <c r="J469" s="283"/>
    </row>
    <row r="470" spans="6:10" x14ac:dyDescent="0.25">
      <c r="F470" s="283"/>
      <c r="G470" s="283"/>
      <c r="H470" s="283"/>
      <c r="I470" s="283"/>
      <c r="J470" s="283"/>
    </row>
    <row r="471" spans="6:10" x14ac:dyDescent="0.25">
      <c r="F471" s="283"/>
      <c r="G471" s="283"/>
      <c r="H471" s="283"/>
      <c r="I471" s="283"/>
      <c r="J471" s="283"/>
    </row>
    <row r="472" spans="6:10" x14ac:dyDescent="0.25">
      <c r="F472" s="283"/>
      <c r="G472" s="283"/>
      <c r="H472" s="283"/>
      <c r="I472" s="283"/>
      <c r="J472" s="283"/>
    </row>
    <row r="473" spans="6:10" x14ac:dyDescent="0.25">
      <c r="F473" s="283"/>
      <c r="G473" s="283"/>
      <c r="H473" s="283"/>
      <c r="I473" s="283"/>
      <c r="J473" s="283"/>
    </row>
    <row r="474" spans="6:10" x14ac:dyDescent="0.25">
      <c r="F474" s="283"/>
      <c r="G474" s="283"/>
      <c r="H474" s="283"/>
      <c r="I474" s="283"/>
      <c r="J474" s="283"/>
    </row>
    <row r="475" spans="6:10" x14ac:dyDescent="0.25">
      <c r="F475" s="283"/>
      <c r="G475" s="283"/>
      <c r="H475" s="283"/>
      <c r="I475" s="283"/>
      <c r="J475" s="283"/>
    </row>
    <row r="476" spans="6:10" x14ac:dyDescent="0.25">
      <c r="F476" s="283"/>
      <c r="G476" s="283"/>
      <c r="H476" s="283"/>
      <c r="I476" s="283"/>
      <c r="J476" s="283"/>
    </row>
    <row r="477" spans="6:10" x14ac:dyDescent="0.25">
      <c r="F477" s="283"/>
      <c r="G477" s="283"/>
      <c r="H477" s="283"/>
      <c r="I477" s="283"/>
      <c r="J477" s="283"/>
    </row>
    <row r="478" spans="6:10" x14ac:dyDescent="0.25">
      <c r="F478" s="283"/>
      <c r="G478" s="283"/>
      <c r="H478" s="283"/>
      <c r="I478" s="283"/>
      <c r="J478" s="283"/>
    </row>
    <row r="479" spans="6:10" x14ac:dyDescent="0.25">
      <c r="F479" s="283"/>
      <c r="G479" s="283"/>
      <c r="H479" s="283"/>
      <c r="I479" s="283"/>
      <c r="J479" s="283"/>
    </row>
    <row r="480" spans="6:10" x14ac:dyDescent="0.25">
      <c r="F480" s="283"/>
      <c r="G480" s="283"/>
      <c r="H480" s="283"/>
      <c r="I480" s="283"/>
      <c r="J480" s="283"/>
    </row>
    <row r="481" spans="6:10" x14ac:dyDescent="0.25">
      <c r="F481" s="283"/>
      <c r="G481" s="283"/>
      <c r="H481" s="283"/>
      <c r="I481" s="283"/>
      <c r="J481" s="283"/>
    </row>
    <row r="482" spans="6:10" x14ac:dyDescent="0.25">
      <c r="F482" s="283"/>
      <c r="G482" s="283"/>
      <c r="H482" s="283"/>
      <c r="I482" s="283"/>
      <c r="J482" s="283"/>
    </row>
    <row r="483" spans="6:10" x14ac:dyDescent="0.25">
      <c r="F483" s="283"/>
      <c r="G483" s="283"/>
      <c r="H483" s="283"/>
      <c r="I483" s="283"/>
      <c r="J483" s="283"/>
    </row>
    <row r="484" spans="6:10" x14ac:dyDescent="0.25">
      <c r="F484" s="283"/>
      <c r="G484" s="283"/>
      <c r="H484" s="283"/>
      <c r="I484" s="283"/>
      <c r="J484" s="283"/>
    </row>
    <row r="485" spans="6:10" x14ac:dyDescent="0.25">
      <c r="F485" s="283"/>
      <c r="G485" s="283"/>
      <c r="H485" s="283"/>
      <c r="I485" s="283"/>
      <c r="J485" s="283"/>
    </row>
    <row r="486" spans="6:10" x14ac:dyDescent="0.25">
      <c r="F486" s="283"/>
      <c r="G486" s="283"/>
      <c r="H486" s="283"/>
      <c r="I486" s="283"/>
      <c r="J486" s="283"/>
    </row>
    <row r="487" spans="6:10" x14ac:dyDescent="0.25">
      <c r="F487" s="283"/>
      <c r="G487" s="283"/>
      <c r="H487" s="283"/>
      <c r="I487" s="283"/>
      <c r="J487" s="283"/>
    </row>
    <row r="488" spans="6:10" x14ac:dyDescent="0.25">
      <c r="F488" s="283"/>
      <c r="G488" s="283"/>
      <c r="H488" s="283"/>
      <c r="I488" s="283"/>
      <c r="J488" s="283"/>
    </row>
    <row r="489" spans="6:10" x14ac:dyDescent="0.25">
      <c r="F489" s="283"/>
      <c r="G489" s="283"/>
      <c r="H489" s="283"/>
      <c r="I489" s="283"/>
      <c r="J489" s="283"/>
    </row>
    <row r="490" spans="6:10" x14ac:dyDescent="0.25">
      <c r="F490" s="283"/>
      <c r="G490" s="283"/>
      <c r="H490" s="283"/>
      <c r="I490" s="283"/>
      <c r="J490" s="283"/>
    </row>
    <row r="491" spans="6:10" x14ac:dyDescent="0.25">
      <c r="F491" s="283"/>
      <c r="G491" s="283"/>
      <c r="H491" s="283"/>
      <c r="I491" s="283"/>
      <c r="J491" s="283"/>
    </row>
    <row r="492" spans="6:10" x14ac:dyDescent="0.25">
      <c r="F492" s="283"/>
      <c r="G492" s="283"/>
      <c r="H492" s="283"/>
      <c r="I492" s="283"/>
      <c r="J492" s="283"/>
    </row>
    <row r="493" spans="6:10" x14ac:dyDescent="0.25">
      <c r="F493" s="283"/>
      <c r="G493" s="283"/>
      <c r="H493" s="283"/>
      <c r="I493" s="283"/>
      <c r="J493" s="283"/>
    </row>
    <row r="494" spans="6:10" x14ac:dyDescent="0.25">
      <c r="F494" s="283"/>
      <c r="G494" s="283"/>
      <c r="H494" s="283"/>
      <c r="I494" s="283"/>
      <c r="J494" s="283"/>
    </row>
    <row r="495" spans="6:10" x14ac:dyDescent="0.25">
      <c r="F495" s="283"/>
      <c r="G495" s="283"/>
      <c r="H495" s="283"/>
      <c r="I495" s="283"/>
      <c r="J495" s="283"/>
    </row>
    <row r="496" spans="6:10" x14ac:dyDescent="0.25">
      <c r="F496" s="283"/>
      <c r="G496" s="283"/>
      <c r="H496" s="283"/>
      <c r="I496" s="283"/>
      <c r="J496" s="283"/>
    </row>
    <row r="497" spans="6:10" x14ac:dyDescent="0.25">
      <c r="F497" s="283"/>
      <c r="G497" s="283"/>
      <c r="H497" s="283"/>
      <c r="I497" s="283"/>
      <c r="J497" s="283"/>
    </row>
    <row r="498" spans="6:10" x14ac:dyDescent="0.25">
      <c r="F498" s="283"/>
      <c r="G498" s="283"/>
      <c r="H498" s="283"/>
      <c r="I498" s="283"/>
      <c r="J498" s="283"/>
    </row>
    <row r="499" spans="6:10" x14ac:dyDescent="0.25">
      <c r="F499" s="283"/>
      <c r="G499" s="283"/>
      <c r="H499" s="283"/>
      <c r="I499" s="283"/>
      <c r="J499" s="283"/>
    </row>
    <row r="500" spans="6:10" x14ac:dyDescent="0.25">
      <c r="F500" s="283"/>
      <c r="G500" s="283"/>
      <c r="H500" s="283"/>
      <c r="I500" s="283"/>
      <c r="J500" s="283"/>
    </row>
    <row r="501" spans="6:10" x14ac:dyDescent="0.25">
      <c r="F501" s="283"/>
      <c r="G501" s="283"/>
      <c r="H501" s="283"/>
      <c r="I501" s="283"/>
      <c r="J501" s="283"/>
    </row>
    <row r="502" spans="6:10" x14ac:dyDescent="0.25">
      <c r="F502" s="283"/>
      <c r="G502" s="283"/>
      <c r="H502" s="283"/>
      <c r="I502" s="283"/>
      <c r="J502" s="283"/>
    </row>
    <row r="503" spans="6:10" x14ac:dyDescent="0.25">
      <c r="F503" s="283"/>
      <c r="G503" s="283"/>
      <c r="H503" s="283"/>
      <c r="I503" s="283"/>
      <c r="J503" s="283"/>
    </row>
    <row r="504" spans="6:10" x14ac:dyDescent="0.25">
      <c r="F504" s="283"/>
      <c r="G504" s="283"/>
      <c r="H504" s="283"/>
      <c r="I504" s="283"/>
      <c r="J504" s="283"/>
    </row>
    <row r="505" spans="6:10" x14ac:dyDescent="0.25">
      <c r="F505" s="283"/>
      <c r="G505" s="283"/>
      <c r="H505" s="283"/>
      <c r="I505" s="283"/>
      <c r="J505" s="283"/>
    </row>
    <row r="506" spans="6:10" x14ac:dyDescent="0.25">
      <c r="F506" s="283"/>
      <c r="G506" s="283"/>
      <c r="H506" s="283"/>
      <c r="I506" s="283"/>
      <c r="J506" s="283"/>
    </row>
    <row r="507" spans="6:10" x14ac:dyDescent="0.25">
      <c r="F507" s="283"/>
      <c r="G507" s="283"/>
      <c r="H507" s="283"/>
      <c r="I507" s="283"/>
      <c r="J507" s="283"/>
    </row>
    <row r="508" spans="6:10" x14ac:dyDescent="0.25">
      <c r="F508" s="283"/>
      <c r="G508" s="283"/>
      <c r="H508" s="283"/>
      <c r="I508" s="283"/>
      <c r="J508" s="283"/>
    </row>
    <row r="509" spans="6:10" x14ac:dyDescent="0.25">
      <c r="F509" s="283"/>
      <c r="G509" s="283"/>
      <c r="H509" s="283"/>
      <c r="I509" s="283"/>
      <c r="J509" s="283"/>
    </row>
    <row r="510" spans="6:10" x14ac:dyDescent="0.25">
      <c r="F510" s="283"/>
      <c r="G510" s="283"/>
      <c r="H510" s="283"/>
      <c r="I510" s="283"/>
      <c r="J510" s="283"/>
    </row>
    <row r="511" spans="6:10" x14ac:dyDescent="0.25">
      <c r="F511" s="283"/>
      <c r="G511" s="283"/>
      <c r="H511" s="283"/>
      <c r="I511" s="283"/>
      <c r="J511" s="283"/>
    </row>
    <row r="512" spans="6:10" x14ac:dyDescent="0.25">
      <c r="F512" s="283"/>
      <c r="G512" s="283"/>
      <c r="H512" s="283"/>
      <c r="I512" s="283"/>
      <c r="J512" s="283"/>
    </row>
    <row r="513" spans="6:10" x14ac:dyDescent="0.25">
      <c r="F513" s="283"/>
      <c r="G513" s="283"/>
      <c r="H513" s="283"/>
      <c r="I513" s="283"/>
      <c r="J513" s="283"/>
    </row>
    <row r="514" spans="6:10" x14ac:dyDescent="0.25">
      <c r="F514" s="283"/>
      <c r="G514" s="283"/>
      <c r="H514" s="283"/>
      <c r="I514" s="283"/>
      <c r="J514" s="283"/>
    </row>
    <row r="515" spans="6:10" x14ac:dyDescent="0.25">
      <c r="F515" s="283"/>
      <c r="G515" s="283"/>
      <c r="H515" s="283"/>
      <c r="I515" s="283"/>
      <c r="J515" s="283"/>
    </row>
    <row r="516" spans="6:10" x14ac:dyDescent="0.25">
      <c r="F516" s="283"/>
      <c r="G516" s="283"/>
      <c r="H516" s="283"/>
      <c r="I516" s="283"/>
      <c r="J516" s="283"/>
    </row>
    <row r="517" spans="6:10" x14ac:dyDescent="0.25">
      <c r="F517" s="283"/>
      <c r="G517" s="283"/>
      <c r="H517" s="283"/>
      <c r="I517" s="283"/>
      <c r="J517" s="283"/>
    </row>
    <row r="518" spans="6:10" x14ac:dyDescent="0.25">
      <c r="F518" s="283"/>
      <c r="G518" s="283"/>
      <c r="H518" s="283"/>
      <c r="I518" s="283"/>
      <c r="J518" s="283"/>
    </row>
    <row r="519" spans="6:10" x14ac:dyDescent="0.25">
      <c r="F519" s="283"/>
      <c r="G519" s="283"/>
      <c r="H519" s="283"/>
      <c r="I519" s="283"/>
      <c r="J519" s="283"/>
    </row>
    <row r="520" spans="6:10" x14ac:dyDescent="0.25">
      <c r="F520" s="283"/>
      <c r="G520" s="283"/>
      <c r="H520" s="283"/>
      <c r="I520" s="283"/>
      <c r="J520" s="283"/>
    </row>
    <row r="521" spans="6:10" x14ac:dyDescent="0.25">
      <c r="F521" s="283"/>
      <c r="G521" s="283"/>
      <c r="H521" s="283"/>
      <c r="I521" s="283"/>
      <c r="J521" s="283"/>
    </row>
    <row r="522" spans="6:10" x14ac:dyDescent="0.25">
      <c r="F522" s="283"/>
      <c r="G522" s="283"/>
      <c r="H522" s="283"/>
      <c r="I522" s="283"/>
      <c r="J522" s="283"/>
    </row>
    <row r="523" spans="6:10" x14ac:dyDescent="0.25">
      <c r="F523" s="283"/>
      <c r="G523" s="283"/>
      <c r="H523" s="283"/>
      <c r="I523" s="283"/>
      <c r="J523" s="283"/>
    </row>
    <row r="524" spans="6:10" x14ac:dyDescent="0.25">
      <c r="F524" s="283"/>
      <c r="G524" s="283"/>
      <c r="H524" s="283"/>
      <c r="I524" s="283"/>
      <c r="J524" s="283"/>
    </row>
    <row r="525" spans="6:10" x14ac:dyDescent="0.25">
      <c r="F525" s="283"/>
      <c r="G525" s="283"/>
      <c r="H525" s="283"/>
      <c r="I525" s="283"/>
      <c r="J525" s="283"/>
    </row>
    <row r="526" spans="6:10" x14ac:dyDescent="0.25">
      <c r="F526" s="283"/>
      <c r="G526" s="283"/>
      <c r="H526" s="283"/>
      <c r="I526" s="283"/>
      <c r="J526" s="283"/>
    </row>
    <row r="527" spans="6:10" x14ac:dyDescent="0.25">
      <c r="F527" s="283"/>
      <c r="G527" s="283"/>
      <c r="H527" s="283"/>
      <c r="I527" s="283"/>
      <c r="J527" s="283"/>
    </row>
    <row r="528" spans="6:10" x14ac:dyDescent="0.25">
      <c r="F528" s="283"/>
      <c r="G528" s="283"/>
      <c r="H528" s="283"/>
      <c r="I528" s="283"/>
      <c r="J528" s="283"/>
    </row>
    <row r="529" spans="6:10" x14ac:dyDescent="0.25">
      <c r="F529" s="283"/>
      <c r="G529" s="283"/>
      <c r="H529" s="283"/>
      <c r="I529" s="283"/>
      <c r="J529" s="283"/>
    </row>
    <row r="530" spans="6:10" x14ac:dyDescent="0.25">
      <c r="F530" s="283"/>
      <c r="G530" s="283"/>
      <c r="H530" s="283"/>
      <c r="I530" s="283"/>
      <c r="J530" s="283"/>
    </row>
    <row r="531" spans="6:10" x14ac:dyDescent="0.25">
      <c r="F531" s="283"/>
      <c r="G531" s="283"/>
      <c r="H531" s="283"/>
      <c r="I531" s="283"/>
      <c r="J531" s="283"/>
    </row>
    <row r="532" spans="6:10" x14ac:dyDescent="0.25">
      <c r="F532" s="283"/>
      <c r="G532" s="283"/>
      <c r="H532" s="283"/>
      <c r="I532" s="283"/>
      <c r="J532" s="283"/>
    </row>
    <row r="533" spans="6:10" x14ac:dyDescent="0.25">
      <c r="F533" s="283"/>
      <c r="G533" s="283"/>
      <c r="H533" s="283"/>
      <c r="I533" s="283"/>
      <c r="J533" s="283"/>
    </row>
    <row r="534" spans="6:10" x14ac:dyDescent="0.25">
      <c r="F534" s="283"/>
      <c r="G534" s="283"/>
      <c r="H534" s="283"/>
      <c r="I534" s="283"/>
      <c r="J534" s="283"/>
    </row>
    <row r="535" spans="6:10" x14ac:dyDescent="0.25">
      <c r="F535" s="283"/>
      <c r="G535" s="283"/>
      <c r="H535" s="283"/>
      <c r="I535" s="283"/>
      <c r="J535" s="283"/>
    </row>
    <row r="536" spans="6:10" x14ac:dyDescent="0.25">
      <c r="F536" s="283"/>
      <c r="G536" s="283"/>
      <c r="H536" s="283"/>
      <c r="I536" s="283"/>
      <c r="J536" s="283"/>
    </row>
    <row r="537" spans="6:10" x14ac:dyDescent="0.25">
      <c r="F537" s="283"/>
      <c r="G537" s="283"/>
      <c r="H537" s="283"/>
      <c r="I537" s="283"/>
      <c r="J537" s="283"/>
    </row>
    <row r="538" spans="6:10" x14ac:dyDescent="0.25">
      <c r="F538" s="283"/>
      <c r="G538" s="283"/>
      <c r="H538" s="283"/>
      <c r="I538" s="283"/>
      <c r="J538" s="283"/>
    </row>
    <row r="539" spans="6:10" x14ac:dyDescent="0.25">
      <c r="F539" s="283"/>
      <c r="G539" s="283"/>
      <c r="H539" s="283"/>
      <c r="I539" s="283"/>
      <c r="J539" s="283"/>
    </row>
    <row r="540" spans="6:10" x14ac:dyDescent="0.25">
      <c r="F540" s="283"/>
      <c r="G540" s="283"/>
      <c r="H540" s="283"/>
      <c r="I540" s="283"/>
      <c r="J540" s="283"/>
    </row>
    <row r="541" spans="6:10" x14ac:dyDescent="0.25">
      <c r="F541" s="283"/>
      <c r="G541" s="283"/>
      <c r="H541" s="283"/>
      <c r="I541" s="283"/>
      <c r="J541" s="283"/>
    </row>
    <row r="542" spans="6:10" x14ac:dyDescent="0.25">
      <c r="F542" s="283"/>
      <c r="G542" s="283"/>
      <c r="H542" s="283"/>
      <c r="I542" s="283"/>
      <c r="J542" s="283"/>
    </row>
    <row r="543" spans="6:10" x14ac:dyDescent="0.25">
      <c r="F543" s="283"/>
      <c r="G543" s="283"/>
      <c r="H543" s="283"/>
      <c r="I543" s="283"/>
      <c r="J543" s="283"/>
    </row>
    <row r="544" spans="6:10" x14ac:dyDescent="0.25">
      <c r="F544" s="283"/>
      <c r="G544" s="283"/>
      <c r="H544" s="283"/>
      <c r="I544" s="283"/>
      <c r="J544" s="283"/>
    </row>
    <row r="545" spans="6:10" x14ac:dyDescent="0.25">
      <c r="F545" s="283"/>
      <c r="G545" s="283"/>
      <c r="H545" s="283"/>
      <c r="I545" s="283"/>
      <c r="J545" s="283"/>
    </row>
  </sheetData>
  <mergeCells count="30">
    <mergeCell ref="D1:E1"/>
    <mergeCell ref="A2:H2"/>
    <mergeCell ref="A3:E3"/>
    <mergeCell ref="F3:H3"/>
    <mergeCell ref="A4:A5"/>
    <mergeCell ref="B4:B5"/>
    <mergeCell ref="C4:C5"/>
    <mergeCell ref="D4:D5"/>
    <mergeCell ref="E4:E5"/>
    <mergeCell ref="F4:F5"/>
    <mergeCell ref="G4:G5"/>
    <mergeCell ref="H4:H5"/>
    <mergeCell ref="G1:H1"/>
    <mergeCell ref="A6:H6"/>
    <mergeCell ref="A7:H7"/>
    <mergeCell ref="A14:H14"/>
    <mergeCell ref="A23:H23"/>
    <mergeCell ref="A32:H32"/>
    <mergeCell ref="A46:H46"/>
    <mergeCell ref="A53:H53"/>
    <mergeCell ref="A114:H114"/>
    <mergeCell ref="A126:H126"/>
    <mergeCell ref="A130:H130"/>
    <mergeCell ref="A147:H147"/>
    <mergeCell ref="A62:H62"/>
    <mergeCell ref="A70:H70"/>
    <mergeCell ref="A81:H81"/>
    <mergeCell ref="A95:H95"/>
    <mergeCell ref="A103:H103"/>
    <mergeCell ref="A109:H109"/>
  </mergeCells>
  <pageMargins left="0.7" right="0.7" top="0.75" bottom="0.75" header="0.3" footer="0.3"/>
  <pageSetup paperSize="9" scale="71"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73D5-8146-412A-91FC-E533EFAB8E0E}">
  <sheetPr>
    <tabColor theme="5" tint="0.79998168889431442"/>
  </sheetPr>
  <dimension ref="A1:AC425"/>
  <sheetViews>
    <sheetView view="pageBreakPreview" zoomScale="60" zoomScaleNormal="80" workbookViewId="0">
      <pane ySplit="5" topLeftCell="A383" activePane="bottomLeft" state="frozen"/>
      <selection pane="bottomLeft" activeCell="V117" sqref="V117"/>
    </sheetView>
  </sheetViews>
  <sheetFormatPr defaultColWidth="9.140625" defaultRowHeight="12.75" x14ac:dyDescent="0.25"/>
  <cols>
    <col min="1" max="1" width="0.85546875" style="359" customWidth="1"/>
    <col min="2" max="2" width="32.140625" style="377" customWidth="1"/>
    <col min="3" max="3" width="7" style="378" customWidth="1"/>
    <col min="4" max="4" width="6.85546875" style="378" customWidth="1"/>
    <col min="5" max="5" width="6.7109375" style="378" customWidth="1"/>
    <col min="6" max="6" width="7.28515625" style="378" customWidth="1"/>
    <col min="7" max="7" width="8" style="379" customWidth="1"/>
    <col min="8" max="8" width="8.7109375" style="380" customWidth="1"/>
    <col min="9" max="9" width="8.42578125" style="368" customWidth="1"/>
    <col min="10" max="10" width="8.7109375" style="380" customWidth="1"/>
    <col min="11" max="11" width="11.5703125" style="378" customWidth="1"/>
    <col min="12" max="12" width="12.28515625" style="368" customWidth="1"/>
    <col min="13" max="13" width="9" style="378" customWidth="1"/>
    <col min="14" max="14" width="8.7109375" style="368" customWidth="1"/>
    <col min="15" max="15" width="9.42578125" style="368" customWidth="1"/>
    <col min="16" max="16" width="9.5703125" style="368" customWidth="1"/>
    <col min="17" max="17" width="10.85546875" style="381" customWidth="1"/>
    <col min="18" max="18" width="10.7109375" style="381" customWidth="1"/>
    <col min="19" max="19" width="11.140625" style="381" customWidth="1"/>
    <col min="20" max="20" width="9.140625" style="359"/>
    <col min="21" max="21" width="5.5703125" style="359" customWidth="1"/>
    <col min="22" max="16384" width="9.140625" style="359"/>
  </cols>
  <sheetData>
    <row r="1" spans="1:19" s="347" customFormat="1" ht="15" customHeight="1" x14ac:dyDescent="0.25">
      <c r="B1" s="348"/>
      <c r="C1" s="349"/>
      <c r="D1" s="349"/>
      <c r="E1" s="349"/>
      <c r="F1" s="349"/>
      <c r="G1" s="350"/>
      <c r="H1" s="351"/>
      <c r="I1" s="939"/>
      <c r="J1" s="939"/>
      <c r="K1" s="349"/>
      <c r="L1" s="352"/>
      <c r="M1" s="349"/>
      <c r="N1" s="352"/>
      <c r="O1" s="352"/>
      <c r="P1" s="352"/>
      <c r="Q1" s="353"/>
      <c r="R1" s="817" t="s">
        <v>629</v>
      </c>
      <c r="S1" s="817"/>
    </row>
    <row r="2" spans="1:19" s="354" customFormat="1" ht="19.5" customHeight="1" x14ac:dyDescent="0.25">
      <c r="B2" s="940" t="s">
        <v>282</v>
      </c>
      <c r="C2" s="940"/>
      <c r="D2" s="940"/>
      <c r="E2" s="940"/>
      <c r="F2" s="940"/>
      <c r="G2" s="940"/>
      <c r="H2" s="940"/>
      <c r="I2" s="940"/>
      <c r="J2" s="940"/>
      <c r="K2" s="940"/>
      <c r="L2" s="940"/>
      <c r="M2" s="940"/>
      <c r="N2" s="940"/>
      <c r="O2" s="940"/>
      <c r="P2" s="940"/>
      <c r="Q2" s="940"/>
      <c r="R2" s="940"/>
      <c r="S2" s="940"/>
    </row>
    <row r="3" spans="1:19" s="355" customFormat="1" ht="16.5" thickBot="1" x14ac:dyDescent="0.3">
      <c r="G3" s="356"/>
      <c r="H3" s="357"/>
      <c r="Q3" s="358"/>
      <c r="R3" s="358"/>
      <c r="S3" s="358" t="s">
        <v>283</v>
      </c>
    </row>
    <row r="4" spans="1:19" s="228" customFormat="1" ht="15" thickBot="1" x14ac:dyDescent="0.3">
      <c r="B4" s="941" t="s">
        <v>284</v>
      </c>
      <c r="C4" s="942"/>
      <c r="D4" s="942"/>
      <c r="E4" s="942"/>
      <c r="F4" s="942"/>
      <c r="G4" s="942"/>
      <c r="H4" s="942"/>
      <c r="I4" s="942"/>
      <c r="J4" s="943"/>
      <c r="K4" s="941" t="s">
        <v>285</v>
      </c>
      <c r="L4" s="942"/>
      <c r="M4" s="942"/>
      <c r="N4" s="942"/>
      <c r="O4" s="942"/>
      <c r="P4" s="942"/>
      <c r="Q4" s="942"/>
      <c r="R4" s="942"/>
      <c r="S4" s="943"/>
    </row>
    <row r="5" spans="1:19" ht="142.5" customHeight="1" thickBot="1" x14ac:dyDescent="0.3">
      <c r="B5" s="360" t="s">
        <v>286</v>
      </c>
      <c r="C5" s="361" t="s">
        <v>287</v>
      </c>
      <c r="D5" s="361" t="s">
        <v>288</v>
      </c>
      <c r="E5" s="361" t="s">
        <v>289</v>
      </c>
      <c r="F5" s="361" t="s">
        <v>290</v>
      </c>
      <c r="G5" s="362" t="s">
        <v>614</v>
      </c>
      <c r="H5" s="363" t="s">
        <v>291</v>
      </c>
      <c r="I5" s="361" t="s">
        <v>292</v>
      </c>
      <c r="J5" s="364" t="s">
        <v>293</v>
      </c>
      <c r="K5" s="365" t="s">
        <v>493</v>
      </c>
      <c r="L5" s="588" t="s">
        <v>190</v>
      </c>
      <c r="M5" s="361" t="s">
        <v>183</v>
      </c>
      <c r="N5" s="361" t="s">
        <v>184</v>
      </c>
      <c r="O5" s="361" t="s">
        <v>185</v>
      </c>
      <c r="P5" s="361" t="s">
        <v>186</v>
      </c>
      <c r="Q5" s="366" t="s">
        <v>187</v>
      </c>
      <c r="R5" s="366" t="s">
        <v>188</v>
      </c>
      <c r="S5" s="367" t="s">
        <v>189</v>
      </c>
    </row>
    <row r="6" spans="1:19" s="374" customFormat="1" ht="4.5" customHeight="1" thickBot="1" x14ac:dyDescent="0.3">
      <c r="A6" s="177"/>
      <c r="B6" s="369"/>
      <c r="C6" s="369"/>
      <c r="D6" s="369"/>
      <c r="E6" s="369"/>
      <c r="F6" s="369"/>
      <c r="G6" s="370"/>
      <c r="H6" s="371"/>
      <c r="I6" s="372"/>
      <c r="J6" s="370"/>
      <c r="K6" s="369"/>
      <c r="L6" s="372"/>
      <c r="M6" s="369"/>
      <c r="N6" s="372"/>
      <c r="O6" s="372"/>
      <c r="P6" s="372"/>
      <c r="Q6" s="373"/>
      <c r="R6" s="373"/>
      <c r="S6" s="373"/>
    </row>
    <row r="7" spans="1:19" s="375" customFormat="1" ht="15.75" thickBot="1" x14ac:dyDescent="0.3">
      <c r="B7" s="936" t="s">
        <v>294</v>
      </c>
      <c r="C7" s="937"/>
      <c r="D7" s="937"/>
      <c r="E7" s="937"/>
      <c r="F7" s="937"/>
      <c r="G7" s="937"/>
      <c r="H7" s="937"/>
      <c r="I7" s="937"/>
      <c r="J7" s="937"/>
      <c r="K7" s="937"/>
      <c r="L7" s="937"/>
      <c r="M7" s="937"/>
      <c r="N7" s="937"/>
      <c r="O7" s="937"/>
      <c r="P7" s="937"/>
      <c r="Q7" s="937"/>
      <c r="R7" s="937"/>
      <c r="S7" s="938"/>
    </row>
    <row r="8" spans="1:19" x14ac:dyDescent="0.25">
      <c r="B8" s="589" t="s">
        <v>20</v>
      </c>
      <c r="C8" s="590"/>
      <c r="D8" s="590"/>
      <c r="E8" s="590"/>
      <c r="F8" s="590"/>
      <c r="G8" s="544"/>
      <c r="H8" s="543"/>
      <c r="I8" s="544"/>
      <c r="J8" s="545"/>
      <c r="K8" s="544"/>
      <c r="L8" s="544"/>
      <c r="M8" s="544"/>
      <c r="N8" s="544"/>
      <c r="O8" s="544"/>
      <c r="P8" s="544"/>
      <c r="Q8" s="591"/>
      <c r="R8" s="591"/>
      <c r="S8" s="592"/>
    </row>
    <row r="9" spans="1:19" ht="25.5" x14ac:dyDescent="0.25">
      <c r="B9" s="593" t="s">
        <v>295</v>
      </c>
      <c r="C9" s="594" t="s">
        <v>124</v>
      </c>
      <c r="D9" s="594" t="s">
        <v>67</v>
      </c>
      <c r="E9" s="594">
        <v>13</v>
      </c>
      <c r="F9" s="594">
        <v>3</v>
      </c>
      <c r="G9" s="385">
        <v>1917</v>
      </c>
      <c r="H9" s="60">
        <v>1708</v>
      </c>
      <c r="I9" s="261">
        <v>170.8</v>
      </c>
      <c r="J9" s="546">
        <v>1</v>
      </c>
      <c r="K9" s="595">
        <f>ROUND(H9*1.2,0)</f>
        <v>2050</v>
      </c>
      <c r="L9" s="60">
        <f>IF(K9&lt;=G9,K9,G9)</f>
        <v>1917</v>
      </c>
      <c r="M9" s="596">
        <f>N9-I9</f>
        <v>20.900000000000006</v>
      </c>
      <c r="N9" s="15">
        <f>I9/H9*L9</f>
        <v>191.70000000000002</v>
      </c>
      <c r="O9" s="60">
        <f>L9-H9+M9</f>
        <v>229.9</v>
      </c>
      <c r="P9" s="261">
        <f>O9*J9</f>
        <v>229.9</v>
      </c>
      <c r="Q9" s="262">
        <f>P9*12</f>
        <v>2758.8</v>
      </c>
      <c r="R9" s="262">
        <f>Q9*0.2409</f>
        <v>664.59492</v>
      </c>
      <c r="S9" s="263">
        <f>Q9+R9</f>
        <v>3423.3949200000002</v>
      </c>
    </row>
    <row r="10" spans="1:19" ht="25.5" x14ac:dyDescent="0.25">
      <c r="B10" s="593" t="s">
        <v>296</v>
      </c>
      <c r="C10" s="594" t="s">
        <v>124</v>
      </c>
      <c r="D10" s="594" t="s">
        <v>49</v>
      </c>
      <c r="E10" s="594">
        <v>12</v>
      </c>
      <c r="F10" s="594">
        <v>3</v>
      </c>
      <c r="G10" s="385">
        <v>1647</v>
      </c>
      <c r="H10" s="547">
        <v>1647</v>
      </c>
      <c r="I10" s="548">
        <v>164.7</v>
      </c>
      <c r="J10" s="546">
        <v>1</v>
      </c>
      <c r="K10" s="595">
        <f t="shared" ref="K10:K22" si="0">ROUND(H10*1.2,0)</f>
        <v>1976</v>
      </c>
      <c r="L10" s="60">
        <f t="shared" ref="L10:L23" si="1">IF(K10&lt;=G10,K10,G10)</f>
        <v>1647</v>
      </c>
      <c r="M10" s="596">
        <f t="shared" ref="M10:M23" si="2">N10-I10</f>
        <v>0</v>
      </c>
      <c r="N10" s="15">
        <f t="shared" ref="N10:N23" si="3">I10/H10*L10</f>
        <v>164.7</v>
      </c>
      <c r="O10" s="60">
        <f>L10-H10+M10</f>
        <v>0</v>
      </c>
      <c r="P10" s="261">
        <f t="shared" ref="P10:P23" si="4">O10*J10</f>
        <v>0</v>
      </c>
      <c r="Q10" s="262">
        <f t="shared" ref="Q10:Q23" si="5">P10*12</f>
        <v>0</v>
      </c>
      <c r="R10" s="262">
        <f t="shared" ref="R10:R23" si="6">Q10*0.2409</f>
        <v>0</v>
      </c>
      <c r="S10" s="263">
        <f t="shared" ref="S10:S23" si="7">Q10+R10</f>
        <v>0</v>
      </c>
    </row>
    <row r="11" spans="1:19" ht="25.5" x14ac:dyDescent="0.25">
      <c r="B11" s="593" t="s">
        <v>297</v>
      </c>
      <c r="C11" s="594" t="s">
        <v>124</v>
      </c>
      <c r="D11" s="594" t="s">
        <v>49</v>
      </c>
      <c r="E11" s="594">
        <v>12</v>
      </c>
      <c r="F11" s="594">
        <v>3</v>
      </c>
      <c r="G11" s="385">
        <v>1647</v>
      </c>
      <c r="H11" s="547">
        <v>1647</v>
      </c>
      <c r="I11" s="548">
        <v>164.7</v>
      </c>
      <c r="J11" s="546">
        <v>4</v>
      </c>
      <c r="K11" s="595">
        <f t="shared" si="0"/>
        <v>1976</v>
      </c>
      <c r="L11" s="60">
        <f t="shared" si="1"/>
        <v>1647</v>
      </c>
      <c r="M11" s="596">
        <f t="shared" si="2"/>
        <v>0</v>
      </c>
      <c r="N11" s="15">
        <f t="shared" si="3"/>
        <v>164.7</v>
      </c>
      <c r="O11" s="60">
        <f t="shared" ref="O11:O23" si="8">L11-H11+M11</f>
        <v>0</v>
      </c>
      <c r="P11" s="261">
        <f t="shared" si="4"/>
        <v>0</v>
      </c>
      <c r="Q11" s="262">
        <f t="shared" si="5"/>
        <v>0</v>
      </c>
      <c r="R11" s="262">
        <f t="shared" si="6"/>
        <v>0</v>
      </c>
      <c r="S11" s="263">
        <f t="shared" si="7"/>
        <v>0</v>
      </c>
    </row>
    <row r="12" spans="1:19" ht="25.5" x14ac:dyDescent="0.25">
      <c r="B12" s="593" t="s">
        <v>298</v>
      </c>
      <c r="C12" s="594" t="s">
        <v>124</v>
      </c>
      <c r="D12" s="594" t="s">
        <v>49</v>
      </c>
      <c r="E12" s="594">
        <v>12</v>
      </c>
      <c r="F12" s="594">
        <v>3</v>
      </c>
      <c r="G12" s="385">
        <v>1647</v>
      </c>
      <c r="H12" s="547">
        <v>1647</v>
      </c>
      <c r="I12" s="548">
        <v>164.7</v>
      </c>
      <c r="J12" s="546">
        <v>2</v>
      </c>
      <c r="K12" s="595">
        <f t="shared" si="0"/>
        <v>1976</v>
      </c>
      <c r="L12" s="60">
        <f t="shared" si="1"/>
        <v>1647</v>
      </c>
      <c r="M12" s="596">
        <f t="shared" si="2"/>
        <v>0</v>
      </c>
      <c r="N12" s="15">
        <f t="shared" si="3"/>
        <v>164.7</v>
      </c>
      <c r="O12" s="60">
        <f t="shared" si="8"/>
        <v>0</v>
      </c>
      <c r="P12" s="261">
        <f t="shared" si="4"/>
        <v>0</v>
      </c>
      <c r="Q12" s="262">
        <f t="shared" si="5"/>
        <v>0</v>
      </c>
      <c r="R12" s="262">
        <f t="shared" si="6"/>
        <v>0</v>
      </c>
      <c r="S12" s="263">
        <f t="shared" si="7"/>
        <v>0</v>
      </c>
    </row>
    <row r="13" spans="1:19" ht="25.5" x14ac:dyDescent="0.25">
      <c r="B13" s="593" t="s">
        <v>299</v>
      </c>
      <c r="C13" s="594" t="s">
        <v>124</v>
      </c>
      <c r="D13" s="594" t="s">
        <v>49</v>
      </c>
      <c r="E13" s="594">
        <v>12</v>
      </c>
      <c r="F13" s="594">
        <v>3</v>
      </c>
      <c r="G13" s="385">
        <v>1647</v>
      </c>
      <c r="H13" s="60">
        <v>1647</v>
      </c>
      <c r="I13" s="261">
        <v>164.7</v>
      </c>
      <c r="J13" s="546">
        <v>3</v>
      </c>
      <c r="K13" s="595">
        <f t="shared" si="0"/>
        <v>1976</v>
      </c>
      <c r="L13" s="60">
        <f t="shared" si="1"/>
        <v>1647</v>
      </c>
      <c r="M13" s="596">
        <f t="shared" si="2"/>
        <v>0</v>
      </c>
      <c r="N13" s="15">
        <f t="shared" si="3"/>
        <v>164.7</v>
      </c>
      <c r="O13" s="60">
        <f t="shared" si="8"/>
        <v>0</v>
      </c>
      <c r="P13" s="261">
        <f t="shared" si="4"/>
        <v>0</v>
      </c>
      <c r="Q13" s="262">
        <f t="shared" si="5"/>
        <v>0</v>
      </c>
      <c r="R13" s="262">
        <f t="shared" si="6"/>
        <v>0</v>
      </c>
      <c r="S13" s="263">
        <f t="shared" si="7"/>
        <v>0</v>
      </c>
    </row>
    <row r="14" spans="1:19" ht="25.5" x14ac:dyDescent="0.25">
      <c r="B14" s="593" t="s">
        <v>300</v>
      </c>
      <c r="C14" s="594" t="s">
        <v>124</v>
      </c>
      <c r="D14" s="594" t="s">
        <v>49</v>
      </c>
      <c r="E14" s="594">
        <v>12</v>
      </c>
      <c r="F14" s="594">
        <v>3</v>
      </c>
      <c r="G14" s="385">
        <v>1647</v>
      </c>
      <c r="H14" s="547">
        <v>1647</v>
      </c>
      <c r="I14" s="548">
        <v>164.7</v>
      </c>
      <c r="J14" s="546">
        <v>1</v>
      </c>
      <c r="K14" s="595">
        <f t="shared" si="0"/>
        <v>1976</v>
      </c>
      <c r="L14" s="60">
        <f t="shared" si="1"/>
        <v>1647</v>
      </c>
      <c r="M14" s="596">
        <f t="shared" si="2"/>
        <v>0</v>
      </c>
      <c r="N14" s="15">
        <f t="shared" si="3"/>
        <v>164.7</v>
      </c>
      <c r="O14" s="60">
        <f t="shared" si="8"/>
        <v>0</v>
      </c>
      <c r="P14" s="261">
        <f t="shared" si="4"/>
        <v>0</v>
      </c>
      <c r="Q14" s="262">
        <f t="shared" si="5"/>
        <v>0</v>
      </c>
      <c r="R14" s="262">
        <f t="shared" si="6"/>
        <v>0</v>
      </c>
      <c r="S14" s="263">
        <f t="shared" si="7"/>
        <v>0</v>
      </c>
    </row>
    <row r="15" spans="1:19" ht="25.5" x14ac:dyDescent="0.25">
      <c r="B15" s="593" t="s">
        <v>301</v>
      </c>
      <c r="C15" s="594" t="s">
        <v>124</v>
      </c>
      <c r="D15" s="594" t="s">
        <v>49</v>
      </c>
      <c r="E15" s="594">
        <v>12</v>
      </c>
      <c r="F15" s="594">
        <v>3</v>
      </c>
      <c r="G15" s="385">
        <v>1647</v>
      </c>
      <c r="H15" s="547">
        <v>1627</v>
      </c>
      <c r="I15" s="548">
        <v>162.69999999999999</v>
      </c>
      <c r="J15" s="546">
        <v>1</v>
      </c>
      <c r="K15" s="595">
        <f t="shared" si="0"/>
        <v>1952</v>
      </c>
      <c r="L15" s="60">
        <f t="shared" si="1"/>
        <v>1647</v>
      </c>
      <c r="M15" s="596">
        <f t="shared" si="2"/>
        <v>2</v>
      </c>
      <c r="N15" s="15">
        <f t="shared" si="3"/>
        <v>164.7</v>
      </c>
      <c r="O15" s="60">
        <f t="shared" si="8"/>
        <v>22</v>
      </c>
      <c r="P15" s="261">
        <f t="shared" si="4"/>
        <v>22</v>
      </c>
      <c r="Q15" s="262">
        <f t="shared" si="5"/>
        <v>264</v>
      </c>
      <c r="R15" s="262">
        <f t="shared" si="6"/>
        <v>63.5976</v>
      </c>
      <c r="S15" s="263">
        <f t="shared" si="7"/>
        <v>327.5976</v>
      </c>
    </row>
    <row r="16" spans="1:19" x14ac:dyDescent="0.25">
      <c r="B16" s="593" t="s">
        <v>302</v>
      </c>
      <c r="C16" s="594" t="s">
        <v>124</v>
      </c>
      <c r="D16" s="594" t="s">
        <v>49</v>
      </c>
      <c r="E16" s="594">
        <v>12</v>
      </c>
      <c r="F16" s="594">
        <v>3</v>
      </c>
      <c r="G16" s="385">
        <v>1647</v>
      </c>
      <c r="H16" s="547">
        <v>1491</v>
      </c>
      <c r="I16" s="548">
        <v>149.1</v>
      </c>
      <c r="J16" s="546">
        <v>25.75</v>
      </c>
      <c r="K16" s="595">
        <f t="shared" si="0"/>
        <v>1789</v>
      </c>
      <c r="L16" s="60">
        <f t="shared" si="1"/>
        <v>1647</v>
      </c>
      <c r="M16" s="596">
        <f t="shared" si="2"/>
        <v>15.599999999999994</v>
      </c>
      <c r="N16" s="15">
        <f t="shared" si="3"/>
        <v>164.7</v>
      </c>
      <c r="O16" s="60">
        <f t="shared" si="8"/>
        <v>171.6</v>
      </c>
      <c r="P16" s="261">
        <f t="shared" si="4"/>
        <v>4418.7</v>
      </c>
      <c r="Q16" s="262">
        <f t="shared" si="5"/>
        <v>53024.399999999994</v>
      </c>
      <c r="R16" s="262">
        <f t="shared" si="6"/>
        <v>12773.577959999999</v>
      </c>
      <c r="S16" s="263">
        <f t="shared" si="7"/>
        <v>65797.977959999989</v>
      </c>
    </row>
    <row r="17" spans="2:19" ht="25.5" x14ac:dyDescent="0.25">
      <c r="B17" s="593" t="s">
        <v>303</v>
      </c>
      <c r="C17" s="594" t="s">
        <v>124</v>
      </c>
      <c r="D17" s="594" t="s">
        <v>49</v>
      </c>
      <c r="E17" s="594">
        <v>12</v>
      </c>
      <c r="F17" s="594">
        <v>3</v>
      </c>
      <c r="G17" s="385">
        <v>1647</v>
      </c>
      <c r="H17" s="547">
        <v>1491</v>
      </c>
      <c r="I17" s="548">
        <v>149.1</v>
      </c>
      <c r="J17" s="546">
        <v>3</v>
      </c>
      <c r="K17" s="595">
        <f t="shared" si="0"/>
        <v>1789</v>
      </c>
      <c r="L17" s="60">
        <f t="shared" si="1"/>
        <v>1647</v>
      </c>
      <c r="M17" s="596">
        <f t="shared" si="2"/>
        <v>15.599999999999994</v>
      </c>
      <c r="N17" s="15">
        <f t="shared" si="3"/>
        <v>164.7</v>
      </c>
      <c r="O17" s="60">
        <f t="shared" si="8"/>
        <v>171.6</v>
      </c>
      <c r="P17" s="261">
        <f t="shared" si="4"/>
        <v>514.79999999999995</v>
      </c>
      <c r="Q17" s="262">
        <f t="shared" si="5"/>
        <v>6177.5999999999995</v>
      </c>
      <c r="R17" s="262">
        <f t="shared" si="6"/>
        <v>1488.1838399999999</v>
      </c>
      <c r="S17" s="263">
        <f t="shared" si="7"/>
        <v>7665.7838399999991</v>
      </c>
    </row>
    <row r="18" spans="2:19" x14ac:dyDescent="0.25">
      <c r="B18" s="593" t="s">
        <v>304</v>
      </c>
      <c r="C18" s="594" t="s">
        <v>124</v>
      </c>
      <c r="D18" s="594" t="s">
        <v>14</v>
      </c>
      <c r="E18" s="594">
        <v>10</v>
      </c>
      <c r="F18" s="594">
        <v>3</v>
      </c>
      <c r="G18" s="385">
        <v>1287</v>
      </c>
      <c r="H18" s="547">
        <v>1287</v>
      </c>
      <c r="I18" s="548">
        <v>128.69999999999999</v>
      </c>
      <c r="J18" s="546">
        <v>0.75</v>
      </c>
      <c r="K18" s="595">
        <f t="shared" si="0"/>
        <v>1544</v>
      </c>
      <c r="L18" s="60">
        <f t="shared" si="1"/>
        <v>1287</v>
      </c>
      <c r="M18" s="596">
        <f t="shared" si="2"/>
        <v>0</v>
      </c>
      <c r="N18" s="15">
        <f t="shared" si="3"/>
        <v>128.69999999999999</v>
      </c>
      <c r="O18" s="60">
        <f t="shared" si="8"/>
        <v>0</v>
      </c>
      <c r="P18" s="261">
        <f t="shared" si="4"/>
        <v>0</v>
      </c>
      <c r="Q18" s="262">
        <f t="shared" si="5"/>
        <v>0</v>
      </c>
      <c r="R18" s="262">
        <f t="shared" si="6"/>
        <v>0</v>
      </c>
      <c r="S18" s="263">
        <f t="shared" si="7"/>
        <v>0</v>
      </c>
    </row>
    <row r="19" spans="2:19" x14ac:dyDescent="0.25">
      <c r="B19" s="593" t="s">
        <v>304</v>
      </c>
      <c r="C19" s="594" t="s">
        <v>124</v>
      </c>
      <c r="D19" s="594" t="s">
        <v>14</v>
      </c>
      <c r="E19" s="594">
        <v>10</v>
      </c>
      <c r="F19" s="594">
        <v>3</v>
      </c>
      <c r="G19" s="385">
        <v>1287</v>
      </c>
      <c r="H19" s="547">
        <v>869</v>
      </c>
      <c r="I19" s="548">
        <v>86.9</v>
      </c>
      <c r="J19" s="546">
        <v>0.25</v>
      </c>
      <c r="K19" s="595">
        <f t="shared" si="0"/>
        <v>1043</v>
      </c>
      <c r="L19" s="60">
        <f t="shared" si="1"/>
        <v>1043</v>
      </c>
      <c r="M19" s="596">
        <f t="shared" si="2"/>
        <v>17.400000000000006</v>
      </c>
      <c r="N19" s="15">
        <f t="shared" si="3"/>
        <v>104.30000000000001</v>
      </c>
      <c r="O19" s="60">
        <f t="shared" si="8"/>
        <v>191.4</v>
      </c>
      <c r="P19" s="261">
        <f t="shared" si="4"/>
        <v>47.85</v>
      </c>
      <c r="Q19" s="262">
        <f t="shared" si="5"/>
        <v>574.20000000000005</v>
      </c>
      <c r="R19" s="262">
        <f t="shared" si="6"/>
        <v>138.32478</v>
      </c>
      <c r="S19" s="263">
        <f t="shared" si="7"/>
        <v>712.52478000000008</v>
      </c>
    </row>
    <row r="20" spans="2:19" x14ac:dyDescent="0.25">
      <c r="B20" s="593" t="s">
        <v>305</v>
      </c>
      <c r="C20" s="594" t="s">
        <v>124</v>
      </c>
      <c r="D20" s="594" t="s">
        <v>14</v>
      </c>
      <c r="E20" s="594">
        <v>10</v>
      </c>
      <c r="F20" s="594">
        <v>3</v>
      </c>
      <c r="G20" s="385">
        <v>1287</v>
      </c>
      <c r="H20" s="547">
        <v>1175</v>
      </c>
      <c r="I20" s="548">
        <v>117.5</v>
      </c>
      <c r="J20" s="546">
        <v>3</v>
      </c>
      <c r="K20" s="595">
        <f t="shared" si="0"/>
        <v>1410</v>
      </c>
      <c r="L20" s="60">
        <f t="shared" si="1"/>
        <v>1287</v>
      </c>
      <c r="M20" s="596">
        <f t="shared" si="2"/>
        <v>11.200000000000017</v>
      </c>
      <c r="N20" s="15">
        <f t="shared" si="3"/>
        <v>128.70000000000002</v>
      </c>
      <c r="O20" s="60">
        <f t="shared" si="8"/>
        <v>123.20000000000002</v>
      </c>
      <c r="P20" s="261">
        <f t="shared" si="4"/>
        <v>369.6</v>
      </c>
      <c r="Q20" s="262">
        <f t="shared" si="5"/>
        <v>4435.2000000000007</v>
      </c>
      <c r="R20" s="262">
        <f t="shared" si="6"/>
        <v>1068.4396800000002</v>
      </c>
      <c r="S20" s="263">
        <f t="shared" si="7"/>
        <v>5503.6396800000011</v>
      </c>
    </row>
    <row r="21" spans="2:19" s="598" customFormat="1" x14ac:dyDescent="0.25">
      <c r="B21" s="593" t="s">
        <v>305</v>
      </c>
      <c r="C21" s="597" t="s">
        <v>124</v>
      </c>
      <c r="D21" s="597" t="s">
        <v>14</v>
      </c>
      <c r="E21" s="597">
        <v>10</v>
      </c>
      <c r="F21" s="597">
        <v>2</v>
      </c>
      <c r="G21" s="385">
        <v>1115</v>
      </c>
      <c r="H21" s="549">
        <v>1115</v>
      </c>
      <c r="I21" s="550">
        <v>111.5</v>
      </c>
      <c r="J21" s="551">
        <v>3</v>
      </c>
      <c r="K21" s="595">
        <f t="shared" si="0"/>
        <v>1338</v>
      </c>
      <c r="L21" s="60">
        <f t="shared" si="1"/>
        <v>1115</v>
      </c>
      <c r="M21" s="596">
        <f t="shared" si="2"/>
        <v>0</v>
      </c>
      <c r="N21" s="15">
        <f t="shared" si="3"/>
        <v>111.5</v>
      </c>
      <c r="O21" s="60">
        <f t="shared" si="8"/>
        <v>0</v>
      </c>
      <c r="P21" s="261">
        <f t="shared" si="4"/>
        <v>0</v>
      </c>
      <c r="Q21" s="262">
        <f t="shared" si="5"/>
        <v>0</v>
      </c>
      <c r="R21" s="262">
        <f t="shared" si="6"/>
        <v>0</v>
      </c>
      <c r="S21" s="263">
        <f t="shared" si="7"/>
        <v>0</v>
      </c>
    </row>
    <row r="22" spans="2:19" s="598" customFormat="1" x14ac:dyDescent="0.25">
      <c r="B22" s="593" t="s">
        <v>306</v>
      </c>
      <c r="C22" s="597" t="s">
        <v>124</v>
      </c>
      <c r="D22" s="597" t="s">
        <v>14</v>
      </c>
      <c r="E22" s="597">
        <v>10</v>
      </c>
      <c r="F22" s="597">
        <v>3</v>
      </c>
      <c r="G22" s="385">
        <v>1287</v>
      </c>
      <c r="H22" s="549">
        <v>1175</v>
      </c>
      <c r="I22" s="550">
        <v>117.5</v>
      </c>
      <c r="J22" s="551">
        <v>1</v>
      </c>
      <c r="K22" s="595">
        <f t="shared" si="0"/>
        <v>1410</v>
      </c>
      <c r="L22" s="60">
        <f t="shared" si="1"/>
        <v>1287</v>
      </c>
      <c r="M22" s="596">
        <f t="shared" si="2"/>
        <v>11.200000000000017</v>
      </c>
      <c r="N22" s="15">
        <f t="shared" si="3"/>
        <v>128.70000000000002</v>
      </c>
      <c r="O22" s="60">
        <f t="shared" si="8"/>
        <v>123.20000000000002</v>
      </c>
      <c r="P22" s="261">
        <f t="shared" si="4"/>
        <v>123.20000000000002</v>
      </c>
      <c r="Q22" s="262">
        <f t="shared" si="5"/>
        <v>1478.4</v>
      </c>
      <c r="R22" s="262">
        <f t="shared" si="6"/>
        <v>356.14656000000002</v>
      </c>
      <c r="S22" s="263">
        <f t="shared" si="7"/>
        <v>1834.5465600000002</v>
      </c>
    </row>
    <row r="23" spans="2:19" s="598" customFormat="1" x14ac:dyDescent="0.25">
      <c r="B23" s="593" t="s">
        <v>307</v>
      </c>
      <c r="C23" s="597" t="s">
        <v>21</v>
      </c>
      <c r="D23" s="597" t="s">
        <v>33</v>
      </c>
      <c r="E23" s="597">
        <v>9</v>
      </c>
      <c r="F23" s="597">
        <v>1</v>
      </c>
      <c r="G23" s="385">
        <v>835</v>
      </c>
      <c r="H23" s="549">
        <v>635</v>
      </c>
      <c r="I23" s="550">
        <v>63.5</v>
      </c>
      <c r="J23" s="551">
        <v>1.75</v>
      </c>
      <c r="K23" s="595">
        <f>ROUND(H23*1.2,0)</f>
        <v>762</v>
      </c>
      <c r="L23" s="60">
        <f t="shared" si="1"/>
        <v>762</v>
      </c>
      <c r="M23" s="596">
        <f t="shared" si="2"/>
        <v>12.700000000000003</v>
      </c>
      <c r="N23" s="15">
        <f t="shared" si="3"/>
        <v>76.2</v>
      </c>
      <c r="O23" s="60">
        <f t="shared" si="8"/>
        <v>139.69999999999999</v>
      </c>
      <c r="P23" s="261">
        <f t="shared" si="4"/>
        <v>244.47499999999997</v>
      </c>
      <c r="Q23" s="262">
        <f t="shared" si="5"/>
        <v>2933.7</v>
      </c>
      <c r="R23" s="262">
        <f t="shared" si="6"/>
        <v>706.72832999999991</v>
      </c>
      <c r="S23" s="263">
        <f t="shared" si="7"/>
        <v>3640.4283299999997</v>
      </c>
    </row>
    <row r="24" spans="2:19" s="101" customFormat="1" x14ac:dyDescent="0.25">
      <c r="B24" s="376" t="s">
        <v>4</v>
      </c>
      <c r="C24" s="103"/>
      <c r="D24" s="103"/>
      <c r="E24" s="103"/>
      <c r="F24" s="103"/>
      <c r="G24" s="105"/>
      <c r="H24" s="106"/>
      <c r="I24" s="78"/>
      <c r="J24" s="123">
        <f>SUM(J9:J23)</f>
        <v>51.5</v>
      </c>
      <c r="K24" s="75"/>
      <c r="L24" s="76"/>
      <c r="M24" s="77"/>
      <c r="N24" s="78"/>
      <c r="O24" s="76"/>
      <c r="P24" s="78"/>
      <c r="Q24" s="79">
        <f>SUM(Q9:Q23)</f>
        <v>71646.299999999988</v>
      </c>
      <c r="R24" s="79">
        <f>SUM(R9:R23)</f>
        <v>17259.593670000002</v>
      </c>
      <c r="S24" s="80">
        <f>SUM(S9:S23)</f>
        <v>88905.893670000005</v>
      </c>
    </row>
    <row r="25" spans="2:19" x14ac:dyDescent="0.25">
      <c r="B25" s="599" t="s">
        <v>10</v>
      </c>
      <c r="C25" s="600"/>
      <c r="D25" s="600"/>
      <c r="E25" s="600"/>
      <c r="F25" s="600"/>
      <c r="G25" s="601"/>
      <c r="H25" s="552"/>
      <c r="I25" s="553"/>
      <c r="J25" s="554"/>
      <c r="K25" s="602"/>
      <c r="L25" s="553"/>
      <c r="M25" s="603"/>
      <c r="N25" s="553"/>
      <c r="O25" s="553"/>
      <c r="P25" s="553"/>
      <c r="Q25" s="604"/>
      <c r="R25" s="604"/>
      <c r="S25" s="605"/>
    </row>
    <row r="26" spans="2:19" x14ac:dyDescent="0.25">
      <c r="B26" s="593" t="s">
        <v>308</v>
      </c>
      <c r="C26" s="594" t="s">
        <v>22</v>
      </c>
      <c r="D26" s="594" t="s">
        <v>67</v>
      </c>
      <c r="E26" s="594">
        <v>11</v>
      </c>
      <c r="F26" s="594">
        <v>3</v>
      </c>
      <c r="G26" s="385">
        <v>1382</v>
      </c>
      <c r="H26" s="547">
        <v>1356</v>
      </c>
      <c r="I26" s="548">
        <v>108.48</v>
      </c>
      <c r="J26" s="546">
        <v>1</v>
      </c>
      <c r="K26" s="595">
        <f t="shared" ref="K26:K30" si="9">ROUND(H26*1.2,0)</f>
        <v>1627</v>
      </c>
      <c r="L26" s="60">
        <f t="shared" ref="L26:L30" si="10">IF(K26&lt;=G26,K26,G26)</f>
        <v>1382</v>
      </c>
      <c r="M26" s="596">
        <f t="shared" ref="M26:M30" si="11">N26-I26</f>
        <v>2.0799999999999983</v>
      </c>
      <c r="N26" s="15">
        <f t="shared" ref="N26:N30" si="12">I26/H26*L26</f>
        <v>110.56</v>
      </c>
      <c r="O26" s="60">
        <f t="shared" ref="O26:O30" si="13">L26-H26+M26</f>
        <v>28.08</v>
      </c>
      <c r="P26" s="261">
        <f t="shared" ref="P26:P30" si="14">O26*J26</f>
        <v>28.08</v>
      </c>
      <c r="Q26" s="262">
        <f t="shared" ref="Q26:Q30" si="15">P26*12</f>
        <v>336.96</v>
      </c>
      <c r="R26" s="262">
        <f t="shared" ref="R26:R30" si="16">Q26*0.2409</f>
        <v>81.173664000000002</v>
      </c>
      <c r="S26" s="263">
        <f t="shared" ref="S26:S30" si="17">Q26+R26</f>
        <v>418.13366399999995</v>
      </c>
    </row>
    <row r="27" spans="2:19" x14ac:dyDescent="0.25">
      <c r="B27" s="593" t="s">
        <v>309</v>
      </c>
      <c r="C27" s="594" t="s">
        <v>21</v>
      </c>
      <c r="D27" s="594" t="s">
        <v>310</v>
      </c>
      <c r="E27" s="594">
        <v>9</v>
      </c>
      <c r="F27" s="594">
        <v>3</v>
      </c>
      <c r="G27" s="385">
        <v>1190</v>
      </c>
      <c r="H27" s="547">
        <v>984</v>
      </c>
      <c r="I27" s="548">
        <v>98.4</v>
      </c>
      <c r="J27" s="546">
        <v>16</v>
      </c>
      <c r="K27" s="595">
        <f t="shared" si="9"/>
        <v>1181</v>
      </c>
      <c r="L27" s="60">
        <f t="shared" si="10"/>
        <v>1181</v>
      </c>
      <c r="M27" s="596">
        <f t="shared" si="11"/>
        <v>19.700000000000003</v>
      </c>
      <c r="N27" s="15">
        <f>I27/H27*L27</f>
        <v>118.10000000000001</v>
      </c>
      <c r="O27" s="60">
        <f t="shared" si="13"/>
        <v>216.7</v>
      </c>
      <c r="P27" s="261">
        <f t="shared" si="14"/>
        <v>3467.2</v>
      </c>
      <c r="Q27" s="262">
        <f t="shared" si="15"/>
        <v>41606.399999999994</v>
      </c>
      <c r="R27" s="262">
        <f t="shared" si="16"/>
        <v>10022.981759999999</v>
      </c>
      <c r="S27" s="263">
        <f t="shared" si="17"/>
        <v>51629.381759999989</v>
      </c>
    </row>
    <row r="28" spans="2:19" x14ac:dyDescent="0.25">
      <c r="B28" s="593" t="s">
        <v>311</v>
      </c>
      <c r="C28" s="594" t="s">
        <v>124</v>
      </c>
      <c r="D28" s="594" t="s">
        <v>45</v>
      </c>
      <c r="E28" s="594">
        <v>9</v>
      </c>
      <c r="F28" s="594">
        <v>3</v>
      </c>
      <c r="G28" s="385">
        <v>1190</v>
      </c>
      <c r="H28" s="547">
        <v>902</v>
      </c>
      <c r="I28" s="548">
        <v>72.16</v>
      </c>
      <c r="J28" s="546">
        <v>28.75</v>
      </c>
      <c r="K28" s="595">
        <f t="shared" si="9"/>
        <v>1082</v>
      </c>
      <c r="L28" s="60">
        <f t="shared" si="10"/>
        <v>1082</v>
      </c>
      <c r="M28" s="596">
        <f t="shared" si="11"/>
        <v>14.400000000000006</v>
      </c>
      <c r="N28" s="15">
        <f t="shared" si="12"/>
        <v>86.56</v>
      </c>
      <c r="O28" s="60">
        <f t="shared" si="13"/>
        <v>194.4</v>
      </c>
      <c r="P28" s="261">
        <f t="shared" si="14"/>
        <v>5589</v>
      </c>
      <c r="Q28" s="262">
        <f t="shared" si="15"/>
        <v>67068</v>
      </c>
      <c r="R28" s="262">
        <f t="shared" si="16"/>
        <v>16156.681200000001</v>
      </c>
      <c r="S28" s="263">
        <f t="shared" si="17"/>
        <v>83224.681200000006</v>
      </c>
    </row>
    <row r="29" spans="2:19" x14ac:dyDescent="0.25">
      <c r="B29" s="593" t="s">
        <v>311</v>
      </c>
      <c r="C29" s="594" t="s">
        <v>124</v>
      </c>
      <c r="D29" s="594" t="s">
        <v>45</v>
      </c>
      <c r="E29" s="594">
        <v>9</v>
      </c>
      <c r="F29" s="594">
        <v>2</v>
      </c>
      <c r="G29" s="385">
        <v>1015</v>
      </c>
      <c r="H29" s="547">
        <v>756</v>
      </c>
      <c r="I29" s="548">
        <v>60.48</v>
      </c>
      <c r="J29" s="546">
        <v>3.75</v>
      </c>
      <c r="K29" s="595">
        <f t="shared" si="9"/>
        <v>907</v>
      </c>
      <c r="L29" s="60">
        <f t="shared" si="10"/>
        <v>907</v>
      </c>
      <c r="M29" s="596">
        <f t="shared" si="11"/>
        <v>12.080000000000005</v>
      </c>
      <c r="N29" s="15">
        <f t="shared" si="12"/>
        <v>72.56</v>
      </c>
      <c r="O29" s="60">
        <f t="shared" si="13"/>
        <v>163.08000000000001</v>
      </c>
      <c r="P29" s="261">
        <f t="shared" si="14"/>
        <v>611.55000000000007</v>
      </c>
      <c r="Q29" s="262">
        <f t="shared" si="15"/>
        <v>7338.6</v>
      </c>
      <c r="R29" s="262">
        <f t="shared" si="16"/>
        <v>1767.8687400000001</v>
      </c>
      <c r="S29" s="263">
        <f t="shared" si="17"/>
        <v>9106.4687400000003</v>
      </c>
    </row>
    <row r="30" spans="2:19" x14ac:dyDescent="0.25">
      <c r="B30" s="593" t="s">
        <v>311</v>
      </c>
      <c r="C30" s="594" t="s">
        <v>124</v>
      </c>
      <c r="D30" s="594" t="s">
        <v>45</v>
      </c>
      <c r="E30" s="594">
        <v>9</v>
      </c>
      <c r="F30" s="594">
        <v>1</v>
      </c>
      <c r="G30" s="385">
        <v>835</v>
      </c>
      <c r="H30" s="547">
        <v>616</v>
      </c>
      <c r="I30" s="548">
        <v>61.6</v>
      </c>
      <c r="J30" s="546">
        <v>1</v>
      </c>
      <c r="K30" s="595">
        <f t="shared" si="9"/>
        <v>739</v>
      </c>
      <c r="L30" s="60">
        <f t="shared" si="10"/>
        <v>739</v>
      </c>
      <c r="M30" s="596">
        <f t="shared" si="11"/>
        <v>12.300000000000004</v>
      </c>
      <c r="N30" s="15">
        <f t="shared" si="12"/>
        <v>73.900000000000006</v>
      </c>
      <c r="O30" s="60">
        <f t="shared" si="13"/>
        <v>135.30000000000001</v>
      </c>
      <c r="P30" s="261">
        <f t="shared" si="14"/>
        <v>135.30000000000001</v>
      </c>
      <c r="Q30" s="262">
        <f t="shared" si="15"/>
        <v>1623.6000000000001</v>
      </c>
      <c r="R30" s="262">
        <f t="shared" si="16"/>
        <v>391.12524000000002</v>
      </c>
      <c r="S30" s="263">
        <f t="shared" si="17"/>
        <v>2014.7252400000002</v>
      </c>
    </row>
    <row r="31" spans="2:19" s="101" customFormat="1" x14ac:dyDescent="0.25">
      <c r="B31" s="376" t="s">
        <v>4</v>
      </c>
      <c r="C31" s="103"/>
      <c r="D31" s="103"/>
      <c r="E31" s="103"/>
      <c r="F31" s="103"/>
      <c r="G31" s="105"/>
      <c r="H31" s="106"/>
      <c r="I31" s="78"/>
      <c r="J31" s="123">
        <f>SUM(J26:J30)</f>
        <v>50.5</v>
      </c>
      <c r="K31" s="75"/>
      <c r="L31" s="76"/>
      <c r="M31" s="77"/>
      <c r="N31" s="78"/>
      <c r="O31" s="76"/>
      <c r="P31" s="78"/>
      <c r="Q31" s="79">
        <f>SUM(Q26:Q30)</f>
        <v>117973.56</v>
      </c>
      <c r="R31" s="79">
        <f>SUM(R26:R30)</f>
        <v>28419.830604000002</v>
      </c>
      <c r="S31" s="80">
        <f>SUM(S26:S30)</f>
        <v>146393.39060400001</v>
      </c>
    </row>
    <row r="32" spans="2:19" x14ac:dyDescent="0.25">
      <c r="B32" s="599" t="s">
        <v>11</v>
      </c>
      <c r="C32" s="600"/>
      <c r="D32" s="600"/>
      <c r="E32" s="600"/>
      <c r="F32" s="600"/>
      <c r="G32" s="601"/>
      <c r="H32" s="552"/>
      <c r="I32" s="553"/>
      <c r="J32" s="554"/>
      <c r="K32" s="602"/>
      <c r="L32" s="553"/>
      <c r="M32" s="603"/>
      <c r="N32" s="553"/>
      <c r="O32" s="553"/>
      <c r="P32" s="553"/>
      <c r="Q32" s="604"/>
      <c r="R32" s="604"/>
      <c r="S32" s="605"/>
    </row>
    <row r="33" spans="2:27" ht="15" customHeight="1" x14ac:dyDescent="0.25">
      <c r="B33" s="593" t="s">
        <v>312</v>
      </c>
      <c r="C33" s="594" t="s">
        <v>124</v>
      </c>
      <c r="D33" s="594" t="s">
        <v>313</v>
      </c>
      <c r="E33" s="594">
        <v>7</v>
      </c>
      <c r="F33" s="594">
        <v>3</v>
      </c>
      <c r="G33" s="385">
        <v>996</v>
      </c>
      <c r="H33" s="547">
        <v>743</v>
      </c>
      <c r="I33" s="548">
        <v>74.3</v>
      </c>
      <c r="J33" s="546">
        <v>4.75</v>
      </c>
      <c r="K33" s="595">
        <f t="shared" ref="K33:K45" si="18">ROUND(H33*1.2,0)</f>
        <v>892</v>
      </c>
      <c r="L33" s="60">
        <f t="shared" ref="L33:L45" si="19">IF(K33&lt;=G33,K33,G33)</f>
        <v>892</v>
      </c>
      <c r="M33" s="596">
        <f t="shared" ref="M33:M45" si="20">N33-I33</f>
        <v>14.899999999999991</v>
      </c>
      <c r="N33" s="15">
        <f t="shared" ref="N33:N45" si="21">I33/H33*L33</f>
        <v>89.199999999999989</v>
      </c>
      <c r="O33" s="60">
        <f t="shared" ref="O33:O45" si="22">L33-H33+M33</f>
        <v>163.89999999999998</v>
      </c>
      <c r="P33" s="261">
        <f t="shared" ref="P33:P45" si="23">O33*J33</f>
        <v>778.52499999999986</v>
      </c>
      <c r="Q33" s="262">
        <f t="shared" ref="Q33:Q45" si="24">P33*12</f>
        <v>9342.2999999999993</v>
      </c>
      <c r="R33" s="262">
        <f t="shared" ref="R33:R45" si="25">Q33*0.2409</f>
        <v>2250.56007</v>
      </c>
      <c r="S33" s="263">
        <f t="shared" ref="S33:S45" si="26">Q33+R33</f>
        <v>11592.860069999999</v>
      </c>
      <c r="V33" s="747"/>
      <c r="W33" s="747"/>
      <c r="X33" s="747"/>
      <c r="Y33" s="747"/>
      <c r="Z33" s="747"/>
      <c r="AA33" s="747"/>
    </row>
    <row r="34" spans="2:27" ht="12.75" customHeight="1" x14ac:dyDescent="0.25">
      <c r="B34" s="593" t="s">
        <v>312</v>
      </c>
      <c r="C34" s="594" t="s">
        <v>124</v>
      </c>
      <c r="D34" s="594" t="s">
        <v>313</v>
      </c>
      <c r="E34" s="594">
        <v>7</v>
      </c>
      <c r="F34" s="594">
        <v>3</v>
      </c>
      <c r="G34" s="385">
        <v>996</v>
      </c>
      <c r="H34" s="547">
        <v>610</v>
      </c>
      <c r="I34" s="548">
        <v>48.8</v>
      </c>
      <c r="J34" s="546">
        <v>1</v>
      </c>
      <c r="K34" s="595">
        <f t="shared" si="18"/>
        <v>732</v>
      </c>
      <c r="L34" s="60">
        <f t="shared" si="19"/>
        <v>732</v>
      </c>
      <c r="M34" s="596">
        <f t="shared" si="20"/>
        <v>9.7600000000000051</v>
      </c>
      <c r="N34" s="15">
        <f t="shared" si="21"/>
        <v>58.56</v>
      </c>
      <c r="O34" s="60">
        <f t="shared" si="22"/>
        <v>131.76</v>
      </c>
      <c r="P34" s="261">
        <f t="shared" si="23"/>
        <v>131.76</v>
      </c>
      <c r="Q34" s="262">
        <f t="shared" si="24"/>
        <v>1581.12</v>
      </c>
      <c r="R34" s="262">
        <f t="shared" si="25"/>
        <v>380.89180799999997</v>
      </c>
      <c r="S34" s="263">
        <f t="shared" si="26"/>
        <v>1962.0118079999997</v>
      </c>
      <c r="V34" s="747"/>
      <c r="W34" s="747"/>
      <c r="X34" s="747"/>
      <c r="Y34" s="747"/>
      <c r="Z34" s="747"/>
      <c r="AA34" s="747"/>
    </row>
    <row r="35" spans="2:27" ht="12.75" customHeight="1" x14ac:dyDescent="0.25">
      <c r="B35" s="593" t="s">
        <v>312</v>
      </c>
      <c r="C35" s="594" t="s">
        <v>124</v>
      </c>
      <c r="D35" s="594" t="s">
        <v>313</v>
      </c>
      <c r="E35" s="594">
        <v>7</v>
      </c>
      <c r="F35" s="594">
        <v>3</v>
      </c>
      <c r="G35" s="385">
        <v>996</v>
      </c>
      <c r="H35" s="547">
        <v>743</v>
      </c>
      <c r="I35" s="548">
        <v>44.58</v>
      </c>
      <c r="J35" s="546">
        <v>1.5</v>
      </c>
      <c r="K35" s="595">
        <f t="shared" si="18"/>
        <v>892</v>
      </c>
      <c r="L35" s="60">
        <f t="shared" si="19"/>
        <v>892</v>
      </c>
      <c r="M35" s="596">
        <f t="shared" si="20"/>
        <v>8.9399999999999977</v>
      </c>
      <c r="N35" s="15">
        <f t="shared" si="21"/>
        <v>53.519999999999996</v>
      </c>
      <c r="O35" s="60">
        <f t="shared" si="22"/>
        <v>157.94</v>
      </c>
      <c r="P35" s="261">
        <f t="shared" si="23"/>
        <v>236.91</v>
      </c>
      <c r="Q35" s="262">
        <f t="shared" si="24"/>
        <v>2842.92</v>
      </c>
      <c r="R35" s="262">
        <f t="shared" si="25"/>
        <v>684.85942799999998</v>
      </c>
      <c r="S35" s="263">
        <f t="shared" si="26"/>
        <v>3527.7794279999998</v>
      </c>
      <c r="V35" s="747"/>
      <c r="W35" s="747"/>
      <c r="X35" s="747"/>
      <c r="Y35" s="747"/>
      <c r="Z35" s="747"/>
      <c r="AA35" s="747"/>
    </row>
    <row r="36" spans="2:27" ht="12.75" customHeight="1" x14ac:dyDescent="0.25">
      <c r="B36" s="593" t="s">
        <v>312</v>
      </c>
      <c r="C36" s="594" t="s">
        <v>124</v>
      </c>
      <c r="D36" s="594" t="s">
        <v>313</v>
      </c>
      <c r="E36" s="594">
        <v>7</v>
      </c>
      <c r="F36" s="594">
        <v>3</v>
      </c>
      <c r="G36" s="385">
        <v>996</v>
      </c>
      <c r="H36" s="547">
        <v>743</v>
      </c>
      <c r="I36" s="548">
        <v>0</v>
      </c>
      <c r="J36" s="546">
        <v>0.5</v>
      </c>
      <c r="K36" s="595">
        <f t="shared" si="18"/>
        <v>892</v>
      </c>
      <c r="L36" s="60">
        <f t="shared" si="19"/>
        <v>892</v>
      </c>
      <c r="M36" s="596">
        <f t="shared" si="20"/>
        <v>0</v>
      </c>
      <c r="N36" s="15">
        <f t="shared" si="21"/>
        <v>0</v>
      </c>
      <c r="O36" s="60">
        <f t="shared" si="22"/>
        <v>149</v>
      </c>
      <c r="P36" s="261">
        <f t="shared" si="23"/>
        <v>74.5</v>
      </c>
      <c r="Q36" s="262">
        <f t="shared" si="24"/>
        <v>894</v>
      </c>
      <c r="R36" s="262">
        <f t="shared" si="25"/>
        <v>215.3646</v>
      </c>
      <c r="S36" s="263">
        <f t="shared" si="26"/>
        <v>1109.3645999999999</v>
      </c>
      <c r="V36" s="747"/>
      <c r="W36" s="747"/>
      <c r="X36" s="747"/>
      <c r="Y36" s="747"/>
      <c r="Z36" s="747"/>
      <c r="AA36" s="747"/>
    </row>
    <row r="37" spans="2:27" ht="12.75" customHeight="1" x14ac:dyDescent="0.25">
      <c r="B37" s="593" t="s">
        <v>312</v>
      </c>
      <c r="C37" s="594" t="s">
        <v>124</v>
      </c>
      <c r="D37" s="594" t="s">
        <v>313</v>
      </c>
      <c r="E37" s="594">
        <v>7</v>
      </c>
      <c r="F37" s="594">
        <v>2</v>
      </c>
      <c r="G37" s="385">
        <v>835</v>
      </c>
      <c r="H37" s="547">
        <v>749</v>
      </c>
      <c r="I37" s="548">
        <v>56.18</v>
      </c>
      <c r="J37" s="546">
        <v>0.75</v>
      </c>
      <c r="K37" s="595">
        <f t="shared" si="18"/>
        <v>899</v>
      </c>
      <c r="L37" s="60">
        <f t="shared" si="19"/>
        <v>835</v>
      </c>
      <c r="M37" s="596">
        <f t="shared" si="20"/>
        <v>6.4505740987983984</v>
      </c>
      <c r="N37" s="15">
        <f t="shared" si="21"/>
        <v>62.630574098798398</v>
      </c>
      <c r="O37" s="60">
        <f t="shared" si="22"/>
        <v>92.450574098798398</v>
      </c>
      <c r="P37" s="261">
        <f t="shared" si="23"/>
        <v>69.337930574098806</v>
      </c>
      <c r="Q37" s="262">
        <f t="shared" si="24"/>
        <v>832.05516688918567</v>
      </c>
      <c r="R37" s="262">
        <f t="shared" si="25"/>
        <v>200.44208970360484</v>
      </c>
      <c r="S37" s="263">
        <f t="shared" si="26"/>
        <v>1032.4972565927906</v>
      </c>
      <c r="V37" s="747"/>
      <c r="W37" s="747"/>
      <c r="X37" s="747"/>
      <c r="Y37" s="747"/>
      <c r="Z37" s="747"/>
      <c r="AA37" s="747"/>
    </row>
    <row r="38" spans="2:27" ht="12.75" customHeight="1" x14ac:dyDescent="0.25">
      <c r="B38" s="593" t="s">
        <v>312</v>
      </c>
      <c r="C38" s="594" t="s">
        <v>124</v>
      </c>
      <c r="D38" s="594" t="s">
        <v>313</v>
      </c>
      <c r="E38" s="594">
        <v>7</v>
      </c>
      <c r="F38" s="594">
        <v>2</v>
      </c>
      <c r="G38" s="385">
        <v>835</v>
      </c>
      <c r="H38" s="547">
        <v>572</v>
      </c>
      <c r="I38" s="548">
        <v>45.76</v>
      </c>
      <c r="J38" s="546">
        <v>0.75</v>
      </c>
      <c r="K38" s="595">
        <f t="shared" si="18"/>
        <v>686</v>
      </c>
      <c r="L38" s="60">
        <f t="shared" si="19"/>
        <v>686</v>
      </c>
      <c r="M38" s="596">
        <f t="shared" si="20"/>
        <v>9.1200000000000045</v>
      </c>
      <c r="N38" s="15">
        <f t="shared" si="21"/>
        <v>54.88</v>
      </c>
      <c r="O38" s="60">
        <f t="shared" si="22"/>
        <v>123.12</v>
      </c>
      <c r="P38" s="261">
        <f t="shared" si="23"/>
        <v>92.34</v>
      </c>
      <c r="Q38" s="262">
        <f t="shared" si="24"/>
        <v>1108.08</v>
      </c>
      <c r="R38" s="262">
        <f t="shared" si="25"/>
        <v>266.93647199999998</v>
      </c>
      <c r="S38" s="263">
        <f t="shared" si="26"/>
        <v>1375.0164719999998</v>
      </c>
      <c r="V38" s="747"/>
      <c r="W38" s="747"/>
      <c r="X38" s="747"/>
      <c r="Y38" s="747"/>
      <c r="Z38" s="747"/>
      <c r="AA38" s="747"/>
    </row>
    <row r="39" spans="2:27" ht="12.75" customHeight="1" x14ac:dyDescent="0.25">
      <c r="B39" s="593" t="s">
        <v>312</v>
      </c>
      <c r="C39" s="594" t="s">
        <v>124</v>
      </c>
      <c r="D39" s="594" t="s">
        <v>313</v>
      </c>
      <c r="E39" s="594">
        <v>7</v>
      </c>
      <c r="F39" s="594" t="s">
        <v>75</v>
      </c>
      <c r="G39" s="385">
        <v>996</v>
      </c>
      <c r="H39" s="547">
        <v>819</v>
      </c>
      <c r="I39" s="548">
        <v>81.900000000000006</v>
      </c>
      <c r="J39" s="546">
        <v>9.9499999999999993</v>
      </c>
      <c r="K39" s="595">
        <f t="shared" si="18"/>
        <v>983</v>
      </c>
      <c r="L39" s="60">
        <f t="shared" si="19"/>
        <v>983</v>
      </c>
      <c r="M39" s="596">
        <f t="shared" si="20"/>
        <v>16.400000000000006</v>
      </c>
      <c r="N39" s="15">
        <f t="shared" si="21"/>
        <v>98.300000000000011</v>
      </c>
      <c r="O39" s="60">
        <f t="shared" si="22"/>
        <v>180.4</v>
      </c>
      <c r="P39" s="261">
        <f t="shared" si="23"/>
        <v>1794.98</v>
      </c>
      <c r="Q39" s="262">
        <f t="shared" si="24"/>
        <v>21539.760000000002</v>
      </c>
      <c r="R39" s="262">
        <f t="shared" si="25"/>
        <v>5188.9281840000003</v>
      </c>
      <c r="S39" s="263">
        <f t="shared" si="26"/>
        <v>26728.688184000002</v>
      </c>
      <c r="V39" s="747"/>
      <c r="W39" s="747"/>
      <c r="X39" s="747"/>
      <c r="Y39" s="747"/>
      <c r="Z39" s="747"/>
      <c r="AA39" s="747"/>
    </row>
    <row r="40" spans="2:27" ht="12.75" customHeight="1" x14ac:dyDescent="0.25">
      <c r="B40" s="593" t="s">
        <v>312</v>
      </c>
      <c r="C40" s="594" t="s">
        <v>124</v>
      </c>
      <c r="D40" s="594" t="s">
        <v>313</v>
      </c>
      <c r="E40" s="594">
        <v>7</v>
      </c>
      <c r="F40" s="594" t="s">
        <v>79</v>
      </c>
      <c r="G40" s="385">
        <v>835</v>
      </c>
      <c r="H40" s="547">
        <v>819</v>
      </c>
      <c r="I40" s="548">
        <v>81.900000000000006</v>
      </c>
      <c r="J40" s="546">
        <v>0.5</v>
      </c>
      <c r="K40" s="595">
        <f t="shared" si="18"/>
        <v>983</v>
      </c>
      <c r="L40" s="60">
        <f t="shared" si="19"/>
        <v>835</v>
      </c>
      <c r="M40" s="596">
        <f t="shared" si="20"/>
        <v>1.5999999999999943</v>
      </c>
      <c r="N40" s="15">
        <f t="shared" si="21"/>
        <v>83.5</v>
      </c>
      <c r="O40" s="60">
        <f t="shared" si="22"/>
        <v>17.599999999999994</v>
      </c>
      <c r="P40" s="261">
        <f t="shared" si="23"/>
        <v>8.7999999999999972</v>
      </c>
      <c r="Q40" s="262">
        <f t="shared" si="24"/>
        <v>105.59999999999997</v>
      </c>
      <c r="R40" s="262">
        <f t="shared" si="25"/>
        <v>25.439039999999991</v>
      </c>
      <c r="S40" s="263">
        <f t="shared" si="26"/>
        <v>131.03903999999994</v>
      </c>
      <c r="V40" s="747"/>
      <c r="W40" s="747"/>
      <c r="X40" s="747"/>
      <c r="Y40" s="747"/>
      <c r="Z40" s="747"/>
      <c r="AA40" s="747"/>
    </row>
    <row r="41" spans="2:27" ht="12.75" customHeight="1" x14ac:dyDescent="0.25">
      <c r="B41" s="593" t="s">
        <v>312</v>
      </c>
      <c r="C41" s="594" t="s">
        <v>124</v>
      </c>
      <c r="D41" s="594" t="s">
        <v>313</v>
      </c>
      <c r="E41" s="594">
        <v>7</v>
      </c>
      <c r="F41" s="594" t="s">
        <v>79</v>
      </c>
      <c r="G41" s="385">
        <v>835</v>
      </c>
      <c r="H41" s="547">
        <v>690</v>
      </c>
      <c r="I41" s="548">
        <v>69</v>
      </c>
      <c r="J41" s="546">
        <v>0.5</v>
      </c>
      <c r="K41" s="595">
        <f t="shared" si="18"/>
        <v>828</v>
      </c>
      <c r="L41" s="60">
        <f t="shared" si="19"/>
        <v>828</v>
      </c>
      <c r="M41" s="596">
        <f t="shared" si="20"/>
        <v>13.800000000000011</v>
      </c>
      <c r="N41" s="15">
        <f t="shared" si="21"/>
        <v>82.800000000000011</v>
      </c>
      <c r="O41" s="60">
        <f t="shared" si="22"/>
        <v>151.80000000000001</v>
      </c>
      <c r="P41" s="261">
        <f t="shared" si="23"/>
        <v>75.900000000000006</v>
      </c>
      <c r="Q41" s="262">
        <f t="shared" si="24"/>
        <v>910.80000000000007</v>
      </c>
      <c r="R41" s="262">
        <f t="shared" si="25"/>
        <v>219.41172000000003</v>
      </c>
      <c r="S41" s="263">
        <f t="shared" si="26"/>
        <v>1130.21172</v>
      </c>
      <c r="V41" s="747"/>
      <c r="W41" s="747"/>
      <c r="X41" s="747"/>
      <c r="Y41" s="747"/>
      <c r="Z41" s="747"/>
      <c r="AA41" s="747"/>
    </row>
    <row r="42" spans="2:27" x14ac:dyDescent="0.25">
      <c r="B42" s="593" t="s">
        <v>46</v>
      </c>
      <c r="C42" s="594" t="s">
        <v>22</v>
      </c>
      <c r="D42" s="594" t="s">
        <v>47</v>
      </c>
      <c r="E42" s="594">
        <v>5</v>
      </c>
      <c r="F42" s="594">
        <v>3</v>
      </c>
      <c r="G42" s="385">
        <v>802</v>
      </c>
      <c r="H42" s="547">
        <v>742</v>
      </c>
      <c r="I42" s="548">
        <v>59.36</v>
      </c>
      <c r="J42" s="546">
        <v>4.25</v>
      </c>
      <c r="K42" s="595">
        <f t="shared" si="18"/>
        <v>890</v>
      </c>
      <c r="L42" s="60">
        <f t="shared" si="19"/>
        <v>802</v>
      </c>
      <c r="M42" s="596">
        <f t="shared" si="20"/>
        <v>4.7999999999999972</v>
      </c>
      <c r="N42" s="15">
        <f t="shared" si="21"/>
        <v>64.16</v>
      </c>
      <c r="O42" s="60">
        <f t="shared" si="22"/>
        <v>64.8</v>
      </c>
      <c r="P42" s="261">
        <f t="shared" si="23"/>
        <v>275.39999999999998</v>
      </c>
      <c r="Q42" s="262">
        <f t="shared" si="24"/>
        <v>3304.7999999999997</v>
      </c>
      <c r="R42" s="262">
        <f t="shared" si="25"/>
        <v>796.12631999999996</v>
      </c>
      <c r="S42" s="263">
        <f t="shared" si="26"/>
        <v>4100.9263199999996</v>
      </c>
    </row>
    <row r="43" spans="2:27" x14ac:dyDescent="0.25">
      <c r="B43" s="593" t="s">
        <v>314</v>
      </c>
      <c r="C43" s="594" t="s">
        <v>114</v>
      </c>
      <c r="D43" s="594" t="s">
        <v>313</v>
      </c>
      <c r="E43" s="594">
        <v>4</v>
      </c>
      <c r="F43" s="594">
        <v>3</v>
      </c>
      <c r="G43" s="385">
        <v>705</v>
      </c>
      <c r="H43" s="547">
        <v>544</v>
      </c>
      <c r="I43" s="548">
        <v>0</v>
      </c>
      <c r="J43" s="546">
        <v>3</v>
      </c>
      <c r="K43" s="595">
        <f t="shared" si="18"/>
        <v>653</v>
      </c>
      <c r="L43" s="60">
        <f t="shared" si="19"/>
        <v>653</v>
      </c>
      <c r="M43" s="596">
        <f t="shared" si="20"/>
        <v>0</v>
      </c>
      <c r="N43" s="15">
        <f t="shared" si="21"/>
        <v>0</v>
      </c>
      <c r="O43" s="60">
        <f t="shared" si="22"/>
        <v>109</v>
      </c>
      <c r="P43" s="261">
        <f t="shared" si="23"/>
        <v>327</v>
      </c>
      <c r="Q43" s="262">
        <f t="shared" si="24"/>
        <v>3924</v>
      </c>
      <c r="R43" s="262">
        <f t="shared" si="25"/>
        <v>945.29160000000002</v>
      </c>
      <c r="S43" s="263">
        <f t="shared" si="26"/>
        <v>4869.2916000000005</v>
      </c>
    </row>
    <row r="44" spans="2:27" hidden="1" x14ac:dyDescent="0.25">
      <c r="B44" s="606" t="s">
        <v>314</v>
      </c>
      <c r="C44" s="607" t="s">
        <v>114</v>
      </c>
      <c r="D44" s="607" t="s">
        <v>313</v>
      </c>
      <c r="E44" s="607">
        <v>4</v>
      </c>
      <c r="F44" s="607">
        <v>2</v>
      </c>
      <c r="G44" s="608">
        <v>580</v>
      </c>
      <c r="H44" s="547"/>
      <c r="I44" s="548"/>
      <c r="J44" s="546"/>
      <c r="K44" s="595">
        <f t="shared" si="18"/>
        <v>0</v>
      </c>
      <c r="L44" s="60">
        <f t="shared" si="19"/>
        <v>0</v>
      </c>
      <c r="M44" s="596"/>
      <c r="N44" s="15"/>
      <c r="O44" s="60"/>
      <c r="P44" s="261"/>
      <c r="Q44" s="262"/>
      <c r="R44" s="262"/>
      <c r="S44" s="263"/>
    </row>
    <row r="45" spans="2:27" x14ac:dyDescent="0.25">
      <c r="B45" s="593" t="s">
        <v>314</v>
      </c>
      <c r="C45" s="594" t="s">
        <v>114</v>
      </c>
      <c r="D45" s="594" t="s">
        <v>313</v>
      </c>
      <c r="E45" s="594">
        <v>4</v>
      </c>
      <c r="F45" s="609">
        <v>1</v>
      </c>
      <c r="G45" s="385">
        <v>487</v>
      </c>
      <c r="H45" s="547">
        <v>460</v>
      </c>
      <c r="I45" s="548">
        <v>0</v>
      </c>
      <c r="J45" s="546">
        <v>1</v>
      </c>
      <c r="K45" s="595">
        <f t="shared" si="18"/>
        <v>552</v>
      </c>
      <c r="L45" s="60">
        <f t="shared" si="19"/>
        <v>487</v>
      </c>
      <c r="M45" s="596">
        <f t="shared" si="20"/>
        <v>0</v>
      </c>
      <c r="N45" s="15">
        <f t="shared" si="21"/>
        <v>0</v>
      </c>
      <c r="O45" s="60">
        <f t="shared" si="22"/>
        <v>27</v>
      </c>
      <c r="P45" s="261">
        <f t="shared" si="23"/>
        <v>27</v>
      </c>
      <c r="Q45" s="262">
        <f t="shared" si="24"/>
        <v>324</v>
      </c>
      <c r="R45" s="262">
        <f t="shared" si="25"/>
        <v>78.051600000000008</v>
      </c>
      <c r="S45" s="263">
        <f t="shared" si="26"/>
        <v>402.05160000000001</v>
      </c>
    </row>
    <row r="46" spans="2:27" s="101" customFormat="1" x14ac:dyDescent="0.25">
      <c r="B46" s="376" t="s">
        <v>4</v>
      </c>
      <c r="C46" s="103"/>
      <c r="D46" s="103"/>
      <c r="E46" s="103"/>
      <c r="F46" s="103"/>
      <c r="G46" s="105"/>
      <c r="H46" s="106"/>
      <c r="I46" s="78"/>
      <c r="J46" s="123">
        <f>SUM(J33:J45)</f>
        <v>28.45</v>
      </c>
      <c r="K46" s="75"/>
      <c r="L46" s="76"/>
      <c r="M46" s="77"/>
      <c r="N46" s="78"/>
      <c r="O46" s="76"/>
      <c r="P46" s="78"/>
      <c r="Q46" s="79">
        <f>SUM(Q33:Q45)</f>
        <v>46709.43516688919</v>
      </c>
      <c r="R46" s="79">
        <f>SUM(R33:R45)</f>
        <v>11252.302931703605</v>
      </c>
      <c r="S46" s="80">
        <f>SUM(S33:S45)</f>
        <v>57961.738098592796</v>
      </c>
      <c r="U46" s="359"/>
      <c r="V46" s="359"/>
    </row>
    <row r="47" spans="2:27" ht="13.5" thickBot="1" x14ac:dyDescent="0.3">
      <c r="B47" s="610" t="s">
        <v>315</v>
      </c>
      <c r="C47" s="556"/>
      <c r="D47" s="556"/>
      <c r="E47" s="556"/>
      <c r="F47" s="556"/>
      <c r="G47" s="611"/>
      <c r="H47" s="555"/>
      <c r="I47" s="556"/>
      <c r="J47" s="557">
        <f>J24+J31+J46</f>
        <v>130.44999999999999</v>
      </c>
      <c r="K47" s="612"/>
      <c r="L47" s="556"/>
      <c r="M47" s="556"/>
      <c r="N47" s="556"/>
      <c r="O47" s="556"/>
      <c r="P47" s="556"/>
      <c r="Q47" s="613">
        <f>Q24+Q31+Q46</f>
        <v>236329.29516688918</v>
      </c>
      <c r="R47" s="613">
        <f>R24+R31+R46</f>
        <v>56931.72720570361</v>
      </c>
      <c r="S47" s="614">
        <f>S24+S31+S46</f>
        <v>293261.02237259282</v>
      </c>
    </row>
    <row r="48" spans="2:27" ht="4.5" customHeight="1" thickBot="1" x14ac:dyDescent="0.3"/>
    <row r="49" spans="2:19" ht="15.75" thickBot="1" x14ac:dyDescent="0.3">
      <c r="B49" s="936" t="s">
        <v>316</v>
      </c>
      <c r="C49" s="937"/>
      <c r="D49" s="937"/>
      <c r="E49" s="937"/>
      <c r="F49" s="937"/>
      <c r="G49" s="937"/>
      <c r="H49" s="937"/>
      <c r="I49" s="937"/>
      <c r="J49" s="937"/>
      <c r="K49" s="937"/>
      <c r="L49" s="937"/>
      <c r="M49" s="937"/>
      <c r="N49" s="937"/>
      <c r="O49" s="937"/>
      <c r="P49" s="937"/>
      <c r="Q49" s="937"/>
      <c r="R49" s="937"/>
      <c r="S49" s="938"/>
    </row>
    <row r="50" spans="2:19" x14ac:dyDescent="0.25">
      <c r="B50" s="599" t="s">
        <v>20</v>
      </c>
      <c r="C50" s="553"/>
      <c r="D50" s="553"/>
      <c r="E50" s="553"/>
      <c r="F50" s="553"/>
      <c r="G50" s="615"/>
      <c r="H50" s="558"/>
      <c r="I50" s="553"/>
      <c r="J50" s="559"/>
      <c r="K50" s="616"/>
      <c r="L50" s="553"/>
      <c r="M50" s="617"/>
      <c r="N50" s="553"/>
      <c r="O50" s="553"/>
      <c r="P50" s="553"/>
      <c r="Q50" s="604"/>
      <c r="R50" s="604"/>
      <c r="S50" s="605"/>
    </row>
    <row r="51" spans="2:19" ht="25.5" x14ac:dyDescent="0.25">
      <c r="B51" s="618" t="s">
        <v>317</v>
      </c>
      <c r="C51" s="619" t="s">
        <v>318</v>
      </c>
      <c r="D51" s="619" t="s">
        <v>67</v>
      </c>
      <c r="E51" s="620">
        <v>13</v>
      </c>
      <c r="F51" s="621" t="s">
        <v>75</v>
      </c>
      <c r="G51" s="385">
        <v>1917</v>
      </c>
      <c r="H51" s="560">
        <v>1917</v>
      </c>
      <c r="I51" s="548">
        <v>0</v>
      </c>
      <c r="J51" s="561">
        <v>1</v>
      </c>
      <c r="K51" s="259">
        <f t="shared" ref="K51:K60" si="27">ROUND(H51*1.2,0)</f>
        <v>2300</v>
      </c>
      <c r="L51" s="60">
        <f t="shared" ref="L51:L60" si="28">IF(K51&lt;=G51,K51,G51)</f>
        <v>1917</v>
      </c>
      <c r="M51" s="260">
        <f t="shared" ref="M51:M60" si="29">N51-I51</f>
        <v>0</v>
      </c>
      <c r="N51" s="15">
        <f>I51/H51*L51</f>
        <v>0</v>
      </c>
      <c r="O51" s="60">
        <f t="shared" ref="O51:O60" si="30">L51-H51+M51</f>
        <v>0</v>
      </c>
      <c r="P51" s="261">
        <f t="shared" ref="P51:P60" si="31">O51*J51</f>
        <v>0</v>
      </c>
      <c r="Q51" s="262">
        <f t="shared" ref="Q51:Q60" si="32">P51*12</f>
        <v>0</v>
      </c>
      <c r="R51" s="262">
        <f t="shared" ref="R51:R60" si="33">Q51*0.2409</f>
        <v>0</v>
      </c>
      <c r="S51" s="263">
        <f t="shared" ref="S51:S60" si="34">Q51+R51</f>
        <v>0</v>
      </c>
    </row>
    <row r="52" spans="2:19" x14ac:dyDescent="0.25">
      <c r="B52" s="618" t="s">
        <v>319</v>
      </c>
      <c r="C52" s="619" t="s">
        <v>318</v>
      </c>
      <c r="D52" s="619" t="s">
        <v>67</v>
      </c>
      <c r="E52" s="620">
        <v>13</v>
      </c>
      <c r="F52" s="621" t="s">
        <v>75</v>
      </c>
      <c r="G52" s="385">
        <v>1917</v>
      </c>
      <c r="H52" s="560">
        <v>1917</v>
      </c>
      <c r="I52" s="548">
        <v>0</v>
      </c>
      <c r="J52" s="561">
        <v>1</v>
      </c>
      <c r="K52" s="259">
        <f t="shared" si="27"/>
        <v>2300</v>
      </c>
      <c r="L52" s="60">
        <f t="shared" si="28"/>
        <v>1917</v>
      </c>
      <c r="M52" s="260">
        <f t="shared" si="29"/>
        <v>0</v>
      </c>
      <c r="N52" s="15">
        <f t="shared" ref="N52:N60" si="35">I52/H52*L52</f>
        <v>0</v>
      </c>
      <c r="O52" s="60">
        <f t="shared" si="30"/>
        <v>0</v>
      </c>
      <c r="P52" s="261">
        <f t="shared" si="31"/>
        <v>0</v>
      </c>
      <c r="Q52" s="262">
        <f t="shared" si="32"/>
        <v>0</v>
      </c>
      <c r="R52" s="262">
        <f t="shared" si="33"/>
        <v>0</v>
      </c>
      <c r="S52" s="263">
        <f t="shared" si="34"/>
        <v>0</v>
      </c>
    </row>
    <row r="53" spans="2:19" x14ac:dyDescent="0.25">
      <c r="B53" s="157" t="s">
        <v>320</v>
      </c>
      <c r="C53" s="54" t="s">
        <v>13</v>
      </c>
      <c r="D53" s="54" t="s">
        <v>39</v>
      </c>
      <c r="E53" s="54" t="s">
        <v>321</v>
      </c>
      <c r="F53" s="54" t="s">
        <v>75</v>
      </c>
      <c r="G53" s="385">
        <v>1647</v>
      </c>
      <c r="H53" s="60">
        <v>1647</v>
      </c>
      <c r="I53" s="548">
        <v>0</v>
      </c>
      <c r="J53" s="327">
        <v>3</v>
      </c>
      <c r="K53" s="259">
        <f t="shared" si="27"/>
        <v>1976</v>
      </c>
      <c r="L53" s="60">
        <f t="shared" si="28"/>
        <v>1647</v>
      </c>
      <c r="M53" s="260">
        <f t="shared" si="29"/>
        <v>0</v>
      </c>
      <c r="N53" s="15">
        <f t="shared" si="35"/>
        <v>0</v>
      </c>
      <c r="O53" s="60">
        <f t="shared" si="30"/>
        <v>0</v>
      </c>
      <c r="P53" s="261">
        <f t="shared" si="31"/>
        <v>0</v>
      </c>
      <c r="Q53" s="262">
        <f t="shared" si="32"/>
        <v>0</v>
      </c>
      <c r="R53" s="262">
        <f t="shared" si="33"/>
        <v>0</v>
      </c>
      <c r="S53" s="263">
        <f t="shared" si="34"/>
        <v>0</v>
      </c>
    </row>
    <row r="54" spans="2:19" x14ac:dyDescent="0.25">
      <c r="B54" s="88" t="s">
        <v>322</v>
      </c>
      <c r="C54" s="54" t="s">
        <v>124</v>
      </c>
      <c r="D54" s="54" t="s">
        <v>49</v>
      </c>
      <c r="E54" s="54" t="s">
        <v>321</v>
      </c>
      <c r="F54" s="54" t="s">
        <v>75</v>
      </c>
      <c r="G54" s="385">
        <v>1647</v>
      </c>
      <c r="H54" s="60">
        <v>1647</v>
      </c>
      <c r="I54" s="548">
        <v>0</v>
      </c>
      <c r="J54" s="327">
        <v>1</v>
      </c>
      <c r="K54" s="259">
        <f t="shared" si="27"/>
        <v>1976</v>
      </c>
      <c r="L54" s="60">
        <f t="shared" si="28"/>
        <v>1647</v>
      </c>
      <c r="M54" s="260">
        <f t="shared" si="29"/>
        <v>0</v>
      </c>
      <c r="N54" s="15">
        <f t="shared" si="35"/>
        <v>0</v>
      </c>
      <c r="O54" s="60">
        <f t="shared" si="30"/>
        <v>0</v>
      </c>
      <c r="P54" s="261">
        <f t="shared" si="31"/>
        <v>0</v>
      </c>
      <c r="Q54" s="262">
        <f t="shared" si="32"/>
        <v>0</v>
      </c>
      <c r="R54" s="262">
        <f t="shared" si="33"/>
        <v>0</v>
      </c>
      <c r="S54" s="263">
        <f t="shared" si="34"/>
        <v>0</v>
      </c>
    </row>
    <row r="55" spans="2:19" x14ac:dyDescent="0.25">
      <c r="B55" s="88" t="s">
        <v>322</v>
      </c>
      <c r="C55" s="54" t="s">
        <v>124</v>
      </c>
      <c r="D55" s="54" t="s">
        <v>49</v>
      </c>
      <c r="E55" s="54" t="s">
        <v>321</v>
      </c>
      <c r="F55" s="54" t="s">
        <v>75</v>
      </c>
      <c r="G55" s="385">
        <v>1647</v>
      </c>
      <c r="H55" s="60">
        <v>1564</v>
      </c>
      <c r="I55" s="548">
        <v>0</v>
      </c>
      <c r="J55" s="327">
        <v>1</v>
      </c>
      <c r="K55" s="259">
        <f t="shared" si="27"/>
        <v>1877</v>
      </c>
      <c r="L55" s="60">
        <f t="shared" si="28"/>
        <v>1647</v>
      </c>
      <c r="M55" s="260">
        <f t="shared" si="29"/>
        <v>0</v>
      </c>
      <c r="N55" s="15">
        <f t="shared" si="35"/>
        <v>0</v>
      </c>
      <c r="O55" s="60">
        <f t="shared" si="30"/>
        <v>83</v>
      </c>
      <c r="P55" s="261">
        <f t="shared" si="31"/>
        <v>83</v>
      </c>
      <c r="Q55" s="262">
        <f t="shared" si="32"/>
        <v>996</v>
      </c>
      <c r="R55" s="262">
        <f t="shared" si="33"/>
        <v>239.93639999999999</v>
      </c>
      <c r="S55" s="263">
        <f t="shared" si="34"/>
        <v>1235.9364</v>
      </c>
    </row>
    <row r="56" spans="2:19" ht="25.5" x14ac:dyDescent="0.25">
      <c r="B56" s="157" t="s">
        <v>323</v>
      </c>
      <c r="C56" s="54" t="s">
        <v>318</v>
      </c>
      <c r="D56" s="54" t="s">
        <v>35</v>
      </c>
      <c r="E56" s="54" t="s">
        <v>324</v>
      </c>
      <c r="F56" s="54" t="s">
        <v>75</v>
      </c>
      <c r="G56" s="385">
        <v>1382</v>
      </c>
      <c r="H56" s="15">
        <v>1382</v>
      </c>
      <c r="I56" s="548">
        <v>0</v>
      </c>
      <c r="J56" s="561">
        <v>1</v>
      </c>
      <c r="K56" s="259">
        <f t="shared" si="27"/>
        <v>1658</v>
      </c>
      <c r="L56" s="60">
        <f t="shared" si="28"/>
        <v>1382</v>
      </c>
      <c r="M56" s="260">
        <f t="shared" si="29"/>
        <v>0</v>
      </c>
      <c r="N56" s="15">
        <f t="shared" si="35"/>
        <v>0</v>
      </c>
      <c r="O56" s="60">
        <f t="shared" si="30"/>
        <v>0</v>
      </c>
      <c r="P56" s="261">
        <f t="shared" si="31"/>
        <v>0</v>
      </c>
      <c r="Q56" s="262">
        <f t="shared" si="32"/>
        <v>0</v>
      </c>
      <c r="R56" s="262">
        <f t="shared" si="33"/>
        <v>0</v>
      </c>
      <c r="S56" s="263">
        <f t="shared" si="34"/>
        <v>0</v>
      </c>
    </row>
    <row r="57" spans="2:19" x14ac:dyDescent="0.25">
      <c r="B57" s="88" t="s">
        <v>66</v>
      </c>
      <c r="C57" s="619" t="s">
        <v>44</v>
      </c>
      <c r="D57" s="54" t="s">
        <v>67</v>
      </c>
      <c r="E57" s="54" t="s">
        <v>324</v>
      </c>
      <c r="F57" s="54" t="s">
        <v>75</v>
      </c>
      <c r="G57" s="385">
        <v>1382</v>
      </c>
      <c r="H57" s="60">
        <v>1382</v>
      </c>
      <c r="I57" s="548">
        <v>0</v>
      </c>
      <c r="J57" s="327">
        <v>1</v>
      </c>
      <c r="K57" s="259">
        <f t="shared" si="27"/>
        <v>1658</v>
      </c>
      <c r="L57" s="60">
        <f t="shared" si="28"/>
        <v>1382</v>
      </c>
      <c r="M57" s="260">
        <f t="shared" si="29"/>
        <v>0</v>
      </c>
      <c r="N57" s="15">
        <f t="shared" si="35"/>
        <v>0</v>
      </c>
      <c r="O57" s="60">
        <f t="shared" si="30"/>
        <v>0</v>
      </c>
      <c r="P57" s="261">
        <f t="shared" si="31"/>
        <v>0</v>
      </c>
      <c r="Q57" s="262">
        <f t="shared" si="32"/>
        <v>0</v>
      </c>
      <c r="R57" s="262">
        <f t="shared" si="33"/>
        <v>0</v>
      </c>
      <c r="S57" s="263">
        <f t="shared" si="34"/>
        <v>0</v>
      </c>
    </row>
    <row r="58" spans="2:19" x14ac:dyDescent="0.25">
      <c r="B58" s="88" t="s">
        <v>325</v>
      </c>
      <c r="C58" s="54" t="s">
        <v>114</v>
      </c>
      <c r="D58" s="54" t="s">
        <v>49</v>
      </c>
      <c r="E58" s="54">
        <v>10</v>
      </c>
      <c r="F58" s="54">
        <v>3</v>
      </c>
      <c r="G58" s="385">
        <v>1287</v>
      </c>
      <c r="H58" s="60">
        <v>1287</v>
      </c>
      <c r="I58" s="548">
        <v>0</v>
      </c>
      <c r="J58" s="327">
        <v>1</v>
      </c>
      <c r="K58" s="259">
        <f t="shared" si="27"/>
        <v>1544</v>
      </c>
      <c r="L58" s="60">
        <f t="shared" si="28"/>
        <v>1287</v>
      </c>
      <c r="M58" s="260">
        <f t="shared" si="29"/>
        <v>0</v>
      </c>
      <c r="N58" s="15">
        <f t="shared" si="35"/>
        <v>0</v>
      </c>
      <c r="O58" s="60">
        <f t="shared" si="30"/>
        <v>0</v>
      </c>
      <c r="P58" s="261">
        <f t="shared" si="31"/>
        <v>0</v>
      </c>
      <c r="Q58" s="262">
        <f t="shared" si="32"/>
        <v>0</v>
      </c>
      <c r="R58" s="262">
        <f t="shared" si="33"/>
        <v>0</v>
      </c>
      <c r="S58" s="263">
        <f t="shared" si="34"/>
        <v>0</v>
      </c>
    </row>
    <row r="59" spans="2:19" x14ac:dyDescent="0.25">
      <c r="B59" s="88" t="s">
        <v>209</v>
      </c>
      <c r="C59" s="54" t="s">
        <v>13</v>
      </c>
      <c r="D59" s="54" t="s">
        <v>14</v>
      </c>
      <c r="E59" s="54" t="s">
        <v>124</v>
      </c>
      <c r="F59" s="54" t="s">
        <v>75</v>
      </c>
      <c r="G59" s="385">
        <v>1287</v>
      </c>
      <c r="H59" s="15">
        <v>1287</v>
      </c>
      <c r="I59" s="548">
        <v>0</v>
      </c>
      <c r="J59" s="562">
        <f>2+1+1+3</f>
        <v>7</v>
      </c>
      <c r="K59" s="259">
        <f t="shared" si="27"/>
        <v>1544</v>
      </c>
      <c r="L59" s="60">
        <f t="shared" si="28"/>
        <v>1287</v>
      </c>
      <c r="M59" s="260">
        <f t="shared" si="29"/>
        <v>0</v>
      </c>
      <c r="N59" s="15">
        <f t="shared" si="35"/>
        <v>0</v>
      </c>
      <c r="O59" s="60">
        <f t="shared" si="30"/>
        <v>0</v>
      </c>
      <c r="P59" s="261">
        <f t="shared" si="31"/>
        <v>0</v>
      </c>
      <c r="Q59" s="262">
        <f t="shared" si="32"/>
        <v>0</v>
      </c>
      <c r="R59" s="262">
        <f t="shared" si="33"/>
        <v>0</v>
      </c>
      <c r="S59" s="263">
        <f t="shared" si="34"/>
        <v>0</v>
      </c>
    </row>
    <row r="60" spans="2:19" x14ac:dyDescent="0.25">
      <c r="B60" s="88" t="s">
        <v>326</v>
      </c>
      <c r="C60" s="54" t="s">
        <v>318</v>
      </c>
      <c r="D60" s="54" t="s">
        <v>14</v>
      </c>
      <c r="E60" s="54" t="s">
        <v>124</v>
      </c>
      <c r="F60" s="54" t="s">
        <v>75</v>
      </c>
      <c r="G60" s="385">
        <v>1287</v>
      </c>
      <c r="H60" s="15">
        <v>1235</v>
      </c>
      <c r="I60" s="548">
        <v>0</v>
      </c>
      <c r="J60" s="561">
        <v>1</v>
      </c>
      <c r="K60" s="259">
        <f t="shared" si="27"/>
        <v>1482</v>
      </c>
      <c r="L60" s="60">
        <f t="shared" si="28"/>
        <v>1287</v>
      </c>
      <c r="M60" s="260">
        <f t="shared" si="29"/>
        <v>0</v>
      </c>
      <c r="N60" s="15">
        <f t="shared" si="35"/>
        <v>0</v>
      </c>
      <c r="O60" s="60">
        <f t="shared" si="30"/>
        <v>52</v>
      </c>
      <c r="P60" s="261">
        <f t="shared" si="31"/>
        <v>52</v>
      </c>
      <c r="Q60" s="262">
        <f t="shared" si="32"/>
        <v>624</v>
      </c>
      <c r="R60" s="262">
        <f t="shared" si="33"/>
        <v>150.32159999999999</v>
      </c>
      <c r="S60" s="263">
        <f t="shared" si="34"/>
        <v>774.32159999999999</v>
      </c>
    </row>
    <row r="61" spans="2:19" x14ac:dyDescent="0.25">
      <c r="B61" s="376" t="s">
        <v>4</v>
      </c>
      <c r="C61" s="103"/>
      <c r="D61" s="103"/>
      <c r="E61" s="103"/>
      <c r="F61" s="103"/>
      <c r="G61" s="105"/>
      <c r="H61" s="106"/>
      <c r="I61" s="78"/>
      <c r="J61" s="123">
        <f>SUM(J51:J60)</f>
        <v>18</v>
      </c>
      <c r="K61" s="118"/>
      <c r="L61" s="76"/>
      <c r="M61" s="77"/>
      <c r="N61" s="78"/>
      <c r="O61" s="76"/>
      <c r="P61" s="78"/>
      <c r="Q61" s="79">
        <f>SUM(Q51:Q60)</f>
        <v>1620</v>
      </c>
      <c r="R61" s="79">
        <f t="shared" ref="R61:S61" si="36">SUM(R51:R60)</f>
        <v>390.25799999999998</v>
      </c>
      <c r="S61" s="80">
        <f t="shared" si="36"/>
        <v>2010.258</v>
      </c>
    </row>
    <row r="62" spans="2:19" x14ac:dyDescent="0.25">
      <c r="B62" s="599" t="s">
        <v>10</v>
      </c>
      <c r="C62" s="600"/>
      <c r="D62" s="600"/>
      <c r="E62" s="600"/>
      <c r="F62" s="600"/>
      <c r="G62" s="601"/>
      <c r="H62" s="552"/>
      <c r="I62" s="553"/>
      <c r="J62" s="554"/>
      <c r="K62" s="616"/>
      <c r="L62" s="553"/>
      <c r="M62" s="617"/>
      <c r="N62" s="553"/>
      <c r="O62" s="553"/>
      <c r="P62" s="553"/>
      <c r="Q62" s="604"/>
      <c r="R62" s="604"/>
      <c r="S62" s="605"/>
    </row>
    <row r="63" spans="2:19" x14ac:dyDescent="0.25">
      <c r="B63" s="159" t="s">
        <v>327</v>
      </c>
      <c r="C63" s="54" t="s">
        <v>21</v>
      </c>
      <c r="D63" s="54" t="s">
        <v>310</v>
      </c>
      <c r="E63" s="54" t="s">
        <v>120</v>
      </c>
      <c r="F63" s="54" t="s">
        <v>75</v>
      </c>
      <c r="G63" s="385">
        <v>1190</v>
      </c>
      <c r="H63" s="60">
        <v>1127</v>
      </c>
      <c r="I63" s="548">
        <v>0</v>
      </c>
      <c r="J63" s="327">
        <v>2</v>
      </c>
      <c r="K63" s="259">
        <f t="shared" ref="K63:K82" si="37">ROUND(H63*1.2,0)</f>
        <v>1352</v>
      </c>
      <c r="L63" s="60">
        <f t="shared" ref="L63:L82" si="38">IF(K63&lt;=G63,K63,G63)</f>
        <v>1190</v>
      </c>
      <c r="M63" s="260">
        <f t="shared" ref="M63:M82" si="39">N63-I63</f>
        <v>0</v>
      </c>
      <c r="N63" s="15">
        <f t="shared" ref="N63:N82" si="40">I63/H63*L63</f>
        <v>0</v>
      </c>
      <c r="O63" s="60">
        <f t="shared" ref="O63:O82" si="41">L63-H63+M63</f>
        <v>63</v>
      </c>
      <c r="P63" s="261">
        <f t="shared" ref="P63:P82" si="42">O63*J63</f>
        <v>126</v>
      </c>
      <c r="Q63" s="262">
        <f t="shared" ref="Q63:Q82" si="43">P63*12</f>
        <v>1512</v>
      </c>
      <c r="R63" s="262">
        <f t="shared" ref="R63:R82" si="44">Q63*0.2409</f>
        <v>364.24079999999998</v>
      </c>
      <c r="S63" s="263">
        <f t="shared" ref="S63:S82" si="45">Q63+R63</f>
        <v>1876.2408</v>
      </c>
    </row>
    <row r="64" spans="2:19" x14ac:dyDescent="0.25">
      <c r="B64" s="156" t="s">
        <v>328</v>
      </c>
      <c r="C64" s="619" t="s">
        <v>13</v>
      </c>
      <c r="D64" s="54" t="s">
        <v>310</v>
      </c>
      <c r="E64" s="54" t="s">
        <v>120</v>
      </c>
      <c r="F64" s="54" t="s">
        <v>75</v>
      </c>
      <c r="G64" s="385">
        <v>1190</v>
      </c>
      <c r="H64" s="60">
        <v>1072</v>
      </c>
      <c r="I64" s="548">
        <v>0</v>
      </c>
      <c r="J64" s="327">
        <v>11</v>
      </c>
      <c r="K64" s="259">
        <f t="shared" si="37"/>
        <v>1286</v>
      </c>
      <c r="L64" s="60">
        <f t="shared" si="38"/>
        <v>1190</v>
      </c>
      <c r="M64" s="260">
        <f t="shared" si="39"/>
        <v>0</v>
      </c>
      <c r="N64" s="15">
        <f t="shared" si="40"/>
        <v>0</v>
      </c>
      <c r="O64" s="60">
        <f t="shared" si="41"/>
        <v>118</v>
      </c>
      <c r="P64" s="261">
        <f t="shared" si="42"/>
        <v>1298</v>
      </c>
      <c r="Q64" s="262">
        <f t="shared" si="43"/>
        <v>15576</v>
      </c>
      <c r="R64" s="262">
        <f t="shared" si="44"/>
        <v>3752.2584000000002</v>
      </c>
      <c r="S64" s="263">
        <f t="shared" si="45"/>
        <v>19328.258399999999</v>
      </c>
    </row>
    <row r="65" spans="2:19" x14ac:dyDescent="0.25">
      <c r="B65" s="156" t="s">
        <v>329</v>
      </c>
      <c r="C65" s="619" t="s">
        <v>13</v>
      </c>
      <c r="D65" s="54" t="s">
        <v>310</v>
      </c>
      <c r="E65" s="54" t="s">
        <v>120</v>
      </c>
      <c r="F65" s="54" t="s">
        <v>75</v>
      </c>
      <c r="G65" s="385">
        <v>1190</v>
      </c>
      <c r="H65" s="60">
        <v>1072</v>
      </c>
      <c r="I65" s="548">
        <v>0</v>
      </c>
      <c r="J65" s="327">
        <v>1</v>
      </c>
      <c r="K65" s="259">
        <f t="shared" si="37"/>
        <v>1286</v>
      </c>
      <c r="L65" s="60">
        <f t="shared" si="38"/>
        <v>1190</v>
      </c>
      <c r="M65" s="260">
        <f t="shared" si="39"/>
        <v>0</v>
      </c>
      <c r="N65" s="15">
        <f t="shared" si="40"/>
        <v>0</v>
      </c>
      <c r="O65" s="60">
        <f t="shared" si="41"/>
        <v>118</v>
      </c>
      <c r="P65" s="261">
        <f t="shared" si="42"/>
        <v>118</v>
      </c>
      <c r="Q65" s="262">
        <f t="shared" si="43"/>
        <v>1416</v>
      </c>
      <c r="R65" s="262">
        <f t="shared" si="44"/>
        <v>341.11439999999999</v>
      </c>
      <c r="S65" s="263">
        <f t="shared" si="45"/>
        <v>1757.1143999999999</v>
      </c>
    </row>
    <row r="66" spans="2:19" x14ac:dyDescent="0.25">
      <c r="B66" s="159" t="s">
        <v>24</v>
      </c>
      <c r="C66" s="54" t="s">
        <v>44</v>
      </c>
      <c r="D66" s="54" t="s">
        <v>49</v>
      </c>
      <c r="E66" s="54" t="s">
        <v>78</v>
      </c>
      <c r="F66" s="54" t="s">
        <v>75</v>
      </c>
      <c r="G66" s="385">
        <v>1093</v>
      </c>
      <c r="H66" s="60">
        <v>1093</v>
      </c>
      <c r="I66" s="548">
        <v>0</v>
      </c>
      <c r="J66" s="327">
        <v>3</v>
      </c>
      <c r="K66" s="259">
        <f t="shared" si="37"/>
        <v>1312</v>
      </c>
      <c r="L66" s="60">
        <f t="shared" si="38"/>
        <v>1093</v>
      </c>
      <c r="M66" s="260">
        <f t="shared" si="39"/>
        <v>0</v>
      </c>
      <c r="N66" s="15">
        <f t="shared" si="40"/>
        <v>0</v>
      </c>
      <c r="O66" s="60">
        <f t="shared" si="41"/>
        <v>0</v>
      </c>
      <c r="P66" s="261">
        <f t="shared" si="42"/>
        <v>0</v>
      </c>
      <c r="Q66" s="262">
        <f t="shared" si="43"/>
        <v>0</v>
      </c>
      <c r="R66" s="262">
        <f t="shared" si="44"/>
        <v>0</v>
      </c>
      <c r="S66" s="263">
        <f t="shared" si="45"/>
        <v>0</v>
      </c>
    </row>
    <row r="67" spans="2:19" ht="25.5" x14ac:dyDescent="0.25">
      <c r="B67" s="159" t="s">
        <v>330</v>
      </c>
      <c r="C67" s="619" t="s">
        <v>331</v>
      </c>
      <c r="D67" s="54" t="s">
        <v>313</v>
      </c>
      <c r="E67" s="54">
        <v>8</v>
      </c>
      <c r="F67" s="54">
        <v>3</v>
      </c>
      <c r="G67" s="385">
        <v>1093</v>
      </c>
      <c r="H67" s="15">
        <v>1087</v>
      </c>
      <c r="I67" s="548">
        <v>0</v>
      </c>
      <c r="J67" s="561">
        <v>1</v>
      </c>
      <c r="K67" s="259">
        <f t="shared" si="37"/>
        <v>1304</v>
      </c>
      <c r="L67" s="60">
        <f t="shared" si="38"/>
        <v>1093</v>
      </c>
      <c r="M67" s="260">
        <f t="shared" si="39"/>
        <v>0</v>
      </c>
      <c r="N67" s="15">
        <f t="shared" si="40"/>
        <v>0</v>
      </c>
      <c r="O67" s="60">
        <f t="shared" si="41"/>
        <v>6</v>
      </c>
      <c r="P67" s="261">
        <f t="shared" si="42"/>
        <v>6</v>
      </c>
      <c r="Q67" s="262">
        <f t="shared" si="43"/>
        <v>72</v>
      </c>
      <c r="R67" s="262">
        <f t="shared" si="44"/>
        <v>17.344799999999999</v>
      </c>
      <c r="S67" s="263">
        <f t="shared" si="45"/>
        <v>89.344799999999992</v>
      </c>
    </row>
    <row r="68" spans="2:19" x14ac:dyDescent="0.25">
      <c r="B68" s="156" t="s">
        <v>332</v>
      </c>
      <c r="C68" s="619" t="s">
        <v>13</v>
      </c>
      <c r="D68" s="54" t="s">
        <v>15</v>
      </c>
      <c r="E68" s="54" t="s">
        <v>78</v>
      </c>
      <c r="F68" s="54" t="s">
        <v>75</v>
      </c>
      <c r="G68" s="385">
        <v>1093</v>
      </c>
      <c r="H68" s="60">
        <v>1087</v>
      </c>
      <c r="I68" s="548">
        <v>0</v>
      </c>
      <c r="J68" s="561">
        <v>1</v>
      </c>
      <c r="K68" s="259">
        <f t="shared" si="37"/>
        <v>1304</v>
      </c>
      <c r="L68" s="60">
        <f t="shared" si="38"/>
        <v>1093</v>
      </c>
      <c r="M68" s="260">
        <f t="shared" si="39"/>
        <v>0</v>
      </c>
      <c r="N68" s="15">
        <f t="shared" si="40"/>
        <v>0</v>
      </c>
      <c r="O68" s="60">
        <f t="shared" si="41"/>
        <v>6</v>
      </c>
      <c r="P68" s="261">
        <f t="shared" si="42"/>
        <v>6</v>
      </c>
      <c r="Q68" s="262">
        <f t="shared" si="43"/>
        <v>72</v>
      </c>
      <c r="R68" s="262">
        <f t="shared" si="44"/>
        <v>17.344799999999999</v>
      </c>
      <c r="S68" s="263">
        <f t="shared" si="45"/>
        <v>89.344799999999992</v>
      </c>
    </row>
    <row r="69" spans="2:19" x14ac:dyDescent="0.25">
      <c r="B69" s="159" t="s">
        <v>12</v>
      </c>
      <c r="C69" s="619" t="s">
        <v>13</v>
      </c>
      <c r="D69" s="54" t="s">
        <v>15</v>
      </c>
      <c r="E69" s="54" t="s">
        <v>78</v>
      </c>
      <c r="F69" s="54" t="s">
        <v>75</v>
      </c>
      <c r="G69" s="385">
        <v>1093</v>
      </c>
      <c r="H69" s="60">
        <v>1080</v>
      </c>
      <c r="I69" s="548">
        <v>0</v>
      </c>
      <c r="J69" s="561">
        <v>4.75</v>
      </c>
      <c r="K69" s="259">
        <f t="shared" si="37"/>
        <v>1296</v>
      </c>
      <c r="L69" s="60">
        <f t="shared" si="38"/>
        <v>1093</v>
      </c>
      <c r="M69" s="260">
        <f t="shared" si="39"/>
        <v>0</v>
      </c>
      <c r="N69" s="15">
        <f t="shared" si="40"/>
        <v>0</v>
      </c>
      <c r="O69" s="60">
        <f t="shared" si="41"/>
        <v>13</v>
      </c>
      <c r="P69" s="261">
        <f t="shared" si="42"/>
        <v>61.75</v>
      </c>
      <c r="Q69" s="262">
        <f t="shared" si="43"/>
        <v>741</v>
      </c>
      <c r="R69" s="262">
        <f t="shared" si="44"/>
        <v>178.5069</v>
      </c>
      <c r="S69" s="263">
        <f t="shared" si="45"/>
        <v>919.50689999999997</v>
      </c>
    </row>
    <row r="70" spans="2:19" x14ac:dyDescent="0.25">
      <c r="B70" s="159" t="s">
        <v>12</v>
      </c>
      <c r="C70" s="619" t="s">
        <v>13</v>
      </c>
      <c r="D70" s="54" t="s">
        <v>15</v>
      </c>
      <c r="E70" s="54" t="s">
        <v>78</v>
      </c>
      <c r="F70" s="54" t="s">
        <v>75</v>
      </c>
      <c r="G70" s="385">
        <v>1093</v>
      </c>
      <c r="H70" s="60">
        <v>1080</v>
      </c>
      <c r="I70" s="548">
        <v>0</v>
      </c>
      <c r="J70" s="561">
        <v>3</v>
      </c>
      <c r="K70" s="259">
        <f t="shared" si="37"/>
        <v>1296</v>
      </c>
      <c r="L70" s="60">
        <f t="shared" si="38"/>
        <v>1093</v>
      </c>
      <c r="M70" s="260">
        <f t="shared" si="39"/>
        <v>0</v>
      </c>
      <c r="N70" s="15">
        <f t="shared" si="40"/>
        <v>0</v>
      </c>
      <c r="O70" s="60">
        <f t="shared" si="41"/>
        <v>13</v>
      </c>
      <c r="P70" s="261">
        <f t="shared" si="42"/>
        <v>39</v>
      </c>
      <c r="Q70" s="262">
        <f t="shared" si="43"/>
        <v>468</v>
      </c>
      <c r="R70" s="262">
        <f t="shared" si="44"/>
        <v>112.74120000000001</v>
      </c>
      <c r="S70" s="263">
        <f t="shared" si="45"/>
        <v>580.74120000000005</v>
      </c>
    </row>
    <row r="71" spans="2:19" x14ac:dyDescent="0.25">
      <c r="B71" s="159" t="s">
        <v>12</v>
      </c>
      <c r="C71" s="619" t="s">
        <v>13</v>
      </c>
      <c r="D71" s="54" t="s">
        <v>15</v>
      </c>
      <c r="E71" s="54" t="s">
        <v>78</v>
      </c>
      <c r="F71" s="54" t="s">
        <v>75</v>
      </c>
      <c r="G71" s="385">
        <v>1093</v>
      </c>
      <c r="H71" s="60">
        <v>1080</v>
      </c>
      <c r="I71" s="548">
        <v>0</v>
      </c>
      <c r="J71" s="561">
        <v>1</v>
      </c>
      <c r="K71" s="259">
        <f t="shared" si="37"/>
        <v>1296</v>
      </c>
      <c r="L71" s="60">
        <f t="shared" si="38"/>
        <v>1093</v>
      </c>
      <c r="M71" s="260">
        <f t="shared" si="39"/>
        <v>0</v>
      </c>
      <c r="N71" s="15">
        <f t="shared" si="40"/>
        <v>0</v>
      </c>
      <c r="O71" s="60">
        <f t="shared" si="41"/>
        <v>13</v>
      </c>
      <c r="P71" s="261">
        <f t="shared" si="42"/>
        <v>13</v>
      </c>
      <c r="Q71" s="262">
        <f t="shared" si="43"/>
        <v>156</v>
      </c>
      <c r="R71" s="262">
        <f t="shared" si="44"/>
        <v>37.580399999999997</v>
      </c>
      <c r="S71" s="263">
        <f t="shared" si="45"/>
        <v>193.5804</v>
      </c>
    </row>
    <row r="72" spans="2:19" x14ac:dyDescent="0.25">
      <c r="B72" s="159" t="s">
        <v>12</v>
      </c>
      <c r="C72" s="619" t="s">
        <v>13</v>
      </c>
      <c r="D72" s="54" t="s">
        <v>15</v>
      </c>
      <c r="E72" s="54" t="s">
        <v>78</v>
      </c>
      <c r="F72" s="54" t="s">
        <v>75</v>
      </c>
      <c r="G72" s="385">
        <v>1093</v>
      </c>
      <c r="H72" s="60">
        <v>1038</v>
      </c>
      <c r="I72" s="548">
        <v>0</v>
      </c>
      <c r="J72" s="561">
        <v>1</v>
      </c>
      <c r="K72" s="259">
        <f t="shared" si="37"/>
        <v>1246</v>
      </c>
      <c r="L72" s="60">
        <f t="shared" si="38"/>
        <v>1093</v>
      </c>
      <c r="M72" s="260">
        <f t="shared" si="39"/>
        <v>0</v>
      </c>
      <c r="N72" s="15">
        <f t="shared" si="40"/>
        <v>0</v>
      </c>
      <c r="O72" s="60">
        <f t="shared" si="41"/>
        <v>55</v>
      </c>
      <c r="P72" s="261">
        <f t="shared" si="42"/>
        <v>55</v>
      </c>
      <c r="Q72" s="262">
        <f t="shared" si="43"/>
        <v>660</v>
      </c>
      <c r="R72" s="262">
        <f t="shared" si="44"/>
        <v>158.994</v>
      </c>
      <c r="S72" s="263">
        <f t="shared" si="45"/>
        <v>818.99400000000003</v>
      </c>
    </row>
    <row r="73" spans="2:19" x14ac:dyDescent="0.25">
      <c r="B73" s="156" t="s">
        <v>333</v>
      </c>
      <c r="C73" s="619" t="s">
        <v>13</v>
      </c>
      <c r="D73" s="54" t="s">
        <v>15</v>
      </c>
      <c r="E73" s="54" t="s">
        <v>78</v>
      </c>
      <c r="F73" s="54" t="s">
        <v>75</v>
      </c>
      <c r="G73" s="385">
        <v>1093</v>
      </c>
      <c r="H73" s="15">
        <v>1038</v>
      </c>
      <c r="I73" s="548">
        <v>0</v>
      </c>
      <c r="J73" s="561">
        <v>1</v>
      </c>
      <c r="K73" s="259">
        <f t="shared" si="37"/>
        <v>1246</v>
      </c>
      <c r="L73" s="60">
        <f t="shared" si="38"/>
        <v>1093</v>
      </c>
      <c r="M73" s="260">
        <f t="shared" si="39"/>
        <v>0</v>
      </c>
      <c r="N73" s="15">
        <f t="shared" si="40"/>
        <v>0</v>
      </c>
      <c r="O73" s="60">
        <f t="shared" si="41"/>
        <v>55</v>
      </c>
      <c r="P73" s="261">
        <f t="shared" si="42"/>
        <v>55</v>
      </c>
      <c r="Q73" s="262">
        <f t="shared" si="43"/>
        <v>660</v>
      </c>
      <c r="R73" s="262">
        <f t="shared" si="44"/>
        <v>158.994</v>
      </c>
      <c r="S73" s="263">
        <f t="shared" si="45"/>
        <v>818.99400000000003</v>
      </c>
    </row>
    <row r="74" spans="2:19" x14ac:dyDescent="0.25">
      <c r="B74" s="159" t="s">
        <v>25</v>
      </c>
      <c r="C74" s="619" t="s">
        <v>44</v>
      </c>
      <c r="D74" s="54" t="s">
        <v>14</v>
      </c>
      <c r="E74" s="54" t="s">
        <v>125</v>
      </c>
      <c r="F74" s="54" t="s">
        <v>75</v>
      </c>
      <c r="G74" s="385">
        <v>996</v>
      </c>
      <c r="H74" s="15">
        <v>996</v>
      </c>
      <c r="I74" s="548">
        <v>0</v>
      </c>
      <c r="J74" s="561">
        <v>21.25</v>
      </c>
      <c r="K74" s="259">
        <f t="shared" si="37"/>
        <v>1195</v>
      </c>
      <c r="L74" s="60">
        <f t="shared" si="38"/>
        <v>996</v>
      </c>
      <c r="M74" s="260">
        <f t="shared" si="39"/>
        <v>0</v>
      </c>
      <c r="N74" s="15">
        <f t="shared" si="40"/>
        <v>0</v>
      </c>
      <c r="O74" s="60">
        <f t="shared" si="41"/>
        <v>0</v>
      </c>
      <c r="P74" s="261">
        <f t="shared" si="42"/>
        <v>0</v>
      </c>
      <c r="Q74" s="262">
        <f t="shared" si="43"/>
        <v>0</v>
      </c>
      <c r="R74" s="262">
        <f t="shared" si="44"/>
        <v>0</v>
      </c>
      <c r="S74" s="263">
        <f t="shared" si="45"/>
        <v>0</v>
      </c>
    </row>
    <row r="75" spans="2:19" x14ac:dyDescent="0.25">
      <c r="B75" s="159" t="s">
        <v>25</v>
      </c>
      <c r="C75" s="619" t="s">
        <v>44</v>
      </c>
      <c r="D75" s="54" t="s">
        <v>14</v>
      </c>
      <c r="E75" s="54" t="s">
        <v>125</v>
      </c>
      <c r="F75" s="54" t="s">
        <v>75</v>
      </c>
      <c r="G75" s="385">
        <v>996</v>
      </c>
      <c r="H75" s="15">
        <v>996</v>
      </c>
      <c r="I75" s="261">
        <v>49.8</v>
      </c>
      <c r="J75" s="561">
        <v>5</v>
      </c>
      <c r="K75" s="259">
        <f t="shared" si="37"/>
        <v>1195</v>
      </c>
      <c r="L75" s="60">
        <f t="shared" si="38"/>
        <v>996</v>
      </c>
      <c r="M75" s="260">
        <f t="shared" si="39"/>
        <v>0</v>
      </c>
      <c r="N75" s="15">
        <f t="shared" si="40"/>
        <v>49.8</v>
      </c>
      <c r="O75" s="60">
        <f t="shared" si="41"/>
        <v>0</v>
      </c>
      <c r="P75" s="261">
        <f t="shared" si="42"/>
        <v>0</v>
      </c>
      <c r="Q75" s="262">
        <f t="shared" si="43"/>
        <v>0</v>
      </c>
      <c r="R75" s="262">
        <f t="shared" si="44"/>
        <v>0</v>
      </c>
      <c r="S75" s="263">
        <f t="shared" si="45"/>
        <v>0</v>
      </c>
    </row>
    <row r="76" spans="2:19" x14ac:dyDescent="0.25">
      <c r="B76" s="159" t="s">
        <v>25</v>
      </c>
      <c r="C76" s="619" t="s">
        <v>44</v>
      </c>
      <c r="D76" s="54" t="s">
        <v>14</v>
      </c>
      <c r="E76" s="54" t="s">
        <v>125</v>
      </c>
      <c r="F76" s="54" t="s">
        <v>75</v>
      </c>
      <c r="G76" s="385">
        <v>996</v>
      </c>
      <c r="H76" s="15">
        <v>996</v>
      </c>
      <c r="I76" s="548">
        <v>0</v>
      </c>
      <c r="J76" s="561">
        <v>1</v>
      </c>
      <c r="K76" s="259">
        <f t="shared" si="37"/>
        <v>1195</v>
      </c>
      <c r="L76" s="60">
        <f t="shared" si="38"/>
        <v>996</v>
      </c>
      <c r="M76" s="260">
        <f t="shared" si="39"/>
        <v>0</v>
      </c>
      <c r="N76" s="15">
        <f t="shared" si="40"/>
        <v>0</v>
      </c>
      <c r="O76" s="60">
        <f t="shared" si="41"/>
        <v>0</v>
      </c>
      <c r="P76" s="261">
        <f t="shared" si="42"/>
        <v>0</v>
      </c>
      <c r="Q76" s="262">
        <f t="shared" si="43"/>
        <v>0</v>
      </c>
      <c r="R76" s="262">
        <f t="shared" si="44"/>
        <v>0</v>
      </c>
      <c r="S76" s="263">
        <f t="shared" si="45"/>
        <v>0</v>
      </c>
    </row>
    <row r="77" spans="2:19" x14ac:dyDescent="0.25">
      <c r="B77" s="159" t="s">
        <v>334</v>
      </c>
      <c r="C77" s="619" t="s">
        <v>79</v>
      </c>
      <c r="D77" s="54" t="s">
        <v>45</v>
      </c>
      <c r="E77" s="54" t="s">
        <v>125</v>
      </c>
      <c r="F77" s="54" t="s">
        <v>75</v>
      </c>
      <c r="G77" s="385">
        <v>996</v>
      </c>
      <c r="H77" s="15">
        <v>894</v>
      </c>
      <c r="I77" s="548">
        <v>0</v>
      </c>
      <c r="J77" s="561">
        <v>1</v>
      </c>
      <c r="K77" s="259">
        <f t="shared" si="37"/>
        <v>1073</v>
      </c>
      <c r="L77" s="60">
        <f t="shared" si="38"/>
        <v>996</v>
      </c>
      <c r="M77" s="260">
        <f t="shared" si="39"/>
        <v>0</v>
      </c>
      <c r="N77" s="15">
        <f t="shared" si="40"/>
        <v>0</v>
      </c>
      <c r="O77" s="60">
        <f t="shared" si="41"/>
        <v>102</v>
      </c>
      <c r="P77" s="261">
        <f t="shared" si="42"/>
        <v>102</v>
      </c>
      <c r="Q77" s="262">
        <f t="shared" si="43"/>
        <v>1224</v>
      </c>
      <c r="R77" s="262">
        <f t="shared" si="44"/>
        <v>294.86160000000001</v>
      </c>
      <c r="S77" s="263">
        <f t="shared" si="45"/>
        <v>1518.8616</v>
      </c>
    </row>
    <row r="78" spans="2:19" x14ac:dyDescent="0.25">
      <c r="B78" s="159" t="s">
        <v>335</v>
      </c>
      <c r="C78" s="619" t="s">
        <v>336</v>
      </c>
      <c r="D78" s="54" t="s">
        <v>14</v>
      </c>
      <c r="E78" s="54" t="s">
        <v>125</v>
      </c>
      <c r="F78" s="54" t="s">
        <v>75</v>
      </c>
      <c r="G78" s="385">
        <v>996</v>
      </c>
      <c r="H78" s="15">
        <v>880</v>
      </c>
      <c r="I78" s="548">
        <v>0</v>
      </c>
      <c r="J78" s="561">
        <f>4+2</f>
        <v>6</v>
      </c>
      <c r="K78" s="259">
        <f t="shared" si="37"/>
        <v>1056</v>
      </c>
      <c r="L78" s="60">
        <f t="shared" si="38"/>
        <v>996</v>
      </c>
      <c r="M78" s="260">
        <f t="shared" si="39"/>
        <v>0</v>
      </c>
      <c r="N78" s="15">
        <f t="shared" si="40"/>
        <v>0</v>
      </c>
      <c r="O78" s="60">
        <f t="shared" si="41"/>
        <v>116</v>
      </c>
      <c r="P78" s="261">
        <f t="shared" si="42"/>
        <v>696</v>
      </c>
      <c r="Q78" s="262">
        <f t="shared" si="43"/>
        <v>8352</v>
      </c>
      <c r="R78" s="262">
        <f t="shared" si="44"/>
        <v>2011.9968000000001</v>
      </c>
      <c r="S78" s="263">
        <f t="shared" si="45"/>
        <v>10363.996800000001</v>
      </c>
    </row>
    <row r="79" spans="2:19" x14ac:dyDescent="0.25">
      <c r="B79" s="159" t="s">
        <v>335</v>
      </c>
      <c r="C79" s="619" t="s">
        <v>336</v>
      </c>
      <c r="D79" s="54" t="s">
        <v>14</v>
      </c>
      <c r="E79" s="54" t="s">
        <v>125</v>
      </c>
      <c r="F79" s="54" t="s">
        <v>77</v>
      </c>
      <c r="G79" s="385">
        <v>675</v>
      </c>
      <c r="H79" s="15">
        <v>645</v>
      </c>
      <c r="I79" s="548">
        <v>0</v>
      </c>
      <c r="J79" s="561">
        <v>1</v>
      </c>
      <c r="K79" s="259">
        <f t="shared" si="37"/>
        <v>774</v>
      </c>
      <c r="L79" s="60">
        <f t="shared" si="38"/>
        <v>675</v>
      </c>
      <c r="M79" s="260">
        <f t="shared" si="39"/>
        <v>0</v>
      </c>
      <c r="N79" s="15">
        <f t="shared" si="40"/>
        <v>0</v>
      </c>
      <c r="O79" s="60">
        <f t="shared" si="41"/>
        <v>30</v>
      </c>
      <c r="P79" s="261">
        <f t="shared" si="42"/>
        <v>30</v>
      </c>
      <c r="Q79" s="262">
        <f t="shared" si="43"/>
        <v>360</v>
      </c>
      <c r="R79" s="262">
        <f t="shared" si="44"/>
        <v>86.724000000000004</v>
      </c>
      <c r="S79" s="263">
        <f t="shared" si="45"/>
        <v>446.72399999999999</v>
      </c>
    </row>
    <row r="80" spans="2:19" x14ac:dyDescent="0.25">
      <c r="B80" s="159" t="s">
        <v>337</v>
      </c>
      <c r="C80" s="619" t="s">
        <v>44</v>
      </c>
      <c r="D80" s="54" t="s">
        <v>45</v>
      </c>
      <c r="E80" s="54" t="s">
        <v>76</v>
      </c>
      <c r="F80" s="54" t="s">
        <v>75</v>
      </c>
      <c r="G80" s="385">
        <v>899</v>
      </c>
      <c r="H80" s="15">
        <v>889</v>
      </c>
      <c r="I80" s="548">
        <v>0</v>
      </c>
      <c r="J80" s="561">
        <v>1</v>
      </c>
      <c r="K80" s="259">
        <f t="shared" si="37"/>
        <v>1067</v>
      </c>
      <c r="L80" s="60">
        <f t="shared" si="38"/>
        <v>899</v>
      </c>
      <c r="M80" s="260">
        <f t="shared" si="39"/>
        <v>0</v>
      </c>
      <c r="N80" s="15">
        <f t="shared" si="40"/>
        <v>0</v>
      </c>
      <c r="O80" s="60">
        <f t="shared" si="41"/>
        <v>10</v>
      </c>
      <c r="P80" s="261">
        <f t="shared" si="42"/>
        <v>10</v>
      </c>
      <c r="Q80" s="262">
        <f t="shared" si="43"/>
        <v>120</v>
      </c>
      <c r="R80" s="262">
        <f t="shared" si="44"/>
        <v>28.908000000000001</v>
      </c>
      <c r="S80" s="263">
        <f t="shared" si="45"/>
        <v>148.90800000000002</v>
      </c>
    </row>
    <row r="81" spans="2:19" x14ac:dyDescent="0.25">
      <c r="B81" s="159" t="s">
        <v>338</v>
      </c>
      <c r="C81" s="619" t="s">
        <v>114</v>
      </c>
      <c r="D81" s="54" t="s">
        <v>33</v>
      </c>
      <c r="E81" s="54" t="s">
        <v>76</v>
      </c>
      <c r="F81" s="54" t="s">
        <v>75</v>
      </c>
      <c r="G81" s="385">
        <v>899</v>
      </c>
      <c r="H81" s="15">
        <v>899</v>
      </c>
      <c r="I81" s="548">
        <v>0</v>
      </c>
      <c r="J81" s="561">
        <v>1</v>
      </c>
      <c r="K81" s="259">
        <f t="shared" si="37"/>
        <v>1079</v>
      </c>
      <c r="L81" s="60">
        <f t="shared" si="38"/>
        <v>899</v>
      </c>
      <c r="M81" s="260">
        <f t="shared" si="39"/>
        <v>0</v>
      </c>
      <c r="N81" s="15">
        <f t="shared" si="40"/>
        <v>0</v>
      </c>
      <c r="O81" s="60">
        <f t="shared" si="41"/>
        <v>0</v>
      </c>
      <c r="P81" s="261">
        <f t="shared" si="42"/>
        <v>0</v>
      </c>
      <c r="Q81" s="262">
        <f t="shared" si="43"/>
        <v>0</v>
      </c>
      <c r="R81" s="262">
        <f t="shared" si="44"/>
        <v>0</v>
      </c>
      <c r="S81" s="263">
        <f t="shared" si="45"/>
        <v>0</v>
      </c>
    </row>
    <row r="82" spans="2:19" x14ac:dyDescent="0.25">
      <c r="B82" s="159" t="s">
        <v>337</v>
      </c>
      <c r="C82" s="619" t="s">
        <v>44</v>
      </c>
      <c r="D82" s="54" t="s">
        <v>45</v>
      </c>
      <c r="E82" s="54" t="s">
        <v>76</v>
      </c>
      <c r="F82" s="54" t="s">
        <v>79</v>
      </c>
      <c r="G82" s="385">
        <v>740</v>
      </c>
      <c r="H82" s="15">
        <v>740</v>
      </c>
      <c r="I82" s="548">
        <v>0</v>
      </c>
      <c r="J82" s="561">
        <v>1</v>
      </c>
      <c r="K82" s="259">
        <f t="shared" si="37"/>
        <v>888</v>
      </c>
      <c r="L82" s="60">
        <f t="shared" si="38"/>
        <v>740</v>
      </c>
      <c r="M82" s="260">
        <f t="shared" si="39"/>
        <v>0</v>
      </c>
      <c r="N82" s="15">
        <f t="shared" si="40"/>
        <v>0</v>
      </c>
      <c r="O82" s="60">
        <f t="shared" si="41"/>
        <v>0</v>
      </c>
      <c r="P82" s="261">
        <f t="shared" si="42"/>
        <v>0</v>
      </c>
      <c r="Q82" s="262">
        <f t="shared" si="43"/>
        <v>0</v>
      </c>
      <c r="R82" s="262">
        <f t="shared" si="44"/>
        <v>0</v>
      </c>
      <c r="S82" s="263">
        <f t="shared" si="45"/>
        <v>0</v>
      </c>
    </row>
    <row r="83" spans="2:19" x14ac:dyDescent="0.25">
      <c r="B83" s="376" t="s">
        <v>4</v>
      </c>
      <c r="C83" s="103"/>
      <c r="D83" s="103"/>
      <c r="E83" s="103"/>
      <c r="F83" s="103"/>
      <c r="G83" s="105"/>
      <c r="H83" s="106"/>
      <c r="I83" s="78"/>
      <c r="J83" s="123">
        <f>SUM(J63:J82)</f>
        <v>68</v>
      </c>
      <c r="K83" s="118"/>
      <c r="L83" s="76"/>
      <c r="M83" s="77"/>
      <c r="N83" s="78"/>
      <c r="O83" s="76"/>
      <c r="P83" s="78"/>
      <c r="Q83" s="79">
        <f>SUM(Q63:Q82)</f>
        <v>31389</v>
      </c>
      <c r="R83" s="79">
        <f t="shared" ref="R83:S83" si="46">SUM(R63:R82)</f>
        <v>7561.6101000000008</v>
      </c>
      <c r="S83" s="80">
        <f t="shared" si="46"/>
        <v>38950.610099999998</v>
      </c>
    </row>
    <row r="84" spans="2:19" x14ac:dyDescent="0.25">
      <c r="B84" s="599" t="s">
        <v>11</v>
      </c>
      <c r="C84" s="600"/>
      <c r="D84" s="600"/>
      <c r="E84" s="600"/>
      <c r="F84" s="600"/>
      <c r="G84" s="601"/>
      <c r="H84" s="552"/>
      <c r="I84" s="553"/>
      <c r="J84" s="554"/>
      <c r="K84" s="616"/>
      <c r="L84" s="553"/>
      <c r="M84" s="617"/>
      <c r="N84" s="553"/>
      <c r="O84" s="553"/>
      <c r="P84" s="553"/>
      <c r="Q84" s="604"/>
      <c r="R84" s="604"/>
      <c r="S84" s="605"/>
    </row>
    <row r="85" spans="2:19" x14ac:dyDescent="0.25">
      <c r="B85" s="159" t="s">
        <v>46</v>
      </c>
      <c r="C85" s="54" t="s">
        <v>44</v>
      </c>
      <c r="D85" s="54" t="s">
        <v>47</v>
      </c>
      <c r="E85" s="54" t="s">
        <v>339</v>
      </c>
      <c r="F85" s="54" t="s">
        <v>75</v>
      </c>
      <c r="G85" s="385">
        <v>802</v>
      </c>
      <c r="H85" s="15">
        <v>802</v>
      </c>
      <c r="I85" s="548">
        <v>0</v>
      </c>
      <c r="J85" s="563">
        <f>6+1+1.5+1+1+1</f>
        <v>11.5</v>
      </c>
      <c r="K85" s="259">
        <f t="shared" ref="K85:K91" si="47">ROUND(H85*1.2,0)</f>
        <v>962</v>
      </c>
      <c r="L85" s="60">
        <f t="shared" ref="L85:L91" si="48">IF(K85&lt;=G85,K85,G85)</f>
        <v>802</v>
      </c>
      <c r="M85" s="260">
        <f t="shared" ref="M85:M91" si="49">N85-I85</f>
        <v>0</v>
      </c>
      <c r="N85" s="15">
        <f t="shared" ref="N85:N91" si="50">I85/H85*L85</f>
        <v>0</v>
      </c>
      <c r="O85" s="60">
        <f t="shared" ref="O85:O91" si="51">L85-H85+M85</f>
        <v>0</v>
      </c>
      <c r="P85" s="261">
        <f t="shared" ref="P85:P91" si="52">O85*J85</f>
        <v>0</v>
      </c>
      <c r="Q85" s="262">
        <f t="shared" ref="Q85:Q91" si="53">P85*12</f>
        <v>0</v>
      </c>
      <c r="R85" s="262">
        <f t="shared" ref="R85:R91" si="54">Q85*0.2409</f>
        <v>0</v>
      </c>
      <c r="S85" s="263">
        <f t="shared" ref="S85:S91" si="55">Q85+R85</f>
        <v>0</v>
      </c>
    </row>
    <row r="86" spans="2:19" x14ac:dyDescent="0.25">
      <c r="B86" s="159" t="s">
        <v>46</v>
      </c>
      <c r="C86" s="54" t="s">
        <v>44</v>
      </c>
      <c r="D86" s="54" t="s">
        <v>47</v>
      </c>
      <c r="E86" s="54" t="s">
        <v>339</v>
      </c>
      <c r="F86" s="54" t="s">
        <v>75</v>
      </c>
      <c r="G86" s="385">
        <v>802</v>
      </c>
      <c r="H86" s="15">
        <v>802</v>
      </c>
      <c r="I86" s="548">
        <v>0</v>
      </c>
      <c r="J86" s="561">
        <v>1</v>
      </c>
      <c r="K86" s="259">
        <f t="shared" si="47"/>
        <v>962</v>
      </c>
      <c r="L86" s="60">
        <f t="shared" si="48"/>
        <v>802</v>
      </c>
      <c r="M86" s="260">
        <f t="shared" si="49"/>
        <v>0</v>
      </c>
      <c r="N86" s="15">
        <f t="shared" si="50"/>
        <v>0</v>
      </c>
      <c r="O86" s="60">
        <f t="shared" si="51"/>
        <v>0</v>
      </c>
      <c r="P86" s="261">
        <f t="shared" si="52"/>
        <v>0</v>
      </c>
      <c r="Q86" s="262">
        <f t="shared" si="53"/>
        <v>0</v>
      </c>
      <c r="R86" s="262">
        <f t="shared" si="54"/>
        <v>0</v>
      </c>
      <c r="S86" s="263">
        <f t="shared" si="55"/>
        <v>0</v>
      </c>
    </row>
    <row r="87" spans="2:19" x14ac:dyDescent="0.25">
      <c r="B87" s="156" t="s">
        <v>46</v>
      </c>
      <c r="C87" s="619" t="s">
        <v>44</v>
      </c>
      <c r="D87" s="54" t="s">
        <v>47</v>
      </c>
      <c r="E87" s="54" t="s">
        <v>339</v>
      </c>
      <c r="F87" s="54" t="s">
        <v>79</v>
      </c>
      <c r="G87" s="385">
        <v>680</v>
      </c>
      <c r="H87" s="15">
        <v>680</v>
      </c>
      <c r="I87" s="548">
        <v>0</v>
      </c>
      <c r="J87" s="561">
        <f>1+1</f>
        <v>2</v>
      </c>
      <c r="K87" s="259">
        <f t="shared" si="47"/>
        <v>816</v>
      </c>
      <c r="L87" s="60">
        <f t="shared" si="48"/>
        <v>680</v>
      </c>
      <c r="M87" s="260">
        <f t="shared" si="49"/>
        <v>0</v>
      </c>
      <c r="N87" s="15">
        <f t="shared" si="50"/>
        <v>0</v>
      </c>
      <c r="O87" s="60">
        <f t="shared" si="51"/>
        <v>0</v>
      </c>
      <c r="P87" s="261">
        <f t="shared" si="52"/>
        <v>0</v>
      </c>
      <c r="Q87" s="262">
        <f t="shared" si="53"/>
        <v>0</v>
      </c>
      <c r="R87" s="262">
        <f t="shared" si="54"/>
        <v>0</v>
      </c>
      <c r="S87" s="263">
        <f t="shared" si="55"/>
        <v>0</v>
      </c>
    </row>
    <row r="88" spans="2:19" x14ac:dyDescent="0.25">
      <c r="B88" s="156" t="s">
        <v>340</v>
      </c>
      <c r="C88" s="619" t="s">
        <v>114</v>
      </c>
      <c r="D88" s="54" t="s">
        <v>313</v>
      </c>
      <c r="E88" s="54">
        <v>4</v>
      </c>
      <c r="F88" s="54" t="s">
        <v>75</v>
      </c>
      <c r="G88" s="385">
        <v>705</v>
      </c>
      <c r="H88" s="15">
        <v>705</v>
      </c>
      <c r="I88" s="548">
        <v>0</v>
      </c>
      <c r="J88" s="561">
        <f>9+4*0.75</f>
        <v>12</v>
      </c>
      <c r="K88" s="259">
        <f t="shared" si="47"/>
        <v>846</v>
      </c>
      <c r="L88" s="60">
        <f t="shared" si="48"/>
        <v>705</v>
      </c>
      <c r="M88" s="260">
        <f t="shared" si="49"/>
        <v>0</v>
      </c>
      <c r="N88" s="15">
        <f t="shared" si="50"/>
        <v>0</v>
      </c>
      <c r="O88" s="60">
        <f t="shared" si="51"/>
        <v>0</v>
      </c>
      <c r="P88" s="261">
        <f t="shared" si="52"/>
        <v>0</v>
      </c>
      <c r="Q88" s="262">
        <f t="shared" si="53"/>
        <v>0</v>
      </c>
      <c r="R88" s="262">
        <f t="shared" si="54"/>
        <v>0</v>
      </c>
      <c r="S88" s="263">
        <f t="shared" si="55"/>
        <v>0</v>
      </c>
    </row>
    <row r="89" spans="2:19" x14ac:dyDescent="0.25">
      <c r="B89" s="159" t="s">
        <v>341</v>
      </c>
      <c r="C89" s="54" t="s">
        <v>342</v>
      </c>
      <c r="D89" s="54" t="s">
        <v>14</v>
      </c>
      <c r="E89" s="54">
        <v>4</v>
      </c>
      <c r="F89" s="54">
        <v>3</v>
      </c>
      <c r="G89" s="385">
        <v>705</v>
      </c>
      <c r="H89" s="15">
        <v>705</v>
      </c>
      <c r="I89" s="548">
        <v>0</v>
      </c>
      <c r="J89" s="561">
        <v>2</v>
      </c>
      <c r="K89" s="259">
        <f t="shared" si="47"/>
        <v>846</v>
      </c>
      <c r="L89" s="60">
        <f t="shared" si="48"/>
        <v>705</v>
      </c>
      <c r="M89" s="260">
        <f t="shared" si="49"/>
        <v>0</v>
      </c>
      <c r="N89" s="15">
        <f t="shared" si="50"/>
        <v>0</v>
      </c>
      <c r="O89" s="60">
        <f t="shared" si="51"/>
        <v>0</v>
      </c>
      <c r="P89" s="261">
        <f t="shared" si="52"/>
        <v>0</v>
      </c>
      <c r="Q89" s="262">
        <f t="shared" si="53"/>
        <v>0</v>
      </c>
      <c r="R89" s="262">
        <f t="shared" si="54"/>
        <v>0</v>
      </c>
      <c r="S89" s="263">
        <f t="shared" si="55"/>
        <v>0</v>
      </c>
    </row>
    <row r="90" spans="2:19" x14ac:dyDescent="0.25">
      <c r="B90" s="159" t="s">
        <v>343</v>
      </c>
      <c r="C90" s="54" t="s">
        <v>22</v>
      </c>
      <c r="D90" s="54" t="s">
        <v>15</v>
      </c>
      <c r="E90" s="54">
        <v>3</v>
      </c>
      <c r="F90" s="54" t="s">
        <v>75</v>
      </c>
      <c r="G90" s="385">
        <v>608</v>
      </c>
      <c r="H90" s="15">
        <v>608</v>
      </c>
      <c r="I90" s="548">
        <v>0</v>
      </c>
      <c r="J90" s="561">
        <v>2</v>
      </c>
      <c r="K90" s="259">
        <f t="shared" si="47"/>
        <v>730</v>
      </c>
      <c r="L90" s="60">
        <f t="shared" si="48"/>
        <v>608</v>
      </c>
      <c r="M90" s="260">
        <f t="shared" si="49"/>
        <v>0</v>
      </c>
      <c r="N90" s="15">
        <f t="shared" si="50"/>
        <v>0</v>
      </c>
      <c r="O90" s="60">
        <f t="shared" si="51"/>
        <v>0</v>
      </c>
      <c r="P90" s="261">
        <f t="shared" si="52"/>
        <v>0</v>
      </c>
      <c r="Q90" s="262">
        <f t="shared" si="53"/>
        <v>0</v>
      </c>
      <c r="R90" s="262">
        <f t="shared" si="54"/>
        <v>0</v>
      </c>
      <c r="S90" s="263">
        <f t="shared" si="55"/>
        <v>0</v>
      </c>
    </row>
    <row r="91" spans="2:19" x14ac:dyDescent="0.25">
      <c r="B91" s="159" t="s">
        <v>343</v>
      </c>
      <c r="C91" s="54" t="s">
        <v>22</v>
      </c>
      <c r="D91" s="54" t="s">
        <v>15</v>
      </c>
      <c r="E91" s="54">
        <v>3</v>
      </c>
      <c r="F91" s="54" t="s">
        <v>75</v>
      </c>
      <c r="G91" s="385">
        <v>608</v>
      </c>
      <c r="H91" s="15">
        <v>608</v>
      </c>
      <c r="I91" s="548">
        <v>0</v>
      </c>
      <c r="J91" s="561">
        <v>8</v>
      </c>
      <c r="K91" s="259">
        <f t="shared" si="47"/>
        <v>730</v>
      </c>
      <c r="L91" s="60">
        <f t="shared" si="48"/>
        <v>608</v>
      </c>
      <c r="M91" s="260">
        <f t="shared" si="49"/>
        <v>0</v>
      </c>
      <c r="N91" s="15">
        <f t="shared" si="50"/>
        <v>0</v>
      </c>
      <c r="O91" s="60">
        <f t="shared" si="51"/>
        <v>0</v>
      </c>
      <c r="P91" s="261">
        <f t="shared" si="52"/>
        <v>0</v>
      </c>
      <c r="Q91" s="262">
        <f t="shared" si="53"/>
        <v>0</v>
      </c>
      <c r="R91" s="262">
        <f t="shared" si="54"/>
        <v>0</v>
      </c>
      <c r="S91" s="263">
        <f t="shared" si="55"/>
        <v>0</v>
      </c>
    </row>
    <row r="92" spans="2:19" x14ac:dyDescent="0.25">
      <c r="B92" s="376" t="s">
        <v>4</v>
      </c>
      <c r="C92" s="103"/>
      <c r="D92" s="103"/>
      <c r="E92" s="103"/>
      <c r="F92" s="103"/>
      <c r="G92" s="105"/>
      <c r="H92" s="106"/>
      <c r="I92" s="78"/>
      <c r="J92" s="123">
        <f>SUM(J85:J91)</f>
        <v>38.5</v>
      </c>
      <c r="K92" s="118"/>
      <c r="L92" s="76"/>
      <c r="M92" s="77"/>
      <c r="N92" s="78"/>
      <c r="O92" s="76"/>
      <c r="P92" s="78"/>
      <c r="Q92" s="79">
        <f>SUM(Q85:Q91)</f>
        <v>0</v>
      </c>
      <c r="R92" s="79">
        <f t="shared" ref="R92:S92" si="56">SUM(R85:R91)</f>
        <v>0</v>
      </c>
      <c r="S92" s="80">
        <f t="shared" si="56"/>
        <v>0</v>
      </c>
    </row>
    <row r="93" spans="2:19" ht="13.5" thickBot="1" x14ac:dyDescent="0.3">
      <c r="B93" s="622" t="s">
        <v>315</v>
      </c>
      <c r="C93" s="623"/>
      <c r="D93" s="623"/>
      <c r="E93" s="623"/>
      <c r="F93" s="565"/>
      <c r="G93" s="624"/>
      <c r="H93" s="564"/>
      <c r="I93" s="565"/>
      <c r="J93" s="566">
        <f>J61+J83+J92</f>
        <v>124.5</v>
      </c>
      <c r="K93" s="625"/>
      <c r="L93" s="556"/>
      <c r="M93" s="556"/>
      <c r="N93" s="556"/>
      <c r="O93" s="556"/>
      <c r="P93" s="556"/>
      <c r="Q93" s="613">
        <f>Q92+Q83+Q61</f>
        <v>33009</v>
      </c>
      <c r="R93" s="613">
        <f t="shared" ref="R93:S93" si="57">R92+R83+R61</f>
        <v>7951.8681000000006</v>
      </c>
      <c r="S93" s="614">
        <f t="shared" si="57"/>
        <v>40960.8681</v>
      </c>
    </row>
    <row r="94" spans="2:19" ht="4.5" customHeight="1" thickBot="1" x14ac:dyDescent="0.3">
      <c r="B94" s="626"/>
      <c r="C94" s="627"/>
      <c r="D94" s="627"/>
      <c r="E94" s="627"/>
      <c r="F94" s="627"/>
      <c r="G94" s="628"/>
      <c r="H94" s="567"/>
      <c r="I94" s="568"/>
      <c r="J94" s="567"/>
    </row>
    <row r="95" spans="2:19" ht="15.75" thickBot="1" x14ac:dyDescent="0.3">
      <c r="B95" s="936" t="s">
        <v>344</v>
      </c>
      <c r="C95" s="937"/>
      <c r="D95" s="937"/>
      <c r="E95" s="937"/>
      <c r="F95" s="937"/>
      <c r="G95" s="937"/>
      <c r="H95" s="937"/>
      <c r="I95" s="937"/>
      <c r="J95" s="937"/>
      <c r="K95" s="937"/>
      <c r="L95" s="937"/>
      <c r="M95" s="937"/>
      <c r="N95" s="937"/>
      <c r="O95" s="937"/>
      <c r="P95" s="937"/>
      <c r="Q95" s="937"/>
      <c r="R95" s="937"/>
      <c r="S95" s="938"/>
    </row>
    <row r="96" spans="2:19" x14ac:dyDescent="0.25">
      <c r="B96" s="599" t="s">
        <v>20</v>
      </c>
      <c r="C96" s="600"/>
      <c r="D96" s="600"/>
      <c r="E96" s="600"/>
      <c r="F96" s="600"/>
      <c r="G96" s="601"/>
      <c r="H96" s="552"/>
      <c r="I96" s="553"/>
      <c r="J96" s="554"/>
      <c r="K96" s="616"/>
      <c r="L96" s="553"/>
      <c r="M96" s="617"/>
      <c r="N96" s="553"/>
      <c r="O96" s="553"/>
      <c r="P96" s="553"/>
      <c r="Q96" s="604"/>
      <c r="R96" s="604"/>
      <c r="S96" s="605"/>
    </row>
    <row r="97" spans="2:19" x14ac:dyDescent="0.25">
      <c r="B97" s="382" t="s">
        <v>209</v>
      </c>
      <c r="C97" s="383" t="s">
        <v>13</v>
      </c>
      <c r="D97" s="383" t="s">
        <v>14</v>
      </c>
      <c r="E97" s="383" t="s">
        <v>124</v>
      </c>
      <c r="F97" s="383" t="s">
        <v>75</v>
      </c>
      <c r="G97" s="384">
        <v>1287</v>
      </c>
      <c r="H97" s="569">
        <v>1087.05</v>
      </c>
      <c r="I97" s="60">
        <f>43.5+9.3</f>
        <v>52.8</v>
      </c>
      <c r="J97" s="563">
        <v>7</v>
      </c>
      <c r="K97" s="259">
        <f>ROUND(H97*1.2,0)</f>
        <v>1304</v>
      </c>
      <c r="L97" s="60">
        <f t="shared" ref="L97" si="58">IF(K97&lt;=G97,K97,G97)</f>
        <v>1287</v>
      </c>
      <c r="M97" s="260">
        <f t="shared" ref="M97" si="59">N97-I97</f>
        <v>9.7119359735062787</v>
      </c>
      <c r="N97" s="15">
        <f t="shared" ref="N97" si="60">I97/H97*L97</f>
        <v>62.511935973506276</v>
      </c>
      <c r="O97" s="60">
        <f t="shared" ref="O97" si="61">L97-H97+M97</f>
        <v>209.66193597350633</v>
      </c>
      <c r="P97" s="261">
        <f t="shared" ref="P97" si="62">O97*J97</f>
        <v>1467.6335518145443</v>
      </c>
      <c r="Q97" s="262">
        <f t="shared" ref="Q97" si="63">P97*12</f>
        <v>17611.602621774531</v>
      </c>
      <c r="R97" s="262">
        <f t="shared" ref="R97" si="64">Q97*0.2409</f>
        <v>4242.6350715854842</v>
      </c>
      <c r="S97" s="263">
        <f t="shared" ref="S97" si="65">Q97+R97</f>
        <v>21854.237693360017</v>
      </c>
    </row>
    <row r="98" spans="2:19" x14ac:dyDescent="0.25">
      <c r="B98" s="376" t="s">
        <v>4</v>
      </c>
      <c r="C98" s="103"/>
      <c r="D98" s="103"/>
      <c r="E98" s="103"/>
      <c r="F98" s="103"/>
      <c r="G98" s="105"/>
      <c r="H98" s="106"/>
      <c r="I98" s="78"/>
      <c r="J98" s="123">
        <f>SUM(J97:J97)</f>
        <v>7</v>
      </c>
      <c r="K98" s="118"/>
      <c r="L98" s="76"/>
      <c r="M98" s="77"/>
      <c r="N98" s="78"/>
      <c r="O98" s="76"/>
      <c r="P98" s="78"/>
      <c r="Q98" s="79">
        <f>SUM(Q97)</f>
        <v>17611.602621774531</v>
      </c>
      <c r="R98" s="79">
        <f t="shared" ref="R98:S98" si="66">SUM(R97)</f>
        <v>4242.6350715854842</v>
      </c>
      <c r="S98" s="80">
        <f t="shared" si="66"/>
        <v>21854.237693360017</v>
      </c>
    </row>
    <row r="99" spans="2:19" x14ac:dyDescent="0.25">
      <c r="B99" s="599" t="s">
        <v>10</v>
      </c>
      <c r="C99" s="600"/>
      <c r="D99" s="600"/>
      <c r="E99" s="600"/>
      <c r="F99" s="600"/>
      <c r="G99" s="601"/>
      <c r="H99" s="552"/>
      <c r="I99" s="553"/>
      <c r="J99" s="554"/>
      <c r="K99" s="616"/>
      <c r="L99" s="553"/>
      <c r="M99" s="617"/>
      <c r="N99" s="553"/>
      <c r="O99" s="553"/>
      <c r="P99" s="553"/>
      <c r="Q99" s="604"/>
      <c r="R99" s="604"/>
      <c r="S99" s="605"/>
    </row>
    <row r="100" spans="2:19" x14ac:dyDescent="0.25">
      <c r="B100" s="629" t="s">
        <v>12</v>
      </c>
      <c r="C100" s="54" t="s">
        <v>13</v>
      </c>
      <c r="D100" s="54" t="s">
        <v>15</v>
      </c>
      <c r="E100" s="54" t="s">
        <v>78</v>
      </c>
      <c r="F100" s="54" t="s">
        <v>75</v>
      </c>
      <c r="G100" s="385">
        <v>1093</v>
      </c>
      <c r="H100" s="60">
        <v>0</v>
      </c>
      <c r="I100" s="53">
        <v>0</v>
      </c>
      <c r="J100" s="327">
        <v>0</v>
      </c>
      <c r="K100" s="259">
        <f t="shared" ref="K100:K102" si="67">ROUND(H100*1.2,0)</f>
        <v>0</v>
      </c>
      <c r="L100" s="60">
        <f t="shared" ref="L100:L102" si="68">IF(K100&lt;=G100,K100,G100)</f>
        <v>0</v>
      </c>
      <c r="M100" s="260"/>
      <c r="N100" s="15"/>
      <c r="O100" s="60"/>
      <c r="P100" s="261"/>
      <c r="Q100" s="262"/>
      <c r="R100" s="262"/>
      <c r="S100" s="263"/>
    </row>
    <row r="101" spans="2:19" x14ac:dyDescent="0.25">
      <c r="B101" s="88" t="s">
        <v>25</v>
      </c>
      <c r="C101" s="619" t="s">
        <v>44</v>
      </c>
      <c r="D101" s="54" t="s">
        <v>14</v>
      </c>
      <c r="E101" s="54" t="s">
        <v>125</v>
      </c>
      <c r="F101" s="54" t="s">
        <v>75</v>
      </c>
      <c r="G101" s="385">
        <v>996</v>
      </c>
      <c r="H101" s="60">
        <v>694.06</v>
      </c>
      <c r="I101" s="53">
        <f>13.93+27.12</f>
        <v>41.05</v>
      </c>
      <c r="J101" s="570">
        <v>22.5</v>
      </c>
      <c r="K101" s="259">
        <f t="shared" si="67"/>
        <v>833</v>
      </c>
      <c r="L101" s="60">
        <f t="shared" si="68"/>
        <v>833</v>
      </c>
      <c r="M101" s="260">
        <f t="shared" ref="M101:M102" si="69">N101-I101</f>
        <v>8.217570527043776</v>
      </c>
      <c r="N101" s="15">
        <f t="shared" ref="N101:N102" si="70">I101/H101*L101</f>
        <v>49.267570527043773</v>
      </c>
      <c r="O101" s="60">
        <f t="shared" ref="O101:O102" si="71">L101-H101+M101</f>
        <v>147.15757052704384</v>
      </c>
      <c r="P101" s="261">
        <f t="shared" ref="P101:P102" si="72">O101*J101</f>
        <v>3311.0453368584867</v>
      </c>
      <c r="Q101" s="262">
        <f t="shared" ref="Q101:Q102" si="73">P101*12</f>
        <v>39732.544042301844</v>
      </c>
      <c r="R101" s="262">
        <f t="shared" ref="R101:R102" si="74">Q101*0.2409</f>
        <v>9571.5698597905139</v>
      </c>
      <c r="S101" s="263">
        <f t="shared" ref="S101:S102" si="75">Q101+R101</f>
        <v>49304.113902092358</v>
      </c>
    </row>
    <row r="102" spans="2:19" x14ac:dyDescent="0.2">
      <c r="B102" s="630" t="s">
        <v>329</v>
      </c>
      <c r="C102" s="619" t="s">
        <v>13</v>
      </c>
      <c r="D102" s="54" t="s">
        <v>310</v>
      </c>
      <c r="E102" s="54" t="s">
        <v>120</v>
      </c>
      <c r="F102" s="54" t="s">
        <v>75</v>
      </c>
      <c r="G102" s="385">
        <v>1190</v>
      </c>
      <c r="H102" s="60">
        <v>695.21</v>
      </c>
      <c r="I102" s="53">
        <f>11.16+18.37</f>
        <v>29.53</v>
      </c>
      <c r="J102" s="570">
        <v>1.9</v>
      </c>
      <c r="K102" s="259">
        <f t="shared" si="67"/>
        <v>834</v>
      </c>
      <c r="L102" s="60">
        <f t="shared" si="68"/>
        <v>834</v>
      </c>
      <c r="M102" s="260">
        <f t="shared" si="69"/>
        <v>5.8952959537405931</v>
      </c>
      <c r="N102" s="15">
        <f t="shared" si="70"/>
        <v>35.425295953740594</v>
      </c>
      <c r="O102" s="60">
        <f t="shared" si="71"/>
        <v>144.68529595374056</v>
      </c>
      <c r="P102" s="261">
        <f t="shared" si="72"/>
        <v>274.90206231210703</v>
      </c>
      <c r="Q102" s="262">
        <f t="shared" si="73"/>
        <v>3298.8247477452842</v>
      </c>
      <c r="R102" s="262">
        <f t="shared" si="74"/>
        <v>794.68688173183898</v>
      </c>
      <c r="S102" s="263">
        <f t="shared" si="75"/>
        <v>4093.5116294771233</v>
      </c>
    </row>
    <row r="103" spans="2:19" x14ac:dyDescent="0.25">
      <c r="B103" s="376" t="s">
        <v>4</v>
      </c>
      <c r="C103" s="103"/>
      <c r="D103" s="103"/>
      <c r="E103" s="103"/>
      <c r="F103" s="103"/>
      <c r="G103" s="105"/>
      <c r="H103" s="106"/>
      <c r="I103" s="78"/>
      <c r="J103" s="123">
        <f>SUM(J100:J102)</f>
        <v>24.4</v>
      </c>
      <c r="K103" s="118"/>
      <c r="L103" s="76"/>
      <c r="M103" s="77"/>
      <c r="N103" s="78"/>
      <c r="O103" s="76"/>
      <c r="P103" s="78"/>
      <c r="Q103" s="79">
        <f>SUM(Q101:Q102)</f>
        <v>43031.368790047127</v>
      </c>
      <c r="R103" s="79">
        <f t="shared" ref="R103" si="76">SUM(R101:R102)</f>
        <v>10366.256741522353</v>
      </c>
      <c r="S103" s="80">
        <f>SUM(S101:S102)</f>
        <v>53397.62553156948</v>
      </c>
    </row>
    <row r="104" spans="2:19" x14ac:dyDescent="0.25">
      <c r="B104" s="599" t="s">
        <v>11</v>
      </c>
      <c r="C104" s="600"/>
      <c r="D104" s="600"/>
      <c r="E104" s="600"/>
      <c r="F104" s="600"/>
      <c r="G104" s="601"/>
      <c r="H104" s="552"/>
      <c r="I104" s="553"/>
      <c r="J104" s="554"/>
      <c r="K104" s="616"/>
      <c r="L104" s="553"/>
      <c r="M104" s="617"/>
      <c r="N104" s="553"/>
      <c r="O104" s="553"/>
      <c r="P104" s="553"/>
      <c r="Q104" s="604"/>
      <c r="R104" s="604"/>
      <c r="S104" s="605"/>
    </row>
    <row r="105" spans="2:19" x14ac:dyDescent="0.25">
      <c r="B105" s="631" t="s">
        <v>340</v>
      </c>
      <c r="C105" s="619" t="s">
        <v>114</v>
      </c>
      <c r="D105" s="54" t="s">
        <v>313</v>
      </c>
      <c r="E105" s="54">
        <v>4</v>
      </c>
      <c r="F105" s="54" t="s">
        <v>75</v>
      </c>
      <c r="G105" s="385">
        <v>705</v>
      </c>
      <c r="H105" s="60">
        <v>450.95</v>
      </c>
      <c r="I105" s="53">
        <v>0</v>
      </c>
      <c r="J105" s="570">
        <v>2.1</v>
      </c>
      <c r="K105" s="259">
        <f t="shared" ref="K105:K106" si="77">ROUND(H105*1.2,0)</f>
        <v>541</v>
      </c>
      <c r="L105" s="60">
        <f t="shared" ref="L105:L106" si="78">IF(K105&lt;=G105,K105,G105)</f>
        <v>541</v>
      </c>
      <c r="M105" s="260">
        <f t="shared" ref="M105:M106" si="79">N105-I105</f>
        <v>0</v>
      </c>
      <c r="N105" s="15">
        <f t="shared" ref="N105:N106" si="80">I105/H105*L105</f>
        <v>0</v>
      </c>
      <c r="O105" s="60">
        <f t="shared" ref="O105:O106" si="81">L105-H105+M105</f>
        <v>90.050000000000011</v>
      </c>
      <c r="P105" s="261">
        <f t="shared" ref="P105:P106" si="82">O105*J105</f>
        <v>189.10500000000002</v>
      </c>
      <c r="Q105" s="262">
        <f t="shared" ref="Q105:Q106" si="83">P105*12</f>
        <v>2269.2600000000002</v>
      </c>
      <c r="R105" s="262">
        <f t="shared" ref="R105:R106" si="84">Q105*0.2409</f>
        <v>546.66473400000007</v>
      </c>
      <c r="S105" s="263">
        <f t="shared" ref="S105:S106" si="85">Q105+R105</f>
        <v>2815.9247340000002</v>
      </c>
    </row>
    <row r="106" spans="2:19" x14ac:dyDescent="0.25">
      <c r="B106" s="632" t="s">
        <v>345</v>
      </c>
      <c r="C106" s="619" t="s">
        <v>22</v>
      </c>
      <c r="D106" s="54" t="s">
        <v>313</v>
      </c>
      <c r="E106" s="55" t="s">
        <v>339</v>
      </c>
      <c r="F106" s="55" t="s">
        <v>75</v>
      </c>
      <c r="G106" s="385">
        <v>802</v>
      </c>
      <c r="H106" s="60">
        <v>486.23</v>
      </c>
      <c r="I106" s="60">
        <v>4.4000000000000004</v>
      </c>
      <c r="J106" s="570">
        <v>5.4</v>
      </c>
      <c r="K106" s="259">
        <f t="shared" si="77"/>
        <v>583</v>
      </c>
      <c r="L106" s="60">
        <f t="shared" si="78"/>
        <v>583</v>
      </c>
      <c r="M106" s="260">
        <f t="shared" si="79"/>
        <v>0.87569257347345886</v>
      </c>
      <c r="N106" s="15">
        <f t="shared" si="80"/>
        <v>5.2756925734734592</v>
      </c>
      <c r="O106" s="60">
        <f t="shared" si="81"/>
        <v>97.64569257347344</v>
      </c>
      <c r="P106" s="261">
        <f t="shared" si="82"/>
        <v>527.28673989675656</v>
      </c>
      <c r="Q106" s="262">
        <f t="shared" si="83"/>
        <v>6327.4408787610791</v>
      </c>
      <c r="R106" s="262">
        <f t="shared" si="84"/>
        <v>1524.280507693544</v>
      </c>
      <c r="S106" s="263">
        <f t="shared" si="85"/>
        <v>7851.7213864546229</v>
      </c>
    </row>
    <row r="107" spans="2:19" x14ac:dyDescent="0.25">
      <c r="B107" s="376" t="s">
        <v>4</v>
      </c>
      <c r="C107" s="103"/>
      <c r="D107" s="103"/>
      <c r="E107" s="103"/>
      <c r="F107" s="103"/>
      <c r="G107" s="105"/>
      <c r="H107" s="106"/>
      <c r="I107" s="78"/>
      <c r="J107" s="123">
        <f>SUM(J105:J106)</f>
        <v>7.5</v>
      </c>
      <c r="K107" s="118"/>
      <c r="L107" s="76"/>
      <c r="M107" s="77"/>
      <c r="N107" s="78"/>
      <c r="O107" s="76"/>
      <c r="P107" s="78"/>
      <c r="Q107" s="79">
        <f>SUM(Q105:Q106)</f>
        <v>8596.7008787610794</v>
      </c>
      <c r="R107" s="79">
        <f t="shared" ref="R107:S107" si="86">SUM(R105:R106)</f>
        <v>2070.9452416935442</v>
      </c>
      <c r="S107" s="80">
        <f t="shared" si="86"/>
        <v>10667.646120454623</v>
      </c>
    </row>
    <row r="108" spans="2:19" ht="13.5" thickBot="1" x14ac:dyDescent="0.3">
      <c r="B108" s="622" t="s">
        <v>346</v>
      </c>
      <c r="C108" s="623"/>
      <c r="D108" s="623"/>
      <c r="E108" s="623"/>
      <c r="F108" s="565"/>
      <c r="G108" s="624"/>
      <c r="H108" s="564"/>
      <c r="I108" s="565"/>
      <c r="J108" s="566">
        <f>J98+J103+J107</f>
        <v>38.9</v>
      </c>
      <c r="K108" s="625"/>
      <c r="L108" s="556"/>
      <c r="M108" s="556"/>
      <c r="N108" s="556"/>
      <c r="O108" s="556"/>
      <c r="P108" s="556"/>
      <c r="Q108" s="613">
        <f>Q107+Q103+Q98</f>
        <v>69239.672290582734</v>
      </c>
      <c r="R108" s="613">
        <f t="shared" ref="R108:S108" si="87">R107+R103+R98</f>
        <v>16679.837054801381</v>
      </c>
      <c r="S108" s="614">
        <f t="shared" si="87"/>
        <v>85919.509345384111</v>
      </c>
    </row>
    <row r="109" spans="2:19" ht="4.5" customHeight="1" thickBot="1" x14ac:dyDescent="0.3"/>
    <row r="110" spans="2:19" ht="15.75" thickBot="1" x14ac:dyDescent="0.3">
      <c r="B110" s="936" t="s">
        <v>347</v>
      </c>
      <c r="C110" s="937"/>
      <c r="D110" s="937"/>
      <c r="E110" s="937"/>
      <c r="F110" s="937"/>
      <c r="G110" s="937"/>
      <c r="H110" s="937"/>
      <c r="I110" s="937"/>
      <c r="J110" s="937"/>
      <c r="K110" s="937"/>
      <c r="L110" s="937"/>
      <c r="M110" s="937"/>
      <c r="N110" s="937"/>
      <c r="O110" s="937"/>
      <c r="P110" s="937"/>
      <c r="Q110" s="937"/>
      <c r="R110" s="937"/>
      <c r="S110" s="938"/>
    </row>
    <row r="111" spans="2:19" ht="15" x14ac:dyDescent="0.25">
      <c r="B111" s="386" t="s">
        <v>20</v>
      </c>
      <c r="C111" s="387"/>
      <c r="D111" s="387"/>
      <c r="E111" s="387"/>
      <c r="F111" s="387"/>
      <c r="G111" s="388"/>
      <c r="H111" s="389"/>
      <c r="I111" s="387"/>
      <c r="J111" s="390"/>
      <c r="K111" s="616"/>
      <c r="L111" s="553"/>
      <c r="M111" s="617"/>
      <c r="N111" s="553"/>
      <c r="O111" s="553"/>
      <c r="P111" s="553"/>
      <c r="Q111" s="604"/>
      <c r="R111" s="604"/>
      <c r="S111" s="605"/>
    </row>
    <row r="112" spans="2:19" ht="15" x14ac:dyDescent="0.25">
      <c r="B112" s="391" t="s">
        <v>348</v>
      </c>
      <c r="C112" s="392" t="s">
        <v>349</v>
      </c>
      <c r="D112" s="392" t="s">
        <v>350</v>
      </c>
      <c r="E112" s="392" t="s">
        <v>351</v>
      </c>
      <c r="F112" s="392" t="s">
        <v>75</v>
      </c>
      <c r="G112" s="393">
        <v>2353</v>
      </c>
      <c r="H112" s="394">
        <v>2110</v>
      </c>
      <c r="I112" s="395">
        <v>0</v>
      </c>
      <c r="J112" s="396">
        <v>1</v>
      </c>
      <c r="K112" s="259">
        <f t="shared" ref="K112:K165" si="88">ROUND(H112*1.2,0)</f>
        <v>2532</v>
      </c>
      <c r="L112" s="60">
        <f t="shared" ref="L112:L175" si="89">IF(K112&lt;=G112,K112,G112)</f>
        <v>2353</v>
      </c>
      <c r="M112" s="260">
        <f t="shared" ref="M112:M175" si="90">N112-I112</f>
        <v>0</v>
      </c>
      <c r="N112" s="15">
        <f t="shared" ref="N112:N175" si="91">I112/H112*L112</f>
        <v>0</v>
      </c>
      <c r="O112" s="60">
        <f t="shared" ref="O112:O175" si="92">L112-H112+M112</f>
        <v>243</v>
      </c>
      <c r="P112" s="261">
        <f t="shared" ref="P112:P175" si="93">O112*J112</f>
        <v>243</v>
      </c>
      <c r="Q112" s="262">
        <f t="shared" ref="Q112:Q175" si="94">P112*12</f>
        <v>2916</v>
      </c>
      <c r="R112" s="262">
        <f t="shared" ref="R112:R175" si="95">Q112*0.2409</f>
        <v>702.46439999999996</v>
      </c>
      <c r="S112" s="263">
        <f t="shared" ref="S112:S175" si="96">Q112+R112</f>
        <v>3618.4643999999998</v>
      </c>
    </row>
    <row r="113" spans="2:19" ht="15" x14ac:dyDescent="0.25">
      <c r="B113" s="397" t="s">
        <v>352</v>
      </c>
      <c r="C113" s="398" t="s">
        <v>349</v>
      </c>
      <c r="D113" s="398" t="s">
        <v>353</v>
      </c>
      <c r="E113" s="398" t="s">
        <v>354</v>
      </c>
      <c r="F113" s="399" t="s">
        <v>75</v>
      </c>
      <c r="G113" s="400">
        <v>2264</v>
      </c>
      <c r="H113" s="401">
        <v>2063.16</v>
      </c>
      <c r="I113" s="395">
        <v>0</v>
      </c>
      <c r="J113" s="402">
        <v>1</v>
      </c>
      <c r="K113" s="259">
        <f t="shared" si="88"/>
        <v>2476</v>
      </c>
      <c r="L113" s="60">
        <f t="shared" si="89"/>
        <v>2264</v>
      </c>
      <c r="M113" s="260">
        <f t="shared" si="90"/>
        <v>0</v>
      </c>
      <c r="N113" s="15">
        <f t="shared" si="91"/>
        <v>0</v>
      </c>
      <c r="O113" s="60">
        <f t="shared" si="92"/>
        <v>200.84000000000015</v>
      </c>
      <c r="P113" s="261">
        <f t="shared" si="93"/>
        <v>200.84000000000015</v>
      </c>
      <c r="Q113" s="262">
        <f t="shared" si="94"/>
        <v>2410.0800000000017</v>
      </c>
      <c r="R113" s="262">
        <f t="shared" si="95"/>
        <v>580.58827200000042</v>
      </c>
      <c r="S113" s="263">
        <f t="shared" si="96"/>
        <v>2990.6682720000022</v>
      </c>
    </row>
    <row r="114" spans="2:19" ht="15" x14ac:dyDescent="0.25">
      <c r="B114" s="391" t="s">
        <v>355</v>
      </c>
      <c r="C114" s="392" t="s">
        <v>349</v>
      </c>
      <c r="D114" s="392" t="s">
        <v>356</v>
      </c>
      <c r="E114" s="392" t="s">
        <v>354</v>
      </c>
      <c r="F114" s="392" t="s">
        <v>75</v>
      </c>
      <c r="G114" s="393">
        <v>2264</v>
      </c>
      <c r="H114" s="394">
        <v>1650</v>
      </c>
      <c r="I114" s="395">
        <v>0</v>
      </c>
      <c r="J114" s="396">
        <v>2</v>
      </c>
      <c r="K114" s="259">
        <f t="shared" si="88"/>
        <v>1980</v>
      </c>
      <c r="L114" s="60">
        <f t="shared" si="89"/>
        <v>1980</v>
      </c>
      <c r="M114" s="260">
        <f t="shared" si="90"/>
        <v>0</v>
      </c>
      <c r="N114" s="15">
        <f t="shared" si="91"/>
        <v>0</v>
      </c>
      <c r="O114" s="60">
        <f t="shared" si="92"/>
        <v>330</v>
      </c>
      <c r="P114" s="261">
        <f t="shared" si="93"/>
        <v>660</v>
      </c>
      <c r="Q114" s="262">
        <f t="shared" si="94"/>
        <v>7920</v>
      </c>
      <c r="R114" s="262">
        <f t="shared" si="95"/>
        <v>1907.9280000000001</v>
      </c>
      <c r="S114" s="263">
        <f t="shared" si="96"/>
        <v>9827.9279999999999</v>
      </c>
    </row>
    <row r="115" spans="2:19" ht="15" x14ac:dyDescent="0.25">
      <c r="B115" s="403" t="s">
        <v>357</v>
      </c>
      <c r="C115" s="404" t="s">
        <v>349</v>
      </c>
      <c r="D115" s="404" t="s">
        <v>358</v>
      </c>
      <c r="E115" s="404" t="s">
        <v>321</v>
      </c>
      <c r="F115" s="404">
        <v>3</v>
      </c>
      <c r="G115" s="400">
        <v>1647</v>
      </c>
      <c r="H115" s="405">
        <v>1406</v>
      </c>
      <c r="I115" s="395">
        <v>0</v>
      </c>
      <c r="J115" s="406">
        <v>2</v>
      </c>
      <c r="K115" s="259">
        <f t="shared" si="88"/>
        <v>1687</v>
      </c>
      <c r="L115" s="60">
        <f t="shared" si="89"/>
        <v>1647</v>
      </c>
      <c r="M115" s="260">
        <f t="shared" si="90"/>
        <v>0</v>
      </c>
      <c r="N115" s="15">
        <f t="shared" si="91"/>
        <v>0</v>
      </c>
      <c r="O115" s="60">
        <f t="shared" si="92"/>
        <v>241</v>
      </c>
      <c r="P115" s="261">
        <f t="shared" si="93"/>
        <v>482</v>
      </c>
      <c r="Q115" s="262">
        <f t="shared" si="94"/>
        <v>5784</v>
      </c>
      <c r="R115" s="262">
        <f t="shared" si="95"/>
        <v>1393.3656000000001</v>
      </c>
      <c r="S115" s="263">
        <f t="shared" si="96"/>
        <v>7177.3656000000001</v>
      </c>
    </row>
    <row r="116" spans="2:19" ht="15" x14ac:dyDescent="0.25">
      <c r="B116" s="403" t="s">
        <v>359</v>
      </c>
      <c r="C116" s="404" t="s">
        <v>349</v>
      </c>
      <c r="D116" s="404" t="s">
        <v>360</v>
      </c>
      <c r="E116" s="404" t="s">
        <v>342</v>
      </c>
      <c r="F116" s="404">
        <v>3</v>
      </c>
      <c r="G116" s="400">
        <v>1917</v>
      </c>
      <c r="H116" s="405">
        <v>1686</v>
      </c>
      <c r="I116" s="395">
        <v>0</v>
      </c>
      <c r="J116" s="406">
        <v>2</v>
      </c>
      <c r="K116" s="259">
        <f t="shared" si="88"/>
        <v>2023</v>
      </c>
      <c r="L116" s="60">
        <f t="shared" si="89"/>
        <v>1917</v>
      </c>
      <c r="M116" s="260">
        <f t="shared" si="90"/>
        <v>0</v>
      </c>
      <c r="N116" s="15">
        <f t="shared" si="91"/>
        <v>0</v>
      </c>
      <c r="O116" s="60">
        <f t="shared" si="92"/>
        <v>231</v>
      </c>
      <c r="P116" s="261">
        <f t="shared" si="93"/>
        <v>462</v>
      </c>
      <c r="Q116" s="262">
        <f t="shared" si="94"/>
        <v>5544</v>
      </c>
      <c r="R116" s="262">
        <f t="shared" si="95"/>
        <v>1335.5496000000001</v>
      </c>
      <c r="S116" s="263">
        <f t="shared" si="96"/>
        <v>6879.5496000000003</v>
      </c>
    </row>
    <row r="117" spans="2:19" ht="15" x14ac:dyDescent="0.25">
      <c r="B117" s="407" t="s">
        <v>361</v>
      </c>
      <c r="C117" s="404" t="s">
        <v>21</v>
      </c>
      <c r="D117" s="404" t="s">
        <v>39</v>
      </c>
      <c r="E117" s="404" t="s">
        <v>342</v>
      </c>
      <c r="F117" s="404" t="s">
        <v>75</v>
      </c>
      <c r="G117" s="400">
        <v>1917</v>
      </c>
      <c r="H117" s="405">
        <v>1385</v>
      </c>
      <c r="I117" s="395">
        <v>0</v>
      </c>
      <c r="J117" s="406">
        <v>3</v>
      </c>
      <c r="K117" s="259">
        <f t="shared" si="88"/>
        <v>1662</v>
      </c>
      <c r="L117" s="60">
        <f t="shared" si="89"/>
        <v>1662</v>
      </c>
      <c r="M117" s="260">
        <f t="shared" si="90"/>
        <v>0</v>
      </c>
      <c r="N117" s="15">
        <f t="shared" si="91"/>
        <v>0</v>
      </c>
      <c r="O117" s="60">
        <f t="shared" si="92"/>
        <v>277</v>
      </c>
      <c r="P117" s="261">
        <f t="shared" si="93"/>
        <v>831</v>
      </c>
      <c r="Q117" s="262">
        <f t="shared" si="94"/>
        <v>9972</v>
      </c>
      <c r="R117" s="262">
        <f t="shared" si="95"/>
        <v>2402.2548000000002</v>
      </c>
      <c r="S117" s="263">
        <f t="shared" si="96"/>
        <v>12374.254800000001</v>
      </c>
    </row>
    <row r="118" spans="2:19" ht="15" x14ac:dyDescent="0.25">
      <c r="B118" s="408" t="s">
        <v>362</v>
      </c>
      <c r="C118" s="392" t="s">
        <v>349</v>
      </c>
      <c r="D118" s="392" t="s">
        <v>356</v>
      </c>
      <c r="E118" s="392" t="s">
        <v>342</v>
      </c>
      <c r="F118" s="392" t="s">
        <v>75</v>
      </c>
      <c r="G118" s="400">
        <v>1917</v>
      </c>
      <c r="H118" s="405">
        <v>1344</v>
      </c>
      <c r="I118" s="395">
        <v>0</v>
      </c>
      <c r="J118" s="406">
        <v>3</v>
      </c>
      <c r="K118" s="259">
        <f t="shared" si="88"/>
        <v>1613</v>
      </c>
      <c r="L118" s="60">
        <f t="shared" si="89"/>
        <v>1613</v>
      </c>
      <c r="M118" s="260">
        <f t="shared" si="90"/>
        <v>0</v>
      </c>
      <c r="N118" s="15">
        <f t="shared" si="91"/>
        <v>0</v>
      </c>
      <c r="O118" s="60">
        <f t="shared" si="92"/>
        <v>269</v>
      </c>
      <c r="P118" s="261">
        <f t="shared" si="93"/>
        <v>807</v>
      </c>
      <c r="Q118" s="262">
        <f t="shared" si="94"/>
        <v>9684</v>
      </c>
      <c r="R118" s="262">
        <f t="shared" si="95"/>
        <v>2332.8755999999998</v>
      </c>
      <c r="S118" s="263">
        <f t="shared" si="96"/>
        <v>12016.875599999999</v>
      </c>
    </row>
    <row r="119" spans="2:19" ht="15" x14ac:dyDescent="0.25">
      <c r="B119" s="403" t="s">
        <v>363</v>
      </c>
      <c r="C119" s="404" t="s">
        <v>349</v>
      </c>
      <c r="D119" s="404" t="s">
        <v>35</v>
      </c>
      <c r="E119" s="404" t="s">
        <v>321</v>
      </c>
      <c r="F119" s="404">
        <v>3</v>
      </c>
      <c r="G119" s="400">
        <v>1647</v>
      </c>
      <c r="H119" s="405">
        <v>1647</v>
      </c>
      <c r="I119" s="395">
        <v>0</v>
      </c>
      <c r="J119" s="406">
        <v>1</v>
      </c>
      <c r="K119" s="259">
        <f t="shared" si="88"/>
        <v>1976</v>
      </c>
      <c r="L119" s="60">
        <f t="shared" si="89"/>
        <v>1647</v>
      </c>
      <c r="M119" s="260">
        <f t="shared" si="90"/>
        <v>0</v>
      </c>
      <c r="N119" s="15">
        <f t="shared" si="91"/>
        <v>0</v>
      </c>
      <c r="O119" s="60">
        <f t="shared" si="92"/>
        <v>0</v>
      </c>
      <c r="P119" s="261">
        <f t="shared" si="93"/>
        <v>0</v>
      </c>
      <c r="Q119" s="262">
        <f t="shared" si="94"/>
        <v>0</v>
      </c>
      <c r="R119" s="262">
        <f t="shared" si="95"/>
        <v>0</v>
      </c>
      <c r="S119" s="263">
        <f t="shared" si="96"/>
        <v>0</v>
      </c>
    </row>
    <row r="120" spans="2:19" ht="15" x14ac:dyDescent="0.25">
      <c r="B120" s="391" t="s">
        <v>364</v>
      </c>
      <c r="C120" s="392" t="s">
        <v>21</v>
      </c>
      <c r="D120" s="392" t="s">
        <v>35</v>
      </c>
      <c r="E120" s="392" t="s">
        <v>321</v>
      </c>
      <c r="F120" s="409">
        <v>3</v>
      </c>
      <c r="G120" s="400">
        <v>1647</v>
      </c>
      <c r="H120" s="394">
        <v>1495</v>
      </c>
      <c r="I120" s="395">
        <v>0</v>
      </c>
      <c r="J120" s="396">
        <v>1</v>
      </c>
      <c r="K120" s="259">
        <f t="shared" si="88"/>
        <v>1794</v>
      </c>
      <c r="L120" s="60">
        <f t="shared" si="89"/>
        <v>1647</v>
      </c>
      <c r="M120" s="260">
        <f t="shared" si="90"/>
        <v>0</v>
      </c>
      <c r="N120" s="15">
        <f t="shared" si="91"/>
        <v>0</v>
      </c>
      <c r="O120" s="60">
        <f t="shared" si="92"/>
        <v>152</v>
      </c>
      <c r="P120" s="261">
        <f t="shared" si="93"/>
        <v>152</v>
      </c>
      <c r="Q120" s="262">
        <f t="shared" si="94"/>
        <v>1824</v>
      </c>
      <c r="R120" s="262">
        <f t="shared" si="95"/>
        <v>439.40160000000003</v>
      </c>
      <c r="S120" s="263">
        <f t="shared" si="96"/>
        <v>2263.4016000000001</v>
      </c>
    </row>
    <row r="121" spans="2:19" ht="15" x14ac:dyDescent="0.25">
      <c r="B121" s="391" t="s">
        <v>365</v>
      </c>
      <c r="C121" s="392" t="s">
        <v>349</v>
      </c>
      <c r="D121" s="392" t="s">
        <v>35</v>
      </c>
      <c r="E121" s="392" t="s">
        <v>321</v>
      </c>
      <c r="F121" s="392">
        <v>3</v>
      </c>
      <c r="G121" s="400">
        <v>1647</v>
      </c>
      <c r="H121" s="394">
        <v>1547</v>
      </c>
      <c r="I121" s="395">
        <v>0</v>
      </c>
      <c r="J121" s="396">
        <v>1</v>
      </c>
      <c r="K121" s="259">
        <f t="shared" si="88"/>
        <v>1856</v>
      </c>
      <c r="L121" s="60">
        <f t="shared" si="89"/>
        <v>1647</v>
      </c>
      <c r="M121" s="260">
        <f t="shared" si="90"/>
        <v>0</v>
      </c>
      <c r="N121" s="15">
        <f t="shared" si="91"/>
        <v>0</v>
      </c>
      <c r="O121" s="60">
        <f t="shared" si="92"/>
        <v>100</v>
      </c>
      <c r="P121" s="261">
        <f t="shared" si="93"/>
        <v>100</v>
      </c>
      <c r="Q121" s="262">
        <f t="shared" si="94"/>
        <v>1200</v>
      </c>
      <c r="R121" s="262">
        <f t="shared" si="95"/>
        <v>289.08</v>
      </c>
      <c r="S121" s="263">
        <f t="shared" si="96"/>
        <v>1489.08</v>
      </c>
    </row>
    <row r="122" spans="2:19" ht="15" x14ac:dyDescent="0.25">
      <c r="B122" s="391" t="s">
        <v>366</v>
      </c>
      <c r="C122" s="392" t="s">
        <v>21</v>
      </c>
      <c r="D122" s="392" t="s">
        <v>35</v>
      </c>
      <c r="E122" s="392" t="s">
        <v>321</v>
      </c>
      <c r="F122" s="392">
        <v>3</v>
      </c>
      <c r="G122" s="400">
        <v>1647</v>
      </c>
      <c r="H122" s="394">
        <v>1643.42</v>
      </c>
      <c r="I122" s="395">
        <v>0</v>
      </c>
      <c r="J122" s="396">
        <v>1</v>
      </c>
      <c r="K122" s="259">
        <f t="shared" si="88"/>
        <v>1972</v>
      </c>
      <c r="L122" s="60">
        <f t="shared" si="89"/>
        <v>1647</v>
      </c>
      <c r="M122" s="260">
        <f t="shared" si="90"/>
        <v>0</v>
      </c>
      <c r="N122" s="15">
        <f t="shared" si="91"/>
        <v>0</v>
      </c>
      <c r="O122" s="60">
        <f t="shared" si="92"/>
        <v>3.5799999999999272</v>
      </c>
      <c r="P122" s="261">
        <f t="shared" si="93"/>
        <v>3.5799999999999272</v>
      </c>
      <c r="Q122" s="262">
        <f t="shared" si="94"/>
        <v>42.959999999999127</v>
      </c>
      <c r="R122" s="262">
        <f t="shared" si="95"/>
        <v>10.349063999999791</v>
      </c>
      <c r="S122" s="263">
        <f t="shared" si="96"/>
        <v>53.309063999998919</v>
      </c>
    </row>
    <row r="123" spans="2:19" ht="15" x14ac:dyDescent="0.25">
      <c r="B123" s="391" t="s">
        <v>366</v>
      </c>
      <c r="C123" s="392" t="s">
        <v>21</v>
      </c>
      <c r="D123" s="392" t="s">
        <v>35</v>
      </c>
      <c r="E123" s="392" t="s">
        <v>321</v>
      </c>
      <c r="F123" s="392" t="s">
        <v>75</v>
      </c>
      <c r="G123" s="400">
        <v>1647</v>
      </c>
      <c r="H123" s="394">
        <v>1450</v>
      </c>
      <c r="I123" s="395">
        <v>0</v>
      </c>
      <c r="J123" s="396">
        <v>2</v>
      </c>
      <c r="K123" s="259">
        <f t="shared" si="88"/>
        <v>1740</v>
      </c>
      <c r="L123" s="60">
        <f t="shared" si="89"/>
        <v>1647</v>
      </c>
      <c r="M123" s="260">
        <f t="shared" si="90"/>
        <v>0</v>
      </c>
      <c r="N123" s="15">
        <f t="shared" si="91"/>
        <v>0</v>
      </c>
      <c r="O123" s="60">
        <f t="shared" si="92"/>
        <v>197</v>
      </c>
      <c r="P123" s="261">
        <f t="shared" si="93"/>
        <v>394</v>
      </c>
      <c r="Q123" s="262">
        <f t="shared" si="94"/>
        <v>4728</v>
      </c>
      <c r="R123" s="262">
        <f t="shared" si="95"/>
        <v>1138.9752000000001</v>
      </c>
      <c r="S123" s="263">
        <f t="shared" si="96"/>
        <v>5866.9751999999999</v>
      </c>
    </row>
    <row r="124" spans="2:19" ht="15" x14ac:dyDescent="0.25">
      <c r="B124" s="403" t="s">
        <v>366</v>
      </c>
      <c r="C124" s="404" t="s">
        <v>21</v>
      </c>
      <c r="D124" s="404" t="s">
        <v>35</v>
      </c>
      <c r="E124" s="404" t="s">
        <v>321</v>
      </c>
      <c r="F124" s="404" t="s">
        <v>75</v>
      </c>
      <c r="G124" s="400">
        <v>1647</v>
      </c>
      <c r="H124" s="405">
        <v>1636</v>
      </c>
      <c r="I124" s="395">
        <v>0</v>
      </c>
      <c r="J124" s="406">
        <v>2</v>
      </c>
      <c r="K124" s="259">
        <f t="shared" si="88"/>
        <v>1963</v>
      </c>
      <c r="L124" s="60">
        <f t="shared" si="89"/>
        <v>1647</v>
      </c>
      <c r="M124" s="260">
        <f t="shared" si="90"/>
        <v>0</v>
      </c>
      <c r="N124" s="15">
        <f t="shared" si="91"/>
        <v>0</v>
      </c>
      <c r="O124" s="60">
        <f t="shared" si="92"/>
        <v>11</v>
      </c>
      <c r="P124" s="261">
        <f t="shared" si="93"/>
        <v>22</v>
      </c>
      <c r="Q124" s="262">
        <f t="shared" si="94"/>
        <v>264</v>
      </c>
      <c r="R124" s="262">
        <f t="shared" si="95"/>
        <v>63.5976</v>
      </c>
      <c r="S124" s="263">
        <f t="shared" si="96"/>
        <v>327.5976</v>
      </c>
    </row>
    <row r="125" spans="2:19" ht="15" x14ac:dyDescent="0.25">
      <c r="B125" s="403" t="s">
        <v>367</v>
      </c>
      <c r="C125" s="404" t="s">
        <v>21</v>
      </c>
      <c r="D125" s="404" t="s">
        <v>35</v>
      </c>
      <c r="E125" s="404" t="s">
        <v>321</v>
      </c>
      <c r="F125" s="404">
        <v>3</v>
      </c>
      <c r="G125" s="400">
        <v>1647</v>
      </c>
      <c r="H125" s="405">
        <v>1050</v>
      </c>
      <c r="I125" s="395">
        <v>0</v>
      </c>
      <c r="J125" s="406">
        <v>1</v>
      </c>
      <c r="K125" s="259">
        <f t="shared" si="88"/>
        <v>1260</v>
      </c>
      <c r="L125" s="60">
        <f t="shared" si="89"/>
        <v>1260</v>
      </c>
      <c r="M125" s="260">
        <f t="shared" si="90"/>
        <v>0</v>
      </c>
      <c r="N125" s="15">
        <f t="shared" si="91"/>
        <v>0</v>
      </c>
      <c r="O125" s="60">
        <f t="shared" si="92"/>
        <v>210</v>
      </c>
      <c r="P125" s="261">
        <f t="shared" si="93"/>
        <v>210</v>
      </c>
      <c r="Q125" s="262">
        <f t="shared" si="94"/>
        <v>2520</v>
      </c>
      <c r="R125" s="262">
        <f t="shared" si="95"/>
        <v>607.06799999999998</v>
      </c>
      <c r="S125" s="263">
        <f t="shared" si="96"/>
        <v>3127.0680000000002</v>
      </c>
    </row>
    <row r="126" spans="2:19" ht="30" x14ac:dyDescent="0.25">
      <c r="B126" s="403" t="s">
        <v>368</v>
      </c>
      <c r="C126" s="404" t="s">
        <v>349</v>
      </c>
      <c r="D126" s="404" t="s">
        <v>164</v>
      </c>
      <c r="E126" s="404" t="s">
        <v>324</v>
      </c>
      <c r="F126" s="404">
        <v>3</v>
      </c>
      <c r="G126" s="400">
        <v>1382</v>
      </c>
      <c r="H126" s="414">
        <v>1382</v>
      </c>
      <c r="I126" s="410">
        <v>276.39999999999998</v>
      </c>
      <c r="J126" s="406">
        <v>2</v>
      </c>
      <c r="K126" s="259">
        <f t="shared" si="88"/>
        <v>1658</v>
      </c>
      <c r="L126" s="60">
        <f t="shared" si="89"/>
        <v>1382</v>
      </c>
      <c r="M126" s="260">
        <f t="shared" si="90"/>
        <v>0</v>
      </c>
      <c r="N126" s="15">
        <f t="shared" si="91"/>
        <v>276.39999999999998</v>
      </c>
      <c r="O126" s="60">
        <f t="shared" si="92"/>
        <v>0</v>
      </c>
      <c r="P126" s="261">
        <f t="shared" si="93"/>
        <v>0</v>
      </c>
      <c r="Q126" s="262">
        <f t="shared" si="94"/>
        <v>0</v>
      </c>
      <c r="R126" s="262">
        <f t="shared" si="95"/>
        <v>0</v>
      </c>
      <c r="S126" s="263">
        <f t="shared" si="96"/>
        <v>0</v>
      </c>
    </row>
    <row r="127" spans="2:19" ht="30" x14ac:dyDescent="0.25">
      <c r="B127" s="403" t="s">
        <v>369</v>
      </c>
      <c r="C127" s="404" t="s">
        <v>21</v>
      </c>
      <c r="D127" s="404" t="s">
        <v>14</v>
      </c>
      <c r="E127" s="404" t="s">
        <v>124</v>
      </c>
      <c r="F127" s="404">
        <v>3</v>
      </c>
      <c r="G127" s="400">
        <v>1287</v>
      </c>
      <c r="H127" s="414">
        <v>1050</v>
      </c>
      <c r="I127" s="410">
        <v>0</v>
      </c>
      <c r="J127" s="406">
        <v>1</v>
      </c>
      <c r="K127" s="259">
        <f t="shared" si="88"/>
        <v>1260</v>
      </c>
      <c r="L127" s="60">
        <f t="shared" si="89"/>
        <v>1260</v>
      </c>
      <c r="M127" s="260">
        <f t="shared" si="90"/>
        <v>0</v>
      </c>
      <c r="N127" s="15">
        <f t="shared" si="91"/>
        <v>0</v>
      </c>
      <c r="O127" s="60">
        <f t="shared" si="92"/>
        <v>210</v>
      </c>
      <c r="P127" s="261">
        <f t="shared" si="93"/>
        <v>210</v>
      </c>
      <c r="Q127" s="262">
        <f t="shared" si="94"/>
        <v>2520</v>
      </c>
      <c r="R127" s="262">
        <f t="shared" si="95"/>
        <v>607.06799999999998</v>
      </c>
      <c r="S127" s="263">
        <f t="shared" si="96"/>
        <v>3127.0680000000002</v>
      </c>
    </row>
    <row r="128" spans="2:19" ht="15" x14ac:dyDescent="0.25">
      <c r="B128" s="403" t="s">
        <v>370</v>
      </c>
      <c r="C128" s="404" t="s">
        <v>349</v>
      </c>
      <c r="D128" s="404" t="s">
        <v>42</v>
      </c>
      <c r="E128" s="404" t="s">
        <v>124</v>
      </c>
      <c r="F128" s="404">
        <v>1</v>
      </c>
      <c r="G128" s="400">
        <v>940</v>
      </c>
      <c r="H128" s="414">
        <v>616</v>
      </c>
      <c r="I128" s="410">
        <v>306.44</v>
      </c>
      <c r="J128" s="406">
        <v>44.5</v>
      </c>
      <c r="K128" s="259">
        <f t="shared" si="88"/>
        <v>739</v>
      </c>
      <c r="L128" s="60">
        <f t="shared" si="89"/>
        <v>739</v>
      </c>
      <c r="M128" s="260">
        <f t="shared" si="90"/>
        <v>61.188506493506509</v>
      </c>
      <c r="N128" s="15">
        <f t="shared" si="91"/>
        <v>367.62850649350651</v>
      </c>
      <c r="O128" s="60">
        <f t="shared" si="92"/>
        <v>184.18850649350651</v>
      </c>
      <c r="P128" s="261">
        <f t="shared" si="93"/>
        <v>8196.3885389610405</v>
      </c>
      <c r="Q128" s="262">
        <f t="shared" si="94"/>
        <v>98356.662467532486</v>
      </c>
      <c r="R128" s="262">
        <f t="shared" si="95"/>
        <v>23694.119988428574</v>
      </c>
      <c r="S128" s="263">
        <f t="shared" si="96"/>
        <v>122050.78245596106</v>
      </c>
    </row>
    <row r="129" spans="2:19" ht="15" x14ac:dyDescent="0.25">
      <c r="B129" s="411" t="s">
        <v>307</v>
      </c>
      <c r="C129" s="412" t="s">
        <v>349</v>
      </c>
      <c r="D129" s="412" t="s">
        <v>42</v>
      </c>
      <c r="E129" s="412" t="s">
        <v>124</v>
      </c>
      <c r="F129" s="412">
        <v>2</v>
      </c>
      <c r="G129" s="400">
        <v>1115</v>
      </c>
      <c r="H129" s="414">
        <v>669</v>
      </c>
      <c r="I129" s="410">
        <v>332.97</v>
      </c>
      <c r="J129" s="406">
        <v>15</v>
      </c>
      <c r="K129" s="259">
        <f t="shared" si="88"/>
        <v>803</v>
      </c>
      <c r="L129" s="60">
        <f t="shared" si="89"/>
        <v>803</v>
      </c>
      <c r="M129" s="260">
        <f t="shared" si="90"/>
        <v>66.693542600896876</v>
      </c>
      <c r="N129" s="15">
        <f t="shared" si="91"/>
        <v>399.6635426008969</v>
      </c>
      <c r="O129" s="60">
        <f t="shared" si="92"/>
        <v>200.69354260089688</v>
      </c>
      <c r="P129" s="261">
        <f t="shared" si="93"/>
        <v>3010.4031390134533</v>
      </c>
      <c r="Q129" s="262">
        <f t="shared" si="94"/>
        <v>36124.837668161439</v>
      </c>
      <c r="R129" s="262">
        <f t="shared" si="95"/>
        <v>8702.4733942600906</v>
      </c>
      <c r="S129" s="263">
        <f t="shared" si="96"/>
        <v>44827.311062421533</v>
      </c>
    </row>
    <row r="130" spans="2:19" ht="15" x14ac:dyDescent="0.25">
      <c r="B130" s="411" t="s">
        <v>307</v>
      </c>
      <c r="C130" s="412" t="s">
        <v>349</v>
      </c>
      <c r="D130" s="412" t="s">
        <v>42</v>
      </c>
      <c r="E130" s="412" t="s">
        <v>124</v>
      </c>
      <c r="F130" s="412">
        <v>3</v>
      </c>
      <c r="G130" s="400">
        <v>1287</v>
      </c>
      <c r="H130" s="414">
        <v>738</v>
      </c>
      <c r="I130" s="410">
        <v>367.09</v>
      </c>
      <c r="J130" s="406">
        <v>6.5</v>
      </c>
      <c r="K130" s="259">
        <f t="shared" si="88"/>
        <v>886</v>
      </c>
      <c r="L130" s="60">
        <f t="shared" si="89"/>
        <v>886</v>
      </c>
      <c r="M130" s="260">
        <f t="shared" si="90"/>
        <v>73.616964769647723</v>
      </c>
      <c r="N130" s="15">
        <f t="shared" si="91"/>
        <v>440.7069647696477</v>
      </c>
      <c r="O130" s="60">
        <f t="shared" si="92"/>
        <v>221.61696476964772</v>
      </c>
      <c r="P130" s="261">
        <f t="shared" si="93"/>
        <v>1440.5102710027102</v>
      </c>
      <c r="Q130" s="262">
        <f t="shared" si="94"/>
        <v>17286.123252032521</v>
      </c>
      <c r="R130" s="262">
        <f t="shared" si="95"/>
        <v>4164.2270914146347</v>
      </c>
      <c r="S130" s="263">
        <f t="shared" si="96"/>
        <v>21450.350343447157</v>
      </c>
    </row>
    <row r="131" spans="2:19" ht="15" x14ac:dyDescent="0.25">
      <c r="B131" s="411" t="s">
        <v>371</v>
      </c>
      <c r="C131" s="412" t="s">
        <v>349</v>
      </c>
      <c r="D131" s="412" t="s">
        <v>42</v>
      </c>
      <c r="E131" s="412" t="s">
        <v>124</v>
      </c>
      <c r="F131" s="412">
        <v>2</v>
      </c>
      <c r="G131" s="400">
        <v>1115</v>
      </c>
      <c r="H131" s="414">
        <v>669</v>
      </c>
      <c r="I131" s="410">
        <v>332.97</v>
      </c>
      <c r="J131" s="406">
        <v>1</v>
      </c>
      <c r="K131" s="259">
        <f t="shared" si="88"/>
        <v>803</v>
      </c>
      <c r="L131" s="60">
        <f t="shared" si="89"/>
        <v>803</v>
      </c>
      <c r="M131" s="260">
        <f t="shared" si="90"/>
        <v>66.693542600896876</v>
      </c>
      <c r="N131" s="15">
        <f t="shared" si="91"/>
        <v>399.6635426008969</v>
      </c>
      <c r="O131" s="60">
        <f t="shared" si="92"/>
        <v>200.69354260089688</v>
      </c>
      <c r="P131" s="261">
        <f t="shared" si="93"/>
        <v>200.69354260089688</v>
      </c>
      <c r="Q131" s="262">
        <f t="shared" si="94"/>
        <v>2408.3225112107625</v>
      </c>
      <c r="R131" s="262">
        <f t="shared" si="95"/>
        <v>580.16489295067265</v>
      </c>
      <c r="S131" s="263">
        <f t="shared" si="96"/>
        <v>2988.4874041614353</v>
      </c>
    </row>
    <row r="132" spans="2:19" ht="15" x14ac:dyDescent="0.25">
      <c r="B132" s="411" t="s">
        <v>371</v>
      </c>
      <c r="C132" s="412" t="s">
        <v>349</v>
      </c>
      <c r="D132" s="412" t="s">
        <v>42</v>
      </c>
      <c r="E132" s="412" t="s">
        <v>124</v>
      </c>
      <c r="F132" s="412">
        <v>3</v>
      </c>
      <c r="G132" s="400">
        <v>1287</v>
      </c>
      <c r="H132" s="414">
        <v>738</v>
      </c>
      <c r="I132" s="410">
        <v>367.09</v>
      </c>
      <c r="J132" s="406">
        <v>16.25</v>
      </c>
      <c r="K132" s="259">
        <f t="shared" si="88"/>
        <v>886</v>
      </c>
      <c r="L132" s="60">
        <f t="shared" si="89"/>
        <v>886</v>
      </c>
      <c r="M132" s="260">
        <f t="shared" si="90"/>
        <v>73.616964769647723</v>
      </c>
      <c r="N132" s="15">
        <f t="shared" si="91"/>
        <v>440.7069647696477</v>
      </c>
      <c r="O132" s="60">
        <f t="shared" si="92"/>
        <v>221.61696476964772</v>
      </c>
      <c r="P132" s="261">
        <f t="shared" si="93"/>
        <v>3601.2756775067755</v>
      </c>
      <c r="Q132" s="262">
        <f t="shared" si="94"/>
        <v>43215.308130081306</v>
      </c>
      <c r="R132" s="262">
        <f t="shared" si="95"/>
        <v>10410.567728536587</v>
      </c>
      <c r="S132" s="263">
        <f t="shared" si="96"/>
        <v>53625.875858617896</v>
      </c>
    </row>
    <row r="133" spans="2:19" ht="15" x14ac:dyDescent="0.25">
      <c r="B133" s="413" t="s">
        <v>372</v>
      </c>
      <c r="C133" s="412" t="s">
        <v>349</v>
      </c>
      <c r="D133" s="412" t="s">
        <v>42</v>
      </c>
      <c r="E133" s="412" t="s">
        <v>124</v>
      </c>
      <c r="F133" s="412">
        <v>2</v>
      </c>
      <c r="G133" s="400">
        <v>1115</v>
      </c>
      <c r="H133" s="414">
        <v>669</v>
      </c>
      <c r="I133" s="410">
        <v>332.97</v>
      </c>
      <c r="J133" s="406">
        <v>3</v>
      </c>
      <c r="K133" s="259">
        <f t="shared" si="88"/>
        <v>803</v>
      </c>
      <c r="L133" s="60">
        <f t="shared" si="89"/>
        <v>803</v>
      </c>
      <c r="M133" s="260">
        <f t="shared" si="90"/>
        <v>66.693542600896876</v>
      </c>
      <c r="N133" s="15">
        <f t="shared" si="91"/>
        <v>399.6635426008969</v>
      </c>
      <c r="O133" s="60">
        <f t="shared" si="92"/>
        <v>200.69354260089688</v>
      </c>
      <c r="P133" s="261">
        <f t="shared" si="93"/>
        <v>602.08062780269063</v>
      </c>
      <c r="Q133" s="262">
        <f t="shared" si="94"/>
        <v>7224.9675336322871</v>
      </c>
      <c r="R133" s="262">
        <f t="shared" si="95"/>
        <v>1740.4946788520181</v>
      </c>
      <c r="S133" s="263">
        <f t="shared" si="96"/>
        <v>8965.4622124843045</v>
      </c>
    </row>
    <row r="134" spans="2:19" ht="30" x14ac:dyDescent="0.25">
      <c r="B134" s="411" t="s">
        <v>373</v>
      </c>
      <c r="C134" s="412" t="s">
        <v>349</v>
      </c>
      <c r="D134" s="412" t="s">
        <v>164</v>
      </c>
      <c r="E134" s="412" t="s">
        <v>324</v>
      </c>
      <c r="F134" s="412">
        <v>3</v>
      </c>
      <c r="G134" s="400">
        <v>1382</v>
      </c>
      <c r="H134" s="414">
        <v>738</v>
      </c>
      <c r="I134" s="410">
        <v>367.09</v>
      </c>
      <c r="J134" s="406">
        <v>9</v>
      </c>
      <c r="K134" s="259">
        <f t="shared" si="88"/>
        <v>886</v>
      </c>
      <c r="L134" s="60">
        <f t="shared" si="89"/>
        <v>886</v>
      </c>
      <c r="M134" s="260">
        <f t="shared" si="90"/>
        <v>73.616964769647723</v>
      </c>
      <c r="N134" s="15">
        <f t="shared" si="91"/>
        <v>440.7069647696477</v>
      </c>
      <c r="O134" s="60">
        <f t="shared" si="92"/>
        <v>221.61696476964772</v>
      </c>
      <c r="P134" s="261">
        <f t="shared" si="93"/>
        <v>1994.5526829268294</v>
      </c>
      <c r="Q134" s="262">
        <f t="shared" si="94"/>
        <v>23934.632195121954</v>
      </c>
      <c r="R134" s="262">
        <f t="shared" si="95"/>
        <v>5765.8528958048792</v>
      </c>
      <c r="S134" s="263">
        <f t="shared" si="96"/>
        <v>29700.485090926835</v>
      </c>
    </row>
    <row r="135" spans="2:19" ht="15" x14ac:dyDescent="0.25">
      <c r="B135" s="411" t="s">
        <v>374</v>
      </c>
      <c r="C135" s="412" t="s">
        <v>349</v>
      </c>
      <c r="D135" s="412" t="s">
        <v>42</v>
      </c>
      <c r="E135" s="412" t="s">
        <v>124</v>
      </c>
      <c r="F135" s="412">
        <v>3</v>
      </c>
      <c r="G135" s="400">
        <v>1287</v>
      </c>
      <c r="H135" s="414">
        <v>777</v>
      </c>
      <c r="I135" s="410">
        <v>332.16750000000002</v>
      </c>
      <c r="J135" s="406">
        <v>4.25</v>
      </c>
      <c r="K135" s="259">
        <f t="shared" si="88"/>
        <v>932</v>
      </c>
      <c r="L135" s="60">
        <f t="shared" si="89"/>
        <v>932</v>
      </c>
      <c r="M135" s="260">
        <f t="shared" si="90"/>
        <v>66.262500000000045</v>
      </c>
      <c r="N135" s="15">
        <f t="shared" si="91"/>
        <v>398.43000000000006</v>
      </c>
      <c r="O135" s="60">
        <f t="shared" si="92"/>
        <v>221.26250000000005</v>
      </c>
      <c r="P135" s="261">
        <f t="shared" si="93"/>
        <v>940.36562500000014</v>
      </c>
      <c r="Q135" s="262">
        <f t="shared" si="94"/>
        <v>11284.387500000001</v>
      </c>
      <c r="R135" s="262">
        <f t="shared" si="95"/>
        <v>2718.40894875</v>
      </c>
      <c r="S135" s="263">
        <f t="shared" si="96"/>
        <v>14002.796448750001</v>
      </c>
    </row>
    <row r="136" spans="2:19" ht="15" x14ac:dyDescent="0.25">
      <c r="B136" s="411" t="s">
        <v>375</v>
      </c>
      <c r="C136" s="412" t="s">
        <v>349</v>
      </c>
      <c r="D136" s="412" t="s">
        <v>164</v>
      </c>
      <c r="E136" s="412" t="s">
        <v>324</v>
      </c>
      <c r="F136" s="412">
        <v>3</v>
      </c>
      <c r="G136" s="400">
        <v>1382</v>
      </c>
      <c r="H136" s="414">
        <v>806</v>
      </c>
      <c r="I136" s="410">
        <v>344.565</v>
      </c>
      <c r="J136" s="406">
        <v>5.25</v>
      </c>
      <c r="K136" s="259">
        <f t="shared" si="88"/>
        <v>967</v>
      </c>
      <c r="L136" s="60">
        <f t="shared" si="89"/>
        <v>967</v>
      </c>
      <c r="M136" s="260">
        <f t="shared" si="90"/>
        <v>68.827499999999986</v>
      </c>
      <c r="N136" s="15">
        <f t="shared" si="91"/>
        <v>413.39249999999998</v>
      </c>
      <c r="O136" s="60">
        <f t="shared" si="92"/>
        <v>229.82749999999999</v>
      </c>
      <c r="P136" s="261">
        <f t="shared" si="93"/>
        <v>1206.5943749999999</v>
      </c>
      <c r="Q136" s="262">
        <f t="shared" si="94"/>
        <v>14479.1325</v>
      </c>
      <c r="R136" s="262">
        <f t="shared" si="95"/>
        <v>3488.0230192499998</v>
      </c>
      <c r="S136" s="263">
        <f t="shared" si="96"/>
        <v>17967.155519249998</v>
      </c>
    </row>
    <row r="137" spans="2:19" ht="15" x14ac:dyDescent="0.25">
      <c r="B137" s="411" t="s">
        <v>376</v>
      </c>
      <c r="C137" s="412" t="s">
        <v>349</v>
      </c>
      <c r="D137" s="412" t="s">
        <v>164</v>
      </c>
      <c r="E137" s="412" t="s">
        <v>324</v>
      </c>
      <c r="F137" s="412">
        <v>3</v>
      </c>
      <c r="G137" s="400">
        <v>1382</v>
      </c>
      <c r="H137" s="414">
        <v>1053</v>
      </c>
      <c r="I137" s="410">
        <v>523.87</v>
      </c>
      <c r="J137" s="406">
        <v>106.5</v>
      </c>
      <c r="K137" s="259">
        <f t="shared" si="88"/>
        <v>1264</v>
      </c>
      <c r="L137" s="60">
        <f t="shared" si="89"/>
        <v>1264</v>
      </c>
      <c r="M137" s="260">
        <f t="shared" si="90"/>
        <v>104.97300094966761</v>
      </c>
      <c r="N137" s="15">
        <f t="shared" si="91"/>
        <v>628.84300094966761</v>
      </c>
      <c r="O137" s="60">
        <f t="shared" si="92"/>
        <v>315.97300094966761</v>
      </c>
      <c r="P137" s="261">
        <f t="shared" si="93"/>
        <v>33651.1246011396</v>
      </c>
      <c r="Q137" s="262">
        <f t="shared" si="94"/>
        <v>403813.4952136752</v>
      </c>
      <c r="R137" s="262">
        <f t="shared" si="95"/>
        <v>97278.670996974353</v>
      </c>
      <c r="S137" s="263">
        <f t="shared" si="96"/>
        <v>501092.16621064954</v>
      </c>
    </row>
    <row r="138" spans="2:19" ht="15" x14ac:dyDescent="0.25">
      <c r="B138" s="411" t="s">
        <v>375</v>
      </c>
      <c r="C138" s="412" t="s">
        <v>349</v>
      </c>
      <c r="D138" s="412" t="s">
        <v>164</v>
      </c>
      <c r="E138" s="412" t="s">
        <v>324</v>
      </c>
      <c r="F138" s="412">
        <v>3</v>
      </c>
      <c r="G138" s="400">
        <v>1382</v>
      </c>
      <c r="H138" s="414">
        <v>1146</v>
      </c>
      <c r="I138" s="410">
        <v>570.14</v>
      </c>
      <c r="J138" s="406">
        <v>1.25</v>
      </c>
      <c r="K138" s="259">
        <f t="shared" si="88"/>
        <v>1375</v>
      </c>
      <c r="L138" s="60">
        <f t="shared" si="89"/>
        <v>1375</v>
      </c>
      <c r="M138" s="260">
        <f t="shared" si="90"/>
        <v>113.92849912739962</v>
      </c>
      <c r="N138" s="15">
        <f t="shared" si="91"/>
        <v>684.0684991273996</v>
      </c>
      <c r="O138" s="60">
        <f t="shared" si="92"/>
        <v>342.92849912739962</v>
      </c>
      <c r="P138" s="261">
        <f t="shared" si="93"/>
        <v>428.66062390924952</v>
      </c>
      <c r="Q138" s="262">
        <f t="shared" si="94"/>
        <v>5143.927486910994</v>
      </c>
      <c r="R138" s="262">
        <f t="shared" si="95"/>
        <v>1239.1721315968584</v>
      </c>
      <c r="S138" s="263">
        <f t="shared" si="96"/>
        <v>6383.0996185078529</v>
      </c>
    </row>
    <row r="139" spans="2:19" ht="30" x14ac:dyDescent="0.25">
      <c r="B139" s="411" t="s">
        <v>377</v>
      </c>
      <c r="C139" s="412" t="s">
        <v>349</v>
      </c>
      <c r="D139" s="412" t="s">
        <v>378</v>
      </c>
      <c r="E139" s="412" t="s">
        <v>321</v>
      </c>
      <c r="F139" s="412">
        <v>3</v>
      </c>
      <c r="G139" s="400">
        <v>1647</v>
      </c>
      <c r="H139" s="414">
        <v>1200</v>
      </c>
      <c r="I139" s="410">
        <v>597</v>
      </c>
      <c r="J139" s="406">
        <v>12.5</v>
      </c>
      <c r="K139" s="259">
        <f t="shared" si="88"/>
        <v>1440</v>
      </c>
      <c r="L139" s="60">
        <f t="shared" si="89"/>
        <v>1440</v>
      </c>
      <c r="M139" s="260">
        <f t="shared" si="90"/>
        <v>119.39999999999998</v>
      </c>
      <c r="N139" s="15">
        <f t="shared" si="91"/>
        <v>716.4</v>
      </c>
      <c r="O139" s="60">
        <f t="shared" si="92"/>
        <v>359.4</v>
      </c>
      <c r="P139" s="261">
        <f t="shared" si="93"/>
        <v>4492.5</v>
      </c>
      <c r="Q139" s="262">
        <f t="shared" si="94"/>
        <v>53910</v>
      </c>
      <c r="R139" s="262">
        <f t="shared" si="95"/>
        <v>12986.919</v>
      </c>
      <c r="S139" s="263">
        <f t="shared" si="96"/>
        <v>66896.918999999994</v>
      </c>
    </row>
    <row r="140" spans="2:19" ht="30" x14ac:dyDescent="0.25">
      <c r="B140" s="411" t="s">
        <v>379</v>
      </c>
      <c r="C140" s="412" t="s">
        <v>349</v>
      </c>
      <c r="D140" s="412" t="s">
        <v>35</v>
      </c>
      <c r="E140" s="412" t="s">
        <v>321</v>
      </c>
      <c r="F140" s="415">
        <v>3</v>
      </c>
      <c r="G140" s="400">
        <v>1647</v>
      </c>
      <c r="H140" s="414">
        <v>1200</v>
      </c>
      <c r="I140" s="410">
        <v>597</v>
      </c>
      <c r="J140" s="406">
        <v>6.75</v>
      </c>
      <c r="K140" s="259">
        <f t="shared" si="88"/>
        <v>1440</v>
      </c>
      <c r="L140" s="60">
        <f t="shared" si="89"/>
        <v>1440</v>
      </c>
      <c r="M140" s="260">
        <f t="shared" si="90"/>
        <v>119.39999999999998</v>
      </c>
      <c r="N140" s="15">
        <f t="shared" si="91"/>
        <v>716.4</v>
      </c>
      <c r="O140" s="60">
        <f t="shared" si="92"/>
        <v>359.4</v>
      </c>
      <c r="P140" s="261">
        <f t="shared" si="93"/>
        <v>2425.9499999999998</v>
      </c>
      <c r="Q140" s="262">
        <f t="shared" si="94"/>
        <v>29111.399999999998</v>
      </c>
      <c r="R140" s="262">
        <f t="shared" si="95"/>
        <v>7012.9362599999995</v>
      </c>
      <c r="S140" s="263">
        <f t="shared" si="96"/>
        <v>36124.336259999996</v>
      </c>
    </row>
    <row r="141" spans="2:19" ht="15" x14ac:dyDescent="0.25">
      <c r="B141" s="411" t="s">
        <v>380</v>
      </c>
      <c r="C141" s="412" t="s">
        <v>349</v>
      </c>
      <c r="D141" s="412" t="s">
        <v>39</v>
      </c>
      <c r="E141" s="412" t="s">
        <v>342</v>
      </c>
      <c r="F141" s="412">
        <v>3</v>
      </c>
      <c r="G141" s="400">
        <v>1917</v>
      </c>
      <c r="H141" s="414">
        <v>1385</v>
      </c>
      <c r="I141" s="410">
        <v>439.74</v>
      </c>
      <c r="J141" s="406">
        <v>4.5</v>
      </c>
      <c r="K141" s="259">
        <f t="shared" si="88"/>
        <v>1662</v>
      </c>
      <c r="L141" s="60">
        <f t="shared" si="89"/>
        <v>1662</v>
      </c>
      <c r="M141" s="260">
        <f t="shared" si="90"/>
        <v>87.948000000000093</v>
      </c>
      <c r="N141" s="15">
        <f t="shared" si="91"/>
        <v>527.6880000000001</v>
      </c>
      <c r="O141" s="60">
        <f t="shared" si="92"/>
        <v>364.94800000000009</v>
      </c>
      <c r="P141" s="261">
        <f t="shared" si="93"/>
        <v>1642.2660000000005</v>
      </c>
      <c r="Q141" s="262">
        <f t="shared" si="94"/>
        <v>19707.192000000006</v>
      </c>
      <c r="R141" s="262">
        <f t="shared" si="95"/>
        <v>4747.4625528000015</v>
      </c>
      <c r="S141" s="263">
        <f t="shared" si="96"/>
        <v>24454.654552800006</v>
      </c>
    </row>
    <row r="142" spans="2:19" ht="15" x14ac:dyDescent="0.25">
      <c r="B142" s="411" t="s">
        <v>381</v>
      </c>
      <c r="C142" s="412" t="s">
        <v>349</v>
      </c>
      <c r="D142" s="412" t="s">
        <v>39</v>
      </c>
      <c r="E142" s="412" t="s">
        <v>342</v>
      </c>
      <c r="F142" s="412">
        <v>3</v>
      </c>
      <c r="G142" s="400">
        <v>1917</v>
      </c>
      <c r="H142" s="414">
        <v>1289</v>
      </c>
      <c r="I142" s="410">
        <v>409.19</v>
      </c>
      <c r="J142" s="406">
        <v>13.5</v>
      </c>
      <c r="K142" s="259">
        <f t="shared" si="88"/>
        <v>1547</v>
      </c>
      <c r="L142" s="60">
        <f t="shared" si="89"/>
        <v>1547</v>
      </c>
      <c r="M142" s="260">
        <f t="shared" si="90"/>
        <v>81.901489526764919</v>
      </c>
      <c r="N142" s="15">
        <f t="shared" si="91"/>
        <v>491.09148952676492</v>
      </c>
      <c r="O142" s="60">
        <f t="shared" si="92"/>
        <v>339.90148952676492</v>
      </c>
      <c r="P142" s="261">
        <f t="shared" si="93"/>
        <v>4588.6701086113262</v>
      </c>
      <c r="Q142" s="262">
        <f t="shared" si="94"/>
        <v>55064.041303335915</v>
      </c>
      <c r="R142" s="262">
        <f t="shared" si="95"/>
        <v>13264.927549973621</v>
      </c>
      <c r="S142" s="263">
        <f t="shared" si="96"/>
        <v>68328.968853309532</v>
      </c>
    </row>
    <row r="143" spans="2:19" ht="30" x14ac:dyDescent="0.25">
      <c r="B143" s="411" t="s">
        <v>382</v>
      </c>
      <c r="C143" s="412" t="s">
        <v>349</v>
      </c>
      <c r="D143" s="412" t="s">
        <v>39</v>
      </c>
      <c r="E143" s="412" t="s">
        <v>342</v>
      </c>
      <c r="F143" s="412">
        <v>3</v>
      </c>
      <c r="G143" s="400">
        <v>1917</v>
      </c>
      <c r="H143" s="414">
        <v>1289</v>
      </c>
      <c r="I143" s="410">
        <v>0</v>
      </c>
      <c r="J143" s="406">
        <v>1</v>
      </c>
      <c r="K143" s="259">
        <f t="shared" si="88"/>
        <v>1547</v>
      </c>
      <c r="L143" s="60">
        <f t="shared" si="89"/>
        <v>1547</v>
      </c>
      <c r="M143" s="260">
        <f t="shared" si="90"/>
        <v>0</v>
      </c>
      <c r="N143" s="15">
        <f t="shared" si="91"/>
        <v>0</v>
      </c>
      <c r="O143" s="60">
        <f t="shared" si="92"/>
        <v>258</v>
      </c>
      <c r="P143" s="261">
        <f t="shared" si="93"/>
        <v>258</v>
      </c>
      <c r="Q143" s="262">
        <f t="shared" si="94"/>
        <v>3096</v>
      </c>
      <c r="R143" s="262">
        <f t="shared" si="95"/>
        <v>745.82640000000004</v>
      </c>
      <c r="S143" s="263">
        <f t="shared" si="96"/>
        <v>3841.8263999999999</v>
      </c>
    </row>
    <row r="144" spans="2:19" ht="15" x14ac:dyDescent="0.25">
      <c r="B144" s="411" t="s">
        <v>383</v>
      </c>
      <c r="C144" s="412" t="s">
        <v>349</v>
      </c>
      <c r="D144" s="412" t="s">
        <v>39</v>
      </c>
      <c r="E144" s="412" t="s">
        <v>342</v>
      </c>
      <c r="F144" s="412">
        <v>3</v>
      </c>
      <c r="G144" s="400">
        <v>1917</v>
      </c>
      <c r="H144" s="414">
        <v>1344</v>
      </c>
      <c r="I144" s="410">
        <v>426.72</v>
      </c>
      <c r="J144" s="406">
        <v>13.5</v>
      </c>
      <c r="K144" s="259">
        <f t="shared" si="88"/>
        <v>1613</v>
      </c>
      <c r="L144" s="60">
        <f t="shared" si="89"/>
        <v>1613</v>
      </c>
      <c r="M144" s="260">
        <f t="shared" si="90"/>
        <v>85.407500000000027</v>
      </c>
      <c r="N144" s="15">
        <f t="shared" si="91"/>
        <v>512.12750000000005</v>
      </c>
      <c r="O144" s="60">
        <f t="shared" si="92"/>
        <v>354.40750000000003</v>
      </c>
      <c r="P144" s="261">
        <f t="shared" si="93"/>
        <v>4784.5012500000003</v>
      </c>
      <c r="Q144" s="262">
        <f t="shared" si="94"/>
        <v>57414.014999999999</v>
      </c>
      <c r="R144" s="262">
        <f t="shared" si="95"/>
        <v>13831.0362135</v>
      </c>
      <c r="S144" s="263">
        <f t="shared" si="96"/>
        <v>71245.051213500003</v>
      </c>
    </row>
    <row r="145" spans="2:19" ht="15" x14ac:dyDescent="0.25">
      <c r="B145" s="416" t="s">
        <v>384</v>
      </c>
      <c r="C145" s="417" t="s">
        <v>21</v>
      </c>
      <c r="D145" s="417" t="s">
        <v>35</v>
      </c>
      <c r="E145" s="417" t="s">
        <v>321</v>
      </c>
      <c r="F145" s="417" t="s">
        <v>75</v>
      </c>
      <c r="G145" s="418">
        <v>1647</v>
      </c>
      <c r="H145" s="571">
        <v>1322</v>
      </c>
      <c r="I145" s="410">
        <v>551.94000000000005</v>
      </c>
      <c r="J145" s="402">
        <v>5</v>
      </c>
      <c r="K145" s="259">
        <f t="shared" si="88"/>
        <v>1586</v>
      </c>
      <c r="L145" s="60">
        <f t="shared" si="89"/>
        <v>1586</v>
      </c>
      <c r="M145" s="260">
        <f t="shared" si="90"/>
        <v>110.22099848714072</v>
      </c>
      <c r="N145" s="15">
        <f t="shared" si="91"/>
        <v>662.16099848714077</v>
      </c>
      <c r="O145" s="60">
        <f t="shared" si="92"/>
        <v>374.22099848714072</v>
      </c>
      <c r="P145" s="261">
        <f t="shared" si="93"/>
        <v>1871.1049924357035</v>
      </c>
      <c r="Q145" s="262">
        <f t="shared" si="94"/>
        <v>22453.259909228444</v>
      </c>
      <c r="R145" s="262">
        <f t="shared" si="95"/>
        <v>5408.9903121331317</v>
      </c>
      <c r="S145" s="263">
        <f t="shared" si="96"/>
        <v>27862.250221361573</v>
      </c>
    </row>
    <row r="146" spans="2:19" ht="30" x14ac:dyDescent="0.25">
      <c r="B146" s="416" t="s">
        <v>385</v>
      </c>
      <c r="C146" s="417" t="s">
        <v>21</v>
      </c>
      <c r="D146" s="417" t="s">
        <v>35</v>
      </c>
      <c r="E146" s="417" t="s">
        <v>321</v>
      </c>
      <c r="F146" s="417" t="s">
        <v>75</v>
      </c>
      <c r="G146" s="418">
        <v>1647</v>
      </c>
      <c r="H146" s="571">
        <v>1322</v>
      </c>
      <c r="I146" s="410">
        <v>551.94000000000005</v>
      </c>
      <c r="J146" s="402">
        <v>5</v>
      </c>
      <c r="K146" s="259">
        <f t="shared" si="88"/>
        <v>1586</v>
      </c>
      <c r="L146" s="60">
        <f t="shared" si="89"/>
        <v>1586</v>
      </c>
      <c r="M146" s="260">
        <f t="shared" si="90"/>
        <v>110.22099848714072</v>
      </c>
      <c r="N146" s="15">
        <f t="shared" si="91"/>
        <v>662.16099848714077</v>
      </c>
      <c r="O146" s="60">
        <f t="shared" si="92"/>
        <v>374.22099848714072</v>
      </c>
      <c r="P146" s="261">
        <f t="shared" si="93"/>
        <v>1871.1049924357035</v>
      </c>
      <c r="Q146" s="262">
        <f t="shared" si="94"/>
        <v>22453.259909228444</v>
      </c>
      <c r="R146" s="262">
        <f t="shared" si="95"/>
        <v>5408.9903121331317</v>
      </c>
      <c r="S146" s="263">
        <f t="shared" si="96"/>
        <v>27862.250221361573</v>
      </c>
    </row>
    <row r="147" spans="2:19" ht="15" x14ac:dyDescent="0.25">
      <c r="B147" s="416" t="s">
        <v>386</v>
      </c>
      <c r="C147" s="417" t="s">
        <v>21</v>
      </c>
      <c r="D147" s="417" t="s">
        <v>35</v>
      </c>
      <c r="E147" s="417" t="s">
        <v>321</v>
      </c>
      <c r="F147" s="417" t="s">
        <v>75</v>
      </c>
      <c r="G147" s="418">
        <v>1647</v>
      </c>
      <c r="H147" s="434">
        <v>1322</v>
      </c>
      <c r="I147" s="395">
        <v>551.94000000000005</v>
      </c>
      <c r="J147" s="402">
        <v>5</v>
      </c>
      <c r="K147" s="259">
        <f t="shared" si="88"/>
        <v>1586</v>
      </c>
      <c r="L147" s="60">
        <f t="shared" si="89"/>
        <v>1586</v>
      </c>
      <c r="M147" s="260">
        <f t="shared" si="90"/>
        <v>110.22099848714072</v>
      </c>
      <c r="N147" s="15">
        <f t="shared" si="91"/>
        <v>662.16099848714077</v>
      </c>
      <c r="O147" s="60">
        <f t="shared" si="92"/>
        <v>374.22099848714072</v>
      </c>
      <c r="P147" s="261">
        <f t="shared" si="93"/>
        <v>1871.1049924357035</v>
      </c>
      <c r="Q147" s="262">
        <f t="shared" si="94"/>
        <v>22453.259909228444</v>
      </c>
      <c r="R147" s="262">
        <f t="shared" si="95"/>
        <v>5408.9903121331317</v>
      </c>
      <c r="S147" s="263">
        <f t="shared" si="96"/>
        <v>27862.250221361573</v>
      </c>
    </row>
    <row r="148" spans="2:19" ht="15" x14ac:dyDescent="0.25">
      <c r="B148" s="416" t="s">
        <v>387</v>
      </c>
      <c r="C148" s="417" t="s">
        <v>21</v>
      </c>
      <c r="D148" s="417" t="s">
        <v>35</v>
      </c>
      <c r="E148" s="417" t="s">
        <v>321</v>
      </c>
      <c r="F148" s="417" t="s">
        <v>75</v>
      </c>
      <c r="G148" s="418">
        <v>1647</v>
      </c>
      <c r="H148" s="434">
        <v>1612</v>
      </c>
      <c r="I148" s="395">
        <v>0</v>
      </c>
      <c r="J148" s="402">
        <v>5</v>
      </c>
      <c r="K148" s="259">
        <f t="shared" si="88"/>
        <v>1934</v>
      </c>
      <c r="L148" s="60">
        <f t="shared" si="89"/>
        <v>1647</v>
      </c>
      <c r="M148" s="260">
        <f t="shared" si="90"/>
        <v>0</v>
      </c>
      <c r="N148" s="15">
        <f t="shared" si="91"/>
        <v>0</v>
      </c>
      <c r="O148" s="60">
        <f t="shared" si="92"/>
        <v>35</v>
      </c>
      <c r="P148" s="261">
        <f t="shared" si="93"/>
        <v>175</v>
      </c>
      <c r="Q148" s="262">
        <f t="shared" si="94"/>
        <v>2100</v>
      </c>
      <c r="R148" s="262">
        <f t="shared" si="95"/>
        <v>505.89</v>
      </c>
      <c r="S148" s="263">
        <f t="shared" si="96"/>
        <v>2605.89</v>
      </c>
    </row>
    <row r="149" spans="2:19" ht="15" x14ac:dyDescent="0.25">
      <c r="B149" s="416" t="s">
        <v>388</v>
      </c>
      <c r="C149" s="417" t="s">
        <v>21</v>
      </c>
      <c r="D149" s="417" t="s">
        <v>35</v>
      </c>
      <c r="E149" s="417" t="s">
        <v>321</v>
      </c>
      <c r="F149" s="417" t="s">
        <v>75</v>
      </c>
      <c r="G149" s="418">
        <v>1647</v>
      </c>
      <c r="H149" s="434">
        <v>1612</v>
      </c>
      <c r="I149" s="395">
        <v>0</v>
      </c>
      <c r="J149" s="402">
        <v>5</v>
      </c>
      <c r="K149" s="259">
        <f t="shared" si="88"/>
        <v>1934</v>
      </c>
      <c r="L149" s="60">
        <f t="shared" si="89"/>
        <v>1647</v>
      </c>
      <c r="M149" s="260">
        <f t="shared" si="90"/>
        <v>0</v>
      </c>
      <c r="N149" s="15">
        <f t="shared" si="91"/>
        <v>0</v>
      </c>
      <c r="O149" s="60">
        <f t="shared" si="92"/>
        <v>35</v>
      </c>
      <c r="P149" s="261">
        <f t="shared" si="93"/>
        <v>175</v>
      </c>
      <c r="Q149" s="262">
        <f t="shared" si="94"/>
        <v>2100</v>
      </c>
      <c r="R149" s="262">
        <f t="shared" si="95"/>
        <v>505.89</v>
      </c>
      <c r="S149" s="263">
        <f t="shared" si="96"/>
        <v>2605.89</v>
      </c>
    </row>
    <row r="150" spans="2:19" ht="15" x14ac:dyDescent="0.25">
      <c r="B150" s="411" t="s">
        <v>389</v>
      </c>
      <c r="C150" s="412" t="s">
        <v>21</v>
      </c>
      <c r="D150" s="412" t="s">
        <v>35</v>
      </c>
      <c r="E150" s="412" t="s">
        <v>321</v>
      </c>
      <c r="F150" s="412" t="s">
        <v>75</v>
      </c>
      <c r="G150" s="418">
        <v>1647</v>
      </c>
      <c r="H150" s="405">
        <v>1612</v>
      </c>
      <c r="I150" s="395">
        <v>0</v>
      </c>
      <c r="J150" s="402">
        <v>5</v>
      </c>
      <c r="K150" s="259">
        <f t="shared" si="88"/>
        <v>1934</v>
      </c>
      <c r="L150" s="60">
        <f t="shared" si="89"/>
        <v>1647</v>
      </c>
      <c r="M150" s="260">
        <f t="shared" si="90"/>
        <v>0</v>
      </c>
      <c r="N150" s="15">
        <f t="shared" si="91"/>
        <v>0</v>
      </c>
      <c r="O150" s="60">
        <f t="shared" si="92"/>
        <v>35</v>
      </c>
      <c r="P150" s="261">
        <f t="shared" si="93"/>
        <v>175</v>
      </c>
      <c r="Q150" s="262">
        <f t="shared" si="94"/>
        <v>2100</v>
      </c>
      <c r="R150" s="262">
        <f t="shared" si="95"/>
        <v>505.89</v>
      </c>
      <c r="S150" s="263">
        <f t="shared" si="96"/>
        <v>2605.89</v>
      </c>
    </row>
    <row r="151" spans="2:19" ht="15" x14ac:dyDescent="0.25">
      <c r="B151" s="411" t="s">
        <v>390</v>
      </c>
      <c r="C151" s="412" t="s">
        <v>21</v>
      </c>
      <c r="D151" s="412" t="s">
        <v>35</v>
      </c>
      <c r="E151" s="412" t="s">
        <v>321</v>
      </c>
      <c r="F151" s="412" t="s">
        <v>75</v>
      </c>
      <c r="G151" s="418">
        <v>1647</v>
      </c>
      <c r="H151" s="405">
        <v>1612</v>
      </c>
      <c r="I151" s="395">
        <v>0</v>
      </c>
      <c r="J151" s="402">
        <v>5</v>
      </c>
      <c r="K151" s="259">
        <f t="shared" si="88"/>
        <v>1934</v>
      </c>
      <c r="L151" s="60">
        <f t="shared" si="89"/>
        <v>1647</v>
      </c>
      <c r="M151" s="260">
        <f t="shared" si="90"/>
        <v>0</v>
      </c>
      <c r="N151" s="15">
        <f t="shared" si="91"/>
        <v>0</v>
      </c>
      <c r="O151" s="60">
        <f t="shared" si="92"/>
        <v>35</v>
      </c>
      <c r="P151" s="261">
        <f t="shared" si="93"/>
        <v>175</v>
      </c>
      <c r="Q151" s="262">
        <f t="shared" si="94"/>
        <v>2100</v>
      </c>
      <c r="R151" s="262">
        <f t="shared" si="95"/>
        <v>505.89</v>
      </c>
      <c r="S151" s="263">
        <f t="shared" si="96"/>
        <v>2605.89</v>
      </c>
    </row>
    <row r="152" spans="2:19" ht="15" x14ac:dyDescent="0.25">
      <c r="B152" s="411" t="s">
        <v>391</v>
      </c>
      <c r="C152" s="412" t="s">
        <v>21</v>
      </c>
      <c r="D152" s="412" t="s">
        <v>35</v>
      </c>
      <c r="E152" s="412" t="s">
        <v>321</v>
      </c>
      <c r="F152" s="412" t="s">
        <v>75</v>
      </c>
      <c r="G152" s="418">
        <v>1647</v>
      </c>
      <c r="H152" s="405">
        <v>1612</v>
      </c>
      <c r="I152" s="395">
        <v>0</v>
      </c>
      <c r="J152" s="402">
        <v>5</v>
      </c>
      <c r="K152" s="259">
        <f t="shared" si="88"/>
        <v>1934</v>
      </c>
      <c r="L152" s="60">
        <f t="shared" si="89"/>
        <v>1647</v>
      </c>
      <c r="M152" s="260">
        <f t="shared" si="90"/>
        <v>0</v>
      </c>
      <c r="N152" s="15">
        <f t="shared" si="91"/>
        <v>0</v>
      </c>
      <c r="O152" s="60">
        <f t="shared" si="92"/>
        <v>35</v>
      </c>
      <c r="P152" s="261">
        <f t="shared" si="93"/>
        <v>175</v>
      </c>
      <c r="Q152" s="262">
        <f t="shared" si="94"/>
        <v>2100</v>
      </c>
      <c r="R152" s="262">
        <f t="shared" si="95"/>
        <v>505.89</v>
      </c>
      <c r="S152" s="263">
        <f t="shared" si="96"/>
        <v>2605.89</v>
      </c>
    </row>
    <row r="153" spans="2:19" ht="15" x14ac:dyDescent="0.25">
      <c r="B153" s="411" t="s">
        <v>392</v>
      </c>
      <c r="C153" s="412" t="s">
        <v>21</v>
      </c>
      <c r="D153" s="412" t="s">
        <v>35</v>
      </c>
      <c r="E153" s="412" t="s">
        <v>321</v>
      </c>
      <c r="F153" s="412" t="s">
        <v>75</v>
      </c>
      <c r="G153" s="418">
        <v>1647</v>
      </c>
      <c r="H153" s="405">
        <v>1612</v>
      </c>
      <c r="I153" s="395">
        <v>0</v>
      </c>
      <c r="J153" s="402">
        <v>5</v>
      </c>
      <c r="K153" s="259">
        <f t="shared" si="88"/>
        <v>1934</v>
      </c>
      <c r="L153" s="60">
        <f t="shared" si="89"/>
        <v>1647</v>
      </c>
      <c r="M153" s="260">
        <f t="shared" si="90"/>
        <v>0</v>
      </c>
      <c r="N153" s="15">
        <f t="shared" si="91"/>
        <v>0</v>
      </c>
      <c r="O153" s="60">
        <f t="shared" si="92"/>
        <v>35</v>
      </c>
      <c r="P153" s="261">
        <f t="shared" si="93"/>
        <v>175</v>
      </c>
      <c r="Q153" s="262">
        <f t="shared" si="94"/>
        <v>2100</v>
      </c>
      <c r="R153" s="262">
        <f t="shared" si="95"/>
        <v>505.89</v>
      </c>
      <c r="S153" s="263">
        <f t="shared" si="96"/>
        <v>2605.89</v>
      </c>
    </row>
    <row r="154" spans="2:19" ht="15" x14ac:dyDescent="0.25">
      <c r="B154" s="411" t="s">
        <v>393</v>
      </c>
      <c r="C154" s="412" t="s">
        <v>21</v>
      </c>
      <c r="D154" s="412" t="s">
        <v>35</v>
      </c>
      <c r="E154" s="412" t="s">
        <v>321</v>
      </c>
      <c r="F154" s="412" t="s">
        <v>75</v>
      </c>
      <c r="G154" s="418">
        <v>1647</v>
      </c>
      <c r="H154" s="405">
        <v>1612</v>
      </c>
      <c r="I154" s="395">
        <v>0</v>
      </c>
      <c r="J154" s="402">
        <v>5</v>
      </c>
      <c r="K154" s="259">
        <f t="shared" si="88"/>
        <v>1934</v>
      </c>
      <c r="L154" s="60">
        <f t="shared" si="89"/>
        <v>1647</v>
      </c>
      <c r="M154" s="260">
        <f t="shared" si="90"/>
        <v>0</v>
      </c>
      <c r="N154" s="15">
        <f t="shared" si="91"/>
        <v>0</v>
      </c>
      <c r="O154" s="60">
        <f t="shared" si="92"/>
        <v>35</v>
      </c>
      <c r="P154" s="261">
        <f t="shared" si="93"/>
        <v>175</v>
      </c>
      <c r="Q154" s="262">
        <f t="shared" si="94"/>
        <v>2100</v>
      </c>
      <c r="R154" s="262">
        <f t="shared" si="95"/>
        <v>505.89</v>
      </c>
      <c r="S154" s="263">
        <f t="shared" si="96"/>
        <v>2605.89</v>
      </c>
    </row>
    <row r="155" spans="2:19" ht="15" x14ac:dyDescent="0.25">
      <c r="B155" s="413" t="s">
        <v>394</v>
      </c>
      <c r="C155" s="412" t="s">
        <v>21</v>
      </c>
      <c r="D155" s="412" t="s">
        <v>35</v>
      </c>
      <c r="E155" s="412" t="s">
        <v>321</v>
      </c>
      <c r="F155" s="412" t="s">
        <v>75</v>
      </c>
      <c r="G155" s="418">
        <v>1647</v>
      </c>
      <c r="H155" s="405">
        <v>1612</v>
      </c>
      <c r="I155" s="395">
        <v>0</v>
      </c>
      <c r="J155" s="402">
        <v>5</v>
      </c>
      <c r="K155" s="259">
        <f t="shared" si="88"/>
        <v>1934</v>
      </c>
      <c r="L155" s="60">
        <f t="shared" si="89"/>
        <v>1647</v>
      </c>
      <c r="M155" s="260">
        <f t="shared" si="90"/>
        <v>0</v>
      </c>
      <c r="N155" s="15">
        <f t="shared" si="91"/>
        <v>0</v>
      </c>
      <c r="O155" s="60">
        <f t="shared" si="92"/>
        <v>35</v>
      </c>
      <c r="P155" s="261">
        <f t="shared" si="93"/>
        <v>175</v>
      </c>
      <c r="Q155" s="262">
        <f t="shared" si="94"/>
        <v>2100</v>
      </c>
      <c r="R155" s="262">
        <f t="shared" si="95"/>
        <v>505.89</v>
      </c>
      <c r="S155" s="263">
        <f t="shared" si="96"/>
        <v>2605.89</v>
      </c>
    </row>
    <row r="156" spans="2:19" ht="15" x14ac:dyDescent="0.25">
      <c r="B156" s="413" t="s">
        <v>395</v>
      </c>
      <c r="C156" s="419" t="s">
        <v>21</v>
      </c>
      <c r="D156" s="419" t="s">
        <v>35</v>
      </c>
      <c r="E156" s="419" t="s">
        <v>321</v>
      </c>
      <c r="F156" s="419" t="s">
        <v>75</v>
      </c>
      <c r="G156" s="418">
        <v>1647</v>
      </c>
      <c r="H156" s="572">
        <v>1322</v>
      </c>
      <c r="I156" s="395">
        <v>0</v>
      </c>
      <c r="J156" s="420">
        <v>5</v>
      </c>
      <c r="K156" s="259">
        <f t="shared" si="88"/>
        <v>1586</v>
      </c>
      <c r="L156" s="60">
        <f t="shared" si="89"/>
        <v>1586</v>
      </c>
      <c r="M156" s="260">
        <f t="shared" si="90"/>
        <v>0</v>
      </c>
      <c r="N156" s="15">
        <f t="shared" si="91"/>
        <v>0</v>
      </c>
      <c r="O156" s="60">
        <f t="shared" si="92"/>
        <v>264</v>
      </c>
      <c r="P156" s="261">
        <f t="shared" si="93"/>
        <v>1320</v>
      </c>
      <c r="Q156" s="262">
        <f t="shared" si="94"/>
        <v>15840</v>
      </c>
      <c r="R156" s="262">
        <f t="shared" si="95"/>
        <v>3815.8560000000002</v>
      </c>
      <c r="S156" s="263">
        <f t="shared" si="96"/>
        <v>19655.856</v>
      </c>
    </row>
    <row r="157" spans="2:19" ht="15" x14ac:dyDescent="0.25">
      <c r="B157" s="413" t="s">
        <v>396</v>
      </c>
      <c r="C157" s="419" t="s">
        <v>21</v>
      </c>
      <c r="D157" s="421" t="s">
        <v>35</v>
      </c>
      <c r="E157" s="421" t="s">
        <v>321</v>
      </c>
      <c r="F157" s="421" t="s">
        <v>75</v>
      </c>
      <c r="G157" s="418">
        <v>1647</v>
      </c>
      <c r="H157" s="572">
        <v>1322</v>
      </c>
      <c r="I157" s="395">
        <v>0</v>
      </c>
      <c r="J157" s="420">
        <v>5</v>
      </c>
      <c r="K157" s="259">
        <f t="shared" si="88"/>
        <v>1586</v>
      </c>
      <c r="L157" s="60">
        <f t="shared" si="89"/>
        <v>1586</v>
      </c>
      <c r="M157" s="260">
        <f t="shared" si="90"/>
        <v>0</v>
      </c>
      <c r="N157" s="15">
        <f t="shared" si="91"/>
        <v>0</v>
      </c>
      <c r="O157" s="60">
        <f t="shared" si="92"/>
        <v>264</v>
      </c>
      <c r="P157" s="261">
        <f t="shared" si="93"/>
        <v>1320</v>
      </c>
      <c r="Q157" s="262">
        <f t="shared" si="94"/>
        <v>15840</v>
      </c>
      <c r="R157" s="262">
        <f t="shared" si="95"/>
        <v>3815.8560000000002</v>
      </c>
      <c r="S157" s="263">
        <f t="shared" si="96"/>
        <v>19655.856</v>
      </c>
    </row>
    <row r="158" spans="2:19" ht="15" x14ac:dyDescent="0.25">
      <c r="B158" s="413" t="s">
        <v>397</v>
      </c>
      <c r="C158" s="419" t="s">
        <v>21</v>
      </c>
      <c r="D158" s="419" t="s">
        <v>35</v>
      </c>
      <c r="E158" s="419" t="s">
        <v>321</v>
      </c>
      <c r="F158" s="419" t="s">
        <v>75</v>
      </c>
      <c r="G158" s="418">
        <v>1647</v>
      </c>
      <c r="H158" s="572">
        <v>1612</v>
      </c>
      <c r="I158" s="395">
        <v>0</v>
      </c>
      <c r="J158" s="420">
        <v>5</v>
      </c>
      <c r="K158" s="259">
        <f t="shared" si="88"/>
        <v>1934</v>
      </c>
      <c r="L158" s="60">
        <f t="shared" si="89"/>
        <v>1647</v>
      </c>
      <c r="M158" s="260">
        <f t="shared" si="90"/>
        <v>0</v>
      </c>
      <c r="N158" s="15">
        <f t="shared" si="91"/>
        <v>0</v>
      </c>
      <c r="O158" s="60">
        <f t="shared" si="92"/>
        <v>35</v>
      </c>
      <c r="P158" s="261">
        <f t="shared" si="93"/>
        <v>175</v>
      </c>
      <c r="Q158" s="262">
        <f t="shared" si="94"/>
        <v>2100</v>
      </c>
      <c r="R158" s="262">
        <f t="shared" si="95"/>
        <v>505.89</v>
      </c>
      <c r="S158" s="263">
        <f t="shared" si="96"/>
        <v>2605.89</v>
      </c>
    </row>
    <row r="159" spans="2:19" ht="15" x14ac:dyDescent="0.25">
      <c r="B159" s="413" t="s">
        <v>398</v>
      </c>
      <c r="C159" s="419" t="s">
        <v>21</v>
      </c>
      <c r="D159" s="419" t="s">
        <v>35</v>
      </c>
      <c r="E159" s="419" t="s">
        <v>321</v>
      </c>
      <c r="F159" s="419" t="s">
        <v>75</v>
      </c>
      <c r="G159" s="418">
        <v>1647</v>
      </c>
      <c r="H159" s="572">
        <v>1322</v>
      </c>
      <c r="I159" s="395">
        <v>0</v>
      </c>
      <c r="J159" s="420">
        <v>4</v>
      </c>
      <c r="K159" s="259">
        <f t="shared" si="88"/>
        <v>1586</v>
      </c>
      <c r="L159" s="60">
        <f t="shared" si="89"/>
        <v>1586</v>
      </c>
      <c r="M159" s="260">
        <f t="shared" si="90"/>
        <v>0</v>
      </c>
      <c r="N159" s="15">
        <f t="shared" si="91"/>
        <v>0</v>
      </c>
      <c r="O159" s="60">
        <f t="shared" si="92"/>
        <v>264</v>
      </c>
      <c r="P159" s="261">
        <f t="shared" si="93"/>
        <v>1056</v>
      </c>
      <c r="Q159" s="262">
        <f t="shared" si="94"/>
        <v>12672</v>
      </c>
      <c r="R159" s="262">
        <f t="shared" si="95"/>
        <v>3052.6848</v>
      </c>
      <c r="S159" s="263">
        <f t="shared" si="96"/>
        <v>15724.684799999999</v>
      </c>
    </row>
    <row r="160" spans="2:19" ht="15" x14ac:dyDescent="0.25">
      <c r="B160" s="413" t="s">
        <v>399</v>
      </c>
      <c r="C160" s="412" t="s">
        <v>21</v>
      </c>
      <c r="D160" s="412" t="s">
        <v>35</v>
      </c>
      <c r="E160" s="412" t="s">
        <v>321</v>
      </c>
      <c r="F160" s="412" t="s">
        <v>75</v>
      </c>
      <c r="G160" s="418">
        <v>1647</v>
      </c>
      <c r="H160" s="405">
        <v>1612</v>
      </c>
      <c r="I160" s="395">
        <v>0</v>
      </c>
      <c r="J160" s="402">
        <v>4</v>
      </c>
      <c r="K160" s="259">
        <f t="shared" si="88"/>
        <v>1934</v>
      </c>
      <c r="L160" s="60">
        <f t="shared" si="89"/>
        <v>1647</v>
      </c>
      <c r="M160" s="260">
        <f t="shared" si="90"/>
        <v>0</v>
      </c>
      <c r="N160" s="15">
        <f t="shared" si="91"/>
        <v>0</v>
      </c>
      <c r="O160" s="60">
        <f t="shared" si="92"/>
        <v>35</v>
      </c>
      <c r="P160" s="261">
        <f t="shared" si="93"/>
        <v>140</v>
      </c>
      <c r="Q160" s="262">
        <f t="shared" si="94"/>
        <v>1680</v>
      </c>
      <c r="R160" s="262">
        <f t="shared" si="95"/>
        <v>404.71199999999999</v>
      </c>
      <c r="S160" s="263">
        <f t="shared" si="96"/>
        <v>2084.712</v>
      </c>
    </row>
    <row r="161" spans="2:19" ht="15" x14ac:dyDescent="0.25">
      <c r="B161" s="411" t="s">
        <v>400</v>
      </c>
      <c r="C161" s="412" t="s">
        <v>21</v>
      </c>
      <c r="D161" s="412" t="s">
        <v>35</v>
      </c>
      <c r="E161" s="412" t="s">
        <v>321</v>
      </c>
      <c r="F161" s="412" t="s">
        <v>75</v>
      </c>
      <c r="G161" s="418">
        <v>1647</v>
      </c>
      <c r="H161" s="405">
        <v>1612</v>
      </c>
      <c r="I161" s="395">
        <v>0</v>
      </c>
      <c r="J161" s="402">
        <v>5</v>
      </c>
      <c r="K161" s="259">
        <f t="shared" si="88"/>
        <v>1934</v>
      </c>
      <c r="L161" s="60">
        <f t="shared" si="89"/>
        <v>1647</v>
      </c>
      <c r="M161" s="260">
        <f t="shared" si="90"/>
        <v>0</v>
      </c>
      <c r="N161" s="15">
        <f t="shared" si="91"/>
        <v>0</v>
      </c>
      <c r="O161" s="60">
        <f t="shared" si="92"/>
        <v>35</v>
      </c>
      <c r="P161" s="261">
        <f t="shared" si="93"/>
        <v>175</v>
      </c>
      <c r="Q161" s="262">
        <f t="shared" si="94"/>
        <v>2100</v>
      </c>
      <c r="R161" s="262">
        <f t="shared" si="95"/>
        <v>505.89</v>
      </c>
      <c r="S161" s="263">
        <f t="shared" si="96"/>
        <v>2605.89</v>
      </c>
    </row>
    <row r="162" spans="2:19" ht="15" x14ac:dyDescent="0.25">
      <c r="B162" s="411" t="s">
        <v>401</v>
      </c>
      <c r="C162" s="412" t="s">
        <v>21</v>
      </c>
      <c r="D162" s="412" t="s">
        <v>35</v>
      </c>
      <c r="E162" s="412" t="s">
        <v>321</v>
      </c>
      <c r="F162" s="412" t="s">
        <v>75</v>
      </c>
      <c r="G162" s="418">
        <v>1647</v>
      </c>
      <c r="H162" s="405">
        <v>1612</v>
      </c>
      <c r="I162" s="395">
        <v>0</v>
      </c>
      <c r="J162" s="402">
        <v>5</v>
      </c>
      <c r="K162" s="259">
        <f t="shared" si="88"/>
        <v>1934</v>
      </c>
      <c r="L162" s="60">
        <f t="shared" si="89"/>
        <v>1647</v>
      </c>
      <c r="M162" s="260">
        <f t="shared" si="90"/>
        <v>0</v>
      </c>
      <c r="N162" s="15">
        <f t="shared" si="91"/>
        <v>0</v>
      </c>
      <c r="O162" s="60">
        <f t="shared" si="92"/>
        <v>35</v>
      </c>
      <c r="P162" s="261">
        <f t="shared" si="93"/>
        <v>175</v>
      </c>
      <c r="Q162" s="262">
        <f t="shared" si="94"/>
        <v>2100</v>
      </c>
      <c r="R162" s="262">
        <f t="shared" si="95"/>
        <v>505.89</v>
      </c>
      <c r="S162" s="263">
        <f t="shared" si="96"/>
        <v>2605.89</v>
      </c>
    </row>
    <row r="163" spans="2:19" ht="15" x14ac:dyDescent="0.25">
      <c r="B163" s="411" t="s">
        <v>402</v>
      </c>
      <c r="C163" s="412" t="s">
        <v>21</v>
      </c>
      <c r="D163" s="412" t="s">
        <v>35</v>
      </c>
      <c r="E163" s="412" t="s">
        <v>321</v>
      </c>
      <c r="F163" s="412" t="s">
        <v>75</v>
      </c>
      <c r="G163" s="418">
        <v>1647</v>
      </c>
      <c r="H163" s="405">
        <v>1612</v>
      </c>
      <c r="I163" s="395">
        <v>0</v>
      </c>
      <c r="J163" s="406">
        <v>5</v>
      </c>
      <c r="K163" s="259">
        <f t="shared" si="88"/>
        <v>1934</v>
      </c>
      <c r="L163" s="60">
        <f t="shared" si="89"/>
        <v>1647</v>
      </c>
      <c r="M163" s="260">
        <f t="shared" si="90"/>
        <v>0</v>
      </c>
      <c r="N163" s="15">
        <f t="shared" si="91"/>
        <v>0</v>
      </c>
      <c r="O163" s="60">
        <f t="shared" si="92"/>
        <v>35</v>
      </c>
      <c r="P163" s="261">
        <f t="shared" si="93"/>
        <v>175</v>
      </c>
      <c r="Q163" s="262">
        <f t="shared" si="94"/>
        <v>2100</v>
      </c>
      <c r="R163" s="262">
        <f t="shared" si="95"/>
        <v>505.89</v>
      </c>
      <c r="S163" s="263">
        <f t="shared" si="96"/>
        <v>2605.89</v>
      </c>
    </row>
    <row r="164" spans="2:19" ht="15" x14ac:dyDescent="0.25">
      <c r="B164" s="411" t="s">
        <v>403</v>
      </c>
      <c r="C164" s="412" t="s">
        <v>21</v>
      </c>
      <c r="D164" s="422" t="s">
        <v>35</v>
      </c>
      <c r="E164" s="422" t="s">
        <v>321</v>
      </c>
      <c r="F164" s="422" t="s">
        <v>75</v>
      </c>
      <c r="G164" s="418">
        <v>1647</v>
      </c>
      <c r="H164" s="405">
        <v>1612</v>
      </c>
      <c r="I164" s="395">
        <v>0</v>
      </c>
      <c r="J164" s="406">
        <v>5</v>
      </c>
      <c r="K164" s="259">
        <f t="shared" si="88"/>
        <v>1934</v>
      </c>
      <c r="L164" s="60">
        <f t="shared" si="89"/>
        <v>1647</v>
      </c>
      <c r="M164" s="260">
        <f t="shared" si="90"/>
        <v>0</v>
      </c>
      <c r="N164" s="15">
        <f t="shared" si="91"/>
        <v>0</v>
      </c>
      <c r="O164" s="60">
        <f t="shared" si="92"/>
        <v>35</v>
      </c>
      <c r="P164" s="261">
        <f t="shared" si="93"/>
        <v>175</v>
      </c>
      <c r="Q164" s="262">
        <f t="shared" si="94"/>
        <v>2100</v>
      </c>
      <c r="R164" s="262">
        <f t="shared" si="95"/>
        <v>505.89</v>
      </c>
      <c r="S164" s="263">
        <f t="shared" si="96"/>
        <v>2605.89</v>
      </c>
    </row>
    <row r="165" spans="2:19" ht="15" x14ac:dyDescent="0.25">
      <c r="B165" s="411" t="s">
        <v>404</v>
      </c>
      <c r="C165" s="412" t="s">
        <v>21</v>
      </c>
      <c r="D165" s="412" t="s">
        <v>35</v>
      </c>
      <c r="E165" s="412" t="s">
        <v>321</v>
      </c>
      <c r="F165" s="412" t="s">
        <v>75</v>
      </c>
      <c r="G165" s="418">
        <v>1647</v>
      </c>
      <c r="H165" s="405">
        <v>1612</v>
      </c>
      <c r="I165" s="395">
        <v>0</v>
      </c>
      <c r="J165" s="406">
        <v>5</v>
      </c>
      <c r="K165" s="259">
        <f t="shared" si="88"/>
        <v>1934</v>
      </c>
      <c r="L165" s="60">
        <f t="shared" si="89"/>
        <v>1647</v>
      </c>
      <c r="M165" s="260">
        <f t="shared" si="90"/>
        <v>0</v>
      </c>
      <c r="N165" s="15">
        <f t="shared" si="91"/>
        <v>0</v>
      </c>
      <c r="O165" s="60">
        <f t="shared" si="92"/>
        <v>35</v>
      </c>
      <c r="P165" s="261">
        <f t="shared" si="93"/>
        <v>175</v>
      </c>
      <c r="Q165" s="262">
        <f t="shared" si="94"/>
        <v>2100</v>
      </c>
      <c r="R165" s="262">
        <f t="shared" si="95"/>
        <v>505.89</v>
      </c>
      <c r="S165" s="263">
        <f t="shared" si="96"/>
        <v>2605.89</v>
      </c>
    </row>
    <row r="166" spans="2:19" ht="14.25" x14ac:dyDescent="0.25">
      <c r="B166" s="423" t="s">
        <v>4</v>
      </c>
      <c r="C166" s="424"/>
      <c r="D166" s="424"/>
      <c r="E166" s="424"/>
      <c r="F166" s="424"/>
      <c r="G166" s="425"/>
      <c r="H166" s="426"/>
      <c r="I166" s="427"/>
      <c r="J166" s="428">
        <f>SUM(J112:J165)</f>
        <v>393.25</v>
      </c>
      <c r="K166" s="118">
        <f t="shared" ref="K166:K167" si="97">ROUND(H166+80,0)</f>
        <v>80</v>
      </c>
      <c r="L166" s="76"/>
      <c r="M166" s="77"/>
      <c r="N166" s="78"/>
      <c r="O166" s="76"/>
      <c r="P166" s="78"/>
      <c r="Q166" s="79">
        <f>SUM(Q112:Q165)</f>
        <v>1081695.2644893802</v>
      </c>
      <c r="R166" s="79">
        <f t="shared" ref="R166:S166" si="98">SUM(R112:R165)</f>
        <v>260580.38921549183</v>
      </c>
      <c r="S166" s="80">
        <f t="shared" si="98"/>
        <v>1342275.6537048705</v>
      </c>
    </row>
    <row r="167" spans="2:19" ht="15" x14ac:dyDescent="0.25">
      <c r="B167" s="386" t="s">
        <v>10</v>
      </c>
      <c r="C167" s="429"/>
      <c r="D167" s="429"/>
      <c r="E167" s="429"/>
      <c r="F167" s="429"/>
      <c r="G167" s="430"/>
      <c r="H167" s="431"/>
      <c r="I167" s="387"/>
      <c r="J167" s="432"/>
      <c r="K167" s="616">
        <f t="shared" si="97"/>
        <v>80</v>
      </c>
      <c r="L167" s="553"/>
      <c r="M167" s="617"/>
      <c r="N167" s="553"/>
      <c r="O167" s="553"/>
      <c r="P167" s="553"/>
      <c r="Q167" s="604"/>
      <c r="R167" s="604"/>
      <c r="S167" s="605"/>
    </row>
    <row r="168" spans="2:19" ht="15" x14ac:dyDescent="0.25">
      <c r="B168" s="403" t="s">
        <v>68</v>
      </c>
      <c r="C168" s="404" t="s">
        <v>22</v>
      </c>
      <c r="D168" s="404" t="s">
        <v>45</v>
      </c>
      <c r="E168" s="404" t="s">
        <v>76</v>
      </c>
      <c r="F168" s="404">
        <v>1</v>
      </c>
      <c r="G168" s="400">
        <v>585</v>
      </c>
      <c r="H168" s="405">
        <v>453</v>
      </c>
      <c r="I168" s="395">
        <v>157.41999999999999</v>
      </c>
      <c r="J168" s="406">
        <v>6.5</v>
      </c>
      <c r="K168" s="259">
        <f t="shared" ref="K168:K231" si="99">ROUND(H168*1.2,0)</f>
        <v>544</v>
      </c>
      <c r="L168" s="60">
        <f t="shared" si="89"/>
        <v>544</v>
      </c>
      <c r="M168" s="260">
        <f t="shared" si="90"/>
        <v>31.623002207505522</v>
      </c>
      <c r="N168" s="15">
        <f t="shared" si="91"/>
        <v>189.04300220750551</v>
      </c>
      <c r="O168" s="60">
        <f t="shared" si="92"/>
        <v>122.62300220750552</v>
      </c>
      <c r="P168" s="261">
        <f t="shared" si="93"/>
        <v>797.04951434878592</v>
      </c>
      <c r="Q168" s="262">
        <f t="shared" si="94"/>
        <v>9564.5941721854306</v>
      </c>
      <c r="R168" s="262">
        <f t="shared" si="95"/>
        <v>2304.1107360794704</v>
      </c>
      <c r="S168" s="263">
        <f t="shared" si="96"/>
        <v>11868.704908264901</v>
      </c>
    </row>
    <row r="169" spans="2:19" ht="15" x14ac:dyDescent="0.25">
      <c r="B169" s="391" t="s">
        <v>68</v>
      </c>
      <c r="C169" s="392" t="s">
        <v>22</v>
      </c>
      <c r="D169" s="392" t="s">
        <v>45</v>
      </c>
      <c r="E169" s="392" t="s">
        <v>76</v>
      </c>
      <c r="F169" s="392">
        <v>2</v>
      </c>
      <c r="G169" s="400">
        <v>740</v>
      </c>
      <c r="H169" s="405">
        <v>461</v>
      </c>
      <c r="I169" s="395">
        <v>160.19999999999999</v>
      </c>
      <c r="J169" s="406">
        <v>1</v>
      </c>
      <c r="K169" s="259">
        <f t="shared" si="99"/>
        <v>553</v>
      </c>
      <c r="L169" s="60">
        <f t="shared" si="89"/>
        <v>553</v>
      </c>
      <c r="M169" s="260">
        <f t="shared" si="90"/>
        <v>31.970498915401322</v>
      </c>
      <c r="N169" s="15">
        <f t="shared" si="91"/>
        <v>192.17049891540131</v>
      </c>
      <c r="O169" s="60">
        <f t="shared" si="92"/>
        <v>123.97049891540132</v>
      </c>
      <c r="P169" s="261">
        <f t="shared" si="93"/>
        <v>123.97049891540132</v>
      </c>
      <c r="Q169" s="262">
        <f t="shared" si="94"/>
        <v>1487.6459869848159</v>
      </c>
      <c r="R169" s="262">
        <f t="shared" si="95"/>
        <v>358.37391826464216</v>
      </c>
      <c r="S169" s="263">
        <f t="shared" si="96"/>
        <v>1846.0199052494581</v>
      </c>
    </row>
    <row r="170" spans="2:19" ht="15" x14ac:dyDescent="0.25">
      <c r="B170" s="391" t="s">
        <v>68</v>
      </c>
      <c r="C170" s="392" t="s">
        <v>22</v>
      </c>
      <c r="D170" s="392" t="s">
        <v>45</v>
      </c>
      <c r="E170" s="392" t="s">
        <v>76</v>
      </c>
      <c r="F170" s="392">
        <v>3</v>
      </c>
      <c r="G170" s="400">
        <v>899</v>
      </c>
      <c r="H170" s="394">
        <v>468</v>
      </c>
      <c r="I170" s="395">
        <v>162.63</v>
      </c>
      <c r="J170" s="396">
        <v>26.5</v>
      </c>
      <c r="K170" s="259">
        <f t="shared" si="99"/>
        <v>562</v>
      </c>
      <c r="L170" s="60">
        <f t="shared" si="89"/>
        <v>562</v>
      </c>
      <c r="M170" s="260">
        <f t="shared" si="90"/>
        <v>32.664999999999992</v>
      </c>
      <c r="N170" s="15">
        <f t="shared" si="91"/>
        <v>195.29499999999999</v>
      </c>
      <c r="O170" s="60">
        <f t="shared" si="92"/>
        <v>126.66499999999999</v>
      </c>
      <c r="P170" s="261">
        <f t="shared" si="93"/>
        <v>3356.6224999999999</v>
      </c>
      <c r="Q170" s="262">
        <f t="shared" si="94"/>
        <v>40279.47</v>
      </c>
      <c r="R170" s="262">
        <f t="shared" si="95"/>
        <v>9703.3243230000007</v>
      </c>
      <c r="S170" s="263">
        <f t="shared" si="96"/>
        <v>49982.794323000002</v>
      </c>
    </row>
    <row r="171" spans="2:19" ht="15" x14ac:dyDescent="0.25">
      <c r="B171" s="391" t="s">
        <v>53</v>
      </c>
      <c r="C171" s="392" t="s">
        <v>22</v>
      </c>
      <c r="D171" s="392" t="s">
        <v>45</v>
      </c>
      <c r="E171" s="392" t="s">
        <v>125</v>
      </c>
      <c r="F171" s="392">
        <v>3</v>
      </c>
      <c r="G171" s="400">
        <v>996</v>
      </c>
      <c r="H171" s="394">
        <v>514</v>
      </c>
      <c r="I171" s="395">
        <v>204.33</v>
      </c>
      <c r="J171" s="396">
        <v>3</v>
      </c>
      <c r="K171" s="259">
        <f t="shared" si="99"/>
        <v>617</v>
      </c>
      <c r="L171" s="60">
        <f t="shared" si="89"/>
        <v>617</v>
      </c>
      <c r="M171" s="260">
        <f t="shared" si="90"/>
        <v>40.945505836575876</v>
      </c>
      <c r="N171" s="15">
        <f t="shared" si="91"/>
        <v>245.27550583657589</v>
      </c>
      <c r="O171" s="60">
        <f t="shared" si="92"/>
        <v>143.94550583657588</v>
      </c>
      <c r="P171" s="261">
        <f t="shared" si="93"/>
        <v>431.83651750972763</v>
      </c>
      <c r="Q171" s="262">
        <f t="shared" si="94"/>
        <v>5182.0382101167315</v>
      </c>
      <c r="R171" s="262">
        <f t="shared" si="95"/>
        <v>1248.3530048171206</v>
      </c>
      <c r="S171" s="263">
        <f t="shared" si="96"/>
        <v>6430.3912149338521</v>
      </c>
    </row>
    <row r="172" spans="2:19" ht="15" x14ac:dyDescent="0.25">
      <c r="B172" s="433" t="s">
        <v>405</v>
      </c>
      <c r="C172" s="417" t="s">
        <v>349</v>
      </c>
      <c r="D172" s="417" t="s">
        <v>33</v>
      </c>
      <c r="E172" s="417" t="s">
        <v>78</v>
      </c>
      <c r="F172" s="412">
        <v>1</v>
      </c>
      <c r="G172" s="400">
        <v>745</v>
      </c>
      <c r="H172" s="434">
        <v>500</v>
      </c>
      <c r="I172" s="395">
        <v>173.75</v>
      </c>
      <c r="J172" s="402">
        <v>174.75</v>
      </c>
      <c r="K172" s="259">
        <f t="shared" si="99"/>
        <v>600</v>
      </c>
      <c r="L172" s="60">
        <f t="shared" si="89"/>
        <v>600</v>
      </c>
      <c r="M172" s="260">
        <f t="shared" si="90"/>
        <v>34.749999999999972</v>
      </c>
      <c r="N172" s="15">
        <f t="shared" si="91"/>
        <v>208.49999999999997</v>
      </c>
      <c r="O172" s="60">
        <f t="shared" si="92"/>
        <v>134.74999999999997</v>
      </c>
      <c r="P172" s="261">
        <f t="shared" si="93"/>
        <v>23547.562499999996</v>
      </c>
      <c r="Q172" s="262">
        <f t="shared" si="94"/>
        <v>282570.74999999994</v>
      </c>
      <c r="R172" s="262">
        <f t="shared" si="95"/>
        <v>68071.293674999994</v>
      </c>
      <c r="S172" s="263">
        <f t="shared" si="96"/>
        <v>350642.04367499996</v>
      </c>
    </row>
    <row r="173" spans="2:19" ht="15" x14ac:dyDescent="0.25">
      <c r="B173" s="433" t="s">
        <v>405</v>
      </c>
      <c r="C173" s="417" t="s">
        <v>349</v>
      </c>
      <c r="D173" s="417" t="s">
        <v>33</v>
      </c>
      <c r="E173" s="417" t="s">
        <v>78</v>
      </c>
      <c r="F173" s="417">
        <v>2</v>
      </c>
      <c r="G173" s="400">
        <v>920</v>
      </c>
      <c r="H173" s="434">
        <v>510</v>
      </c>
      <c r="I173" s="395">
        <v>253.73</v>
      </c>
      <c r="J173" s="402">
        <v>69.75</v>
      </c>
      <c r="K173" s="259">
        <f t="shared" si="99"/>
        <v>612</v>
      </c>
      <c r="L173" s="60">
        <f t="shared" si="89"/>
        <v>612</v>
      </c>
      <c r="M173" s="260">
        <f t="shared" si="90"/>
        <v>50.746000000000009</v>
      </c>
      <c r="N173" s="15">
        <f t="shared" si="91"/>
        <v>304.476</v>
      </c>
      <c r="O173" s="60">
        <f t="shared" si="92"/>
        <v>152.74600000000001</v>
      </c>
      <c r="P173" s="261">
        <f t="shared" si="93"/>
        <v>10654.033500000001</v>
      </c>
      <c r="Q173" s="262">
        <f t="shared" si="94"/>
        <v>127848.40200000002</v>
      </c>
      <c r="R173" s="262">
        <f t="shared" si="95"/>
        <v>30798.680041800006</v>
      </c>
      <c r="S173" s="263">
        <f t="shared" si="96"/>
        <v>158647.08204180002</v>
      </c>
    </row>
    <row r="174" spans="2:19" ht="15" x14ac:dyDescent="0.25">
      <c r="B174" s="403" t="s">
        <v>405</v>
      </c>
      <c r="C174" s="412" t="s">
        <v>349</v>
      </c>
      <c r="D174" s="412" t="s">
        <v>33</v>
      </c>
      <c r="E174" s="412" t="s">
        <v>78</v>
      </c>
      <c r="F174" s="412">
        <v>3</v>
      </c>
      <c r="G174" s="400">
        <v>1093</v>
      </c>
      <c r="H174" s="405">
        <v>531</v>
      </c>
      <c r="I174" s="395">
        <v>264.17</v>
      </c>
      <c r="J174" s="402">
        <v>216</v>
      </c>
      <c r="K174" s="259">
        <f t="shared" si="99"/>
        <v>637</v>
      </c>
      <c r="L174" s="60">
        <f t="shared" si="89"/>
        <v>637</v>
      </c>
      <c r="M174" s="260">
        <f t="shared" si="90"/>
        <v>52.734500941619615</v>
      </c>
      <c r="N174" s="15">
        <f t="shared" si="91"/>
        <v>316.90450094161963</v>
      </c>
      <c r="O174" s="60">
        <f t="shared" si="92"/>
        <v>158.73450094161961</v>
      </c>
      <c r="P174" s="261">
        <f t="shared" si="93"/>
        <v>34286.652203389836</v>
      </c>
      <c r="Q174" s="262">
        <f t="shared" si="94"/>
        <v>411439.82644067804</v>
      </c>
      <c r="R174" s="262">
        <f t="shared" si="95"/>
        <v>99115.854189559337</v>
      </c>
      <c r="S174" s="263">
        <f t="shared" si="96"/>
        <v>510555.68063023739</v>
      </c>
    </row>
    <row r="175" spans="2:19" ht="15" x14ac:dyDescent="0.25">
      <c r="B175" s="403" t="s">
        <v>406</v>
      </c>
      <c r="C175" s="412" t="s">
        <v>349</v>
      </c>
      <c r="D175" s="412" t="s">
        <v>63</v>
      </c>
      <c r="E175" s="412" t="s">
        <v>120</v>
      </c>
      <c r="F175" s="412">
        <v>1</v>
      </c>
      <c r="G175" s="400">
        <v>835</v>
      </c>
      <c r="H175" s="405">
        <v>616</v>
      </c>
      <c r="I175" s="395">
        <v>306.44</v>
      </c>
      <c r="J175" s="402">
        <v>26.75</v>
      </c>
      <c r="K175" s="259">
        <f t="shared" si="99"/>
        <v>739</v>
      </c>
      <c r="L175" s="60">
        <f t="shared" si="89"/>
        <v>739</v>
      </c>
      <c r="M175" s="260">
        <f t="shared" si="90"/>
        <v>61.188506493506509</v>
      </c>
      <c r="N175" s="15">
        <f t="shared" si="91"/>
        <v>367.62850649350651</v>
      </c>
      <c r="O175" s="60">
        <f t="shared" si="92"/>
        <v>184.18850649350651</v>
      </c>
      <c r="P175" s="261">
        <f t="shared" si="93"/>
        <v>4927.042548701299</v>
      </c>
      <c r="Q175" s="262">
        <f t="shared" si="94"/>
        <v>59124.510584415591</v>
      </c>
      <c r="R175" s="262">
        <f t="shared" si="95"/>
        <v>14243.094599785716</v>
      </c>
      <c r="S175" s="263">
        <f t="shared" si="96"/>
        <v>73367.605184201311</v>
      </c>
    </row>
    <row r="176" spans="2:19" ht="15" x14ac:dyDescent="0.25">
      <c r="B176" s="407" t="s">
        <v>406</v>
      </c>
      <c r="C176" s="412" t="s">
        <v>349</v>
      </c>
      <c r="D176" s="412" t="s">
        <v>63</v>
      </c>
      <c r="E176" s="412" t="s">
        <v>120</v>
      </c>
      <c r="F176" s="412">
        <v>2</v>
      </c>
      <c r="G176" s="400">
        <v>1015</v>
      </c>
      <c r="H176" s="405">
        <v>669</v>
      </c>
      <c r="I176" s="395">
        <v>332.83</v>
      </c>
      <c r="J176" s="402">
        <v>37</v>
      </c>
      <c r="K176" s="259">
        <f t="shared" si="99"/>
        <v>803</v>
      </c>
      <c r="L176" s="60">
        <f t="shared" ref="L176:L234" si="100">IF(K176&lt;=G176,K176,G176)</f>
        <v>803</v>
      </c>
      <c r="M176" s="260">
        <f t="shared" ref="M176:M234" si="101">N176-I176</f>
        <v>66.665500747384158</v>
      </c>
      <c r="N176" s="15">
        <f t="shared" ref="N176:N234" si="102">I176/H176*L176</f>
        <v>399.49550074738414</v>
      </c>
      <c r="O176" s="60">
        <f t="shared" ref="O176:O234" si="103">L176-H176+M176</f>
        <v>200.66550074738416</v>
      </c>
      <c r="P176" s="261">
        <f t="shared" ref="P176:P234" si="104">O176*J176</f>
        <v>7424.6235276532134</v>
      </c>
      <c r="Q176" s="262">
        <f t="shared" ref="Q176:Q234" si="105">P176*12</f>
        <v>89095.482331838561</v>
      </c>
      <c r="R176" s="262">
        <f t="shared" ref="R176:R234" si="106">Q176*0.2409</f>
        <v>21463.101693739911</v>
      </c>
      <c r="S176" s="263">
        <f t="shared" ref="S176:S234" si="107">Q176+R176</f>
        <v>110558.58402557847</v>
      </c>
    </row>
    <row r="177" spans="2:19" ht="15" x14ac:dyDescent="0.25">
      <c r="B177" s="403" t="s">
        <v>406</v>
      </c>
      <c r="C177" s="412" t="s">
        <v>349</v>
      </c>
      <c r="D177" s="412" t="s">
        <v>63</v>
      </c>
      <c r="E177" s="412" t="s">
        <v>120</v>
      </c>
      <c r="F177" s="412">
        <v>3</v>
      </c>
      <c r="G177" s="400">
        <v>1190</v>
      </c>
      <c r="H177" s="405">
        <v>738</v>
      </c>
      <c r="I177" s="395">
        <v>367.16</v>
      </c>
      <c r="J177" s="402">
        <f>759.75</f>
        <v>759.75</v>
      </c>
      <c r="K177" s="259">
        <f t="shared" si="99"/>
        <v>886</v>
      </c>
      <c r="L177" s="60">
        <f t="shared" si="100"/>
        <v>886</v>
      </c>
      <c r="M177" s="260">
        <f t="shared" si="101"/>
        <v>73.631002710027076</v>
      </c>
      <c r="N177" s="15">
        <f t="shared" si="102"/>
        <v>440.7910027100271</v>
      </c>
      <c r="O177" s="60">
        <f t="shared" si="103"/>
        <v>221.63100271002708</v>
      </c>
      <c r="P177" s="261">
        <f t="shared" si="104"/>
        <v>168384.15430894308</v>
      </c>
      <c r="Q177" s="262">
        <f t="shared" si="105"/>
        <v>2020609.8517073169</v>
      </c>
      <c r="R177" s="262">
        <f t="shared" si="106"/>
        <v>486764.91327629267</v>
      </c>
      <c r="S177" s="263">
        <f t="shared" si="107"/>
        <v>2507374.7649836098</v>
      </c>
    </row>
    <row r="178" spans="2:19" ht="15" x14ac:dyDescent="0.25">
      <c r="B178" s="403" t="s">
        <v>407</v>
      </c>
      <c r="C178" s="412" t="s">
        <v>349</v>
      </c>
      <c r="D178" s="412" t="s">
        <v>408</v>
      </c>
      <c r="E178" s="412" t="s">
        <v>124</v>
      </c>
      <c r="F178" s="412">
        <v>3</v>
      </c>
      <c r="G178" s="400">
        <v>1287</v>
      </c>
      <c r="H178" s="405">
        <v>772</v>
      </c>
      <c r="I178" s="395">
        <v>384.07</v>
      </c>
      <c r="J178" s="402">
        <v>32.25</v>
      </c>
      <c r="K178" s="259">
        <f t="shared" si="99"/>
        <v>926</v>
      </c>
      <c r="L178" s="60">
        <f t="shared" si="100"/>
        <v>926</v>
      </c>
      <c r="M178" s="260">
        <f t="shared" si="101"/>
        <v>76.615000000000009</v>
      </c>
      <c r="N178" s="15">
        <f t="shared" si="102"/>
        <v>460.685</v>
      </c>
      <c r="O178" s="60">
        <f t="shared" si="103"/>
        <v>230.61500000000001</v>
      </c>
      <c r="P178" s="261">
        <f t="shared" si="104"/>
        <v>7437.3337500000007</v>
      </c>
      <c r="Q178" s="262">
        <f t="shared" si="105"/>
        <v>89248.005000000005</v>
      </c>
      <c r="R178" s="262">
        <f t="shared" si="106"/>
        <v>21499.8444045</v>
      </c>
      <c r="S178" s="263">
        <f t="shared" si="107"/>
        <v>110747.84940450001</v>
      </c>
    </row>
    <row r="179" spans="2:19" ht="15" x14ac:dyDescent="0.25">
      <c r="B179" s="403" t="s">
        <v>407</v>
      </c>
      <c r="C179" s="412" t="s">
        <v>349</v>
      </c>
      <c r="D179" s="412" t="s">
        <v>408</v>
      </c>
      <c r="E179" s="412" t="s">
        <v>124</v>
      </c>
      <c r="F179" s="412">
        <v>3</v>
      </c>
      <c r="G179" s="400">
        <v>1287</v>
      </c>
      <c r="H179" s="405">
        <v>796</v>
      </c>
      <c r="I179" s="395">
        <v>396.15</v>
      </c>
      <c r="J179" s="402">
        <v>17.25</v>
      </c>
      <c r="K179" s="259">
        <f t="shared" si="99"/>
        <v>955</v>
      </c>
      <c r="L179" s="60">
        <f t="shared" si="100"/>
        <v>955</v>
      </c>
      <c r="M179" s="260">
        <f t="shared" si="101"/>
        <v>79.130464824120565</v>
      </c>
      <c r="N179" s="15">
        <f t="shared" si="102"/>
        <v>475.28046482412054</v>
      </c>
      <c r="O179" s="60">
        <f t="shared" si="103"/>
        <v>238.13046482412057</v>
      </c>
      <c r="P179" s="261">
        <f t="shared" si="104"/>
        <v>4107.7505182160794</v>
      </c>
      <c r="Q179" s="262">
        <f t="shared" si="105"/>
        <v>49293.006218592956</v>
      </c>
      <c r="R179" s="262">
        <f t="shared" si="106"/>
        <v>11874.685198059044</v>
      </c>
      <c r="S179" s="263">
        <f t="shared" si="107"/>
        <v>61167.691416652</v>
      </c>
    </row>
    <row r="180" spans="2:19" ht="15" x14ac:dyDescent="0.25">
      <c r="B180" s="403" t="s">
        <v>407</v>
      </c>
      <c r="C180" s="412" t="s">
        <v>349</v>
      </c>
      <c r="D180" s="412" t="s">
        <v>408</v>
      </c>
      <c r="E180" s="412" t="s">
        <v>124</v>
      </c>
      <c r="F180" s="412">
        <v>3</v>
      </c>
      <c r="G180" s="400">
        <v>1287</v>
      </c>
      <c r="H180" s="405">
        <v>822</v>
      </c>
      <c r="I180" s="395">
        <v>408.79</v>
      </c>
      <c r="J180" s="402">
        <v>5</v>
      </c>
      <c r="K180" s="259">
        <f t="shared" si="99"/>
        <v>986</v>
      </c>
      <c r="L180" s="60">
        <f t="shared" si="100"/>
        <v>986</v>
      </c>
      <c r="M180" s="260">
        <f t="shared" si="101"/>
        <v>81.559075425790752</v>
      </c>
      <c r="N180" s="15">
        <f t="shared" si="102"/>
        <v>490.34907542579077</v>
      </c>
      <c r="O180" s="60">
        <f t="shared" si="103"/>
        <v>245.55907542579075</v>
      </c>
      <c r="P180" s="261">
        <f t="shared" si="104"/>
        <v>1227.7953771289538</v>
      </c>
      <c r="Q180" s="262">
        <f t="shared" si="105"/>
        <v>14733.544525547444</v>
      </c>
      <c r="R180" s="262">
        <f t="shared" si="106"/>
        <v>3549.3108762043794</v>
      </c>
      <c r="S180" s="263">
        <f t="shared" si="107"/>
        <v>18282.855401751825</v>
      </c>
    </row>
    <row r="181" spans="2:19" ht="30" x14ac:dyDescent="0.25">
      <c r="B181" s="391" t="s">
        <v>409</v>
      </c>
      <c r="C181" s="412" t="s">
        <v>349</v>
      </c>
      <c r="D181" s="412" t="s">
        <v>408</v>
      </c>
      <c r="E181" s="412" t="s">
        <v>124</v>
      </c>
      <c r="F181" s="412">
        <v>3</v>
      </c>
      <c r="G181" s="400">
        <v>1287</v>
      </c>
      <c r="H181" s="405">
        <v>833</v>
      </c>
      <c r="I181" s="395">
        <v>0</v>
      </c>
      <c r="J181" s="406">
        <v>6</v>
      </c>
      <c r="K181" s="259">
        <f t="shared" si="99"/>
        <v>1000</v>
      </c>
      <c r="L181" s="60">
        <f t="shared" si="100"/>
        <v>1000</v>
      </c>
      <c r="M181" s="260">
        <f t="shared" si="101"/>
        <v>0</v>
      </c>
      <c r="N181" s="15">
        <f t="shared" si="102"/>
        <v>0</v>
      </c>
      <c r="O181" s="60">
        <f t="shared" si="103"/>
        <v>167</v>
      </c>
      <c r="P181" s="261">
        <f t="shared" si="104"/>
        <v>1002</v>
      </c>
      <c r="Q181" s="262">
        <f t="shared" si="105"/>
        <v>12024</v>
      </c>
      <c r="R181" s="262">
        <f t="shared" si="106"/>
        <v>2896.5816</v>
      </c>
      <c r="S181" s="263">
        <f t="shared" si="107"/>
        <v>14920.5816</v>
      </c>
    </row>
    <row r="182" spans="2:19" ht="30" x14ac:dyDescent="0.25">
      <c r="B182" s="403" t="s">
        <v>409</v>
      </c>
      <c r="C182" s="404" t="s">
        <v>349</v>
      </c>
      <c r="D182" s="404" t="s">
        <v>408</v>
      </c>
      <c r="E182" s="404" t="s">
        <v>124</v>
      </c>
      <c r="F182" s="404">
        <v>3</v>
      </c>
      <c r="G182" s="400">
        <v>1287</v>
      </c>
      <c r="H182" s="405">
        <v>1021</v>
      </c>
      <c r="I182" s="395">
        <v>0</v>
      </c>
      <c r="J182" s="406">
        <v>1</v>
      </c>
      <c r="K182" s="259">
        <f t="shared" si="99"/>
        <v>1225</v>
      </c>
      <c r="L182" s="60">
        <f t="shared" si="100"/>
        <v>1225</v>
      </c>
      <c r="M182" s="260">
        <f t="shared" si="101"/>
        <v>0</v>
      </c>
      <c r="N182" s="15">
        <f t="shared" si="102"/>
        <v>0</v>
      </c>
      <c r="O182" s="60">
        <f t="shared" si="103"/>
        <v>204</v>
      </c>
      <c r="P182" s="261">
        <f t="shared" si="104"/>
        <v>204</v>
      </c>
      <c r="Q182" s="262">
        <f t="shared" si="105"/>
        <v>2448</v>
      </c>
      <c r="R182" s="262">
        <f t="shared" si="106"/>
        <v>589.72320000000002</v>
      </c>
      <c r="S182" s="263">
        <f t="shared" si="107"/>
        <v>3037.7231999999999</v>
      </c>
    </row>
    <row r="183" spans="2:19" ht="30" x14ac:dyDescent="0.25">
      <c r="B183" s="403" t="s">
        <v>410</v>
      </c>
      <c r="C183" s="412" t="s">
        <v>349</v>
      </c>
      <c r="D183" s="412" t="s">
        <v>408</v>
      </c>
      <c r="E183" s="412" t="s">
        <v>124</v>
      </c>
      <c r="F183" s="412">
        <v>3</v>
      </c>
      <c r="G183" s="400">
        <v>1287</v>
      </c>
      <c r="H183" s="405">
        <v>1198</v>
      </c>
      <c r="I183" s="395">
        <v>0</v>
      </c>
      <c r="J183" s="402">
        <v>10</v>
      </c>
      <c r="K183" s="259">
        <f t="shared" si="99"/>
        <v>1438</v>
      </c>
      <c r="L183" s="60">
        <f t="shared" si="100"/>
        <v>1287</v>
      </c>
      <c r="M183" s="260">
        <f t="shared" si="101"/>
        <v>0</v>
      </c>
      <c r="N183" s="15">
        <f t="shared" si="102"/>
        <v>0</v>
      </c>
      <c r="O183" s="60">
        <f t="shared" si="103"/>
        <v>89</v>
      </c>
      <c r="P183" s="261">
        <f t="shared" si="104"/>
        <v>890</v>
      </c>
      <c r="Q183" s="262">
        <f t="shared" si="105"/>
        <v>10680</v>
      </c>
      <c r="R183" s="262">
        <f t="shared" si="106"/>
        <v>2572.8119999999999</v>
      </c>
      <c r="S183" s="263">
        <f t="shared" si="107"/>
        <v>13252.812</v>
      </c>
    </row>
    <row r="184" spans="2:19" ht="30" x14ac:dyDescent="0.25">
      <c r="B184" s="403" t="s">
        <v>411</v>
      </c>
      <c r="C184" s="412" t="s">
        <v>349</v>
      </c>
      <c r="D184" s="412" t="s">
        <v>408</v>
      </c>
      <c r="E184" s="412" t="s">
        <v>124</v>
      </c>
      <c r="F184" s="412">
        <v>3</v>
      </c>
      <c r="G184" s="400">
        <v>1287</v>
      </c>
      <c r="H184" s="405">
        <v>1274</v>
      </c>
      <c r="I184" s="395">
        <v>0</v>
      </c>
      <c r="J184" s="402">
        <v>4</v>
      </c>
      <c r="K184" s="259">
        <f t="shared" si="99"/>
        <v>1529</v>
      </c>
      <c r="L184" s="60">
        <f t="shared" si="100"/>
        <v>1287</v>
      </c>
      <c r="M184" s="260">
        <f t="shared" si="101"/>
        <v>0</v>
      </c>
      <c r="N184" s="15">
        <f t="shared" si="102"/>
        <v>0</v>
      </c>
      <c r="O184" s="60">
        <f t="shared" si="103"/>
        <v>13</v>
      </c>
      <c r="P184" s="261">
        <f t="shared" si="104"/>
        <v>52</v>
      </c>
      <c r="Q184" s="262">
        <f t="shared" si="105"/>
        <v>624</v>
      </c>
      <c r="R184" s="262">
        <f t="shared" si="106"/>
        <v>150.32159999999999</v>
      </c>
      <c r="S184" s="263">
        <f t="shared" si="107"/>
        <v>774.32159999999999</v>
      </c>
    </row>
    <row r="185" spans="2:19" ht="60" x14ac:dyDescent="0.25">
      <c r="B185" s="433" t="s">
        <v>412</v>
      </c>
      <c r="C185" s="417" t="s">
        <v>349</v>
      </c>
      <c r="D185" s="417" t="s">
        <v>408</v>
      </c>
      <c r="E185" s="417" t="s">
        <v>124</v>
      </c>
      <c r="F185" s="417">
        <v>3</v>
      </c>
      <c r="G185" s="400">
        <v>1287</v>
      </c>
      <c r="H185" s="434">
        <v>1051</v>
      </c>
      <c r="I185" s="395">
        <v>0</v>
      </c>
      <c r="J185" s="402">
        <v>10</v>
      </c>
      <c r="K185" s="259">
        <f t="shared" si="99"/>
        <v>1261</v>
      </c>
      <c r="L185" s="60">
        <f t="shared" si="100"/>
        <v>1261</v>
      </c>
      <c r="M185" s="260">
        <f t="shared" si="101"/>
        <v>0</v>
      </c>
      <c r="N185" s="15">
        <f t="shared" si="102"/>
        <v>0</v>
      </c>
      <c r="O185" s="60">
        <f t="shared" si="103"/>
        <v>210</v>
      </c>
      <c r="P185" s="261">
        <f t="shared" si="104"/>
        <v>2100</v>
      </c>
      <c r="Q185" s="262">
        <f t="shared" si="105"/>
        <v>25200</v>
      </c>
      <c r="R185" s="262">
        <f t="shared" si="106"/>
        <v>6070.68</v>
      </c>
      <c r="S185" s="263">
        <f t="shared" si="107"/>
        <v>31270.68</v>
      </c>
    </row>
    <row r="186" spans="2:19" ht="30" x14ac:dyDescent="0.25">
      <c r="B186" s="403" t="s">
        <v>413</v>
      </c>
      <c r="C186" s="412" t="s">
        <v>349</v>
      </c>
      <c r="D186" s="412" t="s">
        <v>408</v>
      </c>
      <c r="E186" s="412" t="s">
        <v>124</v>
      </c>
      <c r="F186" s="412">
        <v>2</v>
      </c>
      <c r="G186" s="400">
        <v>1115</v>
      </c>
      <c r="H186" s="405">
        <v>1007</v>
      </c>
      <c r="I186" s="395">
        <v>0</v>
      </c>
      <c r="J186" s="406">
        <v>1</v>
      </c>
      <c r="K186" s="259">
        <f t="shared" si="99"/>
        <v>1208</v>
      </c>
      <c r="L186" s="60">
        <f t="shared" si="100"/>
        <v>1115</v>
      </c>
      <c r="M186" s="260">
        <f t="shared" si="101"/>
        <v>0</v>
      </c>
      <c r="N186" s="15">
        <f t="shared" si="102"/>
        <v>0</v>
      </c>
      <c r="O186" s="60">
        <f t="shared" si="103"/>
        <v>108</v>
      </c>
      <c r="P186" s="261">
        <f t="shared" si="104"/>
        <v>108</v>
      </c>
      <c r="Q186" s="262">
        <f t="shared" si="105"/>
        <v>1296</v>
      </c>
      <c r="R186" s="262">
        <f t="shared" si="106"/>
        <v>312.20640000000003</v>
      </c>
      <c r="S186" s="263">
        <f t="shared" si="107"/>
        <v>1608.2064</v>
      </c>
    </row>
    <row r="187" spans="2:19" ht="30" x14ac:dyDescent="0.25">
      <c r="B187" s="391" t="s">
        <v>413</v>
      </c>
      <c r="C187" s="412" t="s">
        <v>349</v>
      </c>
      <c r="D187" s="412" t="s">
        <v>408</v>
      </c>
      <c r="E187" s="412" t="s">
        <v>124</v>
      </c>
      <c r="F187" s="412">
        <v>3</v>
      </c>
      <c r="G187" s="400">
        <v>1287</v>
      </c>
      <c r="H187" s="405">
        <v>1117</v>
      </c>
      <c r="I187" s="395">
        <v>0</v>
      </c>
      <c r="J187" s="406">
        <v>4</v>
      </c>
      <c r="K187" s="259">
        <f t="shared" si="99"/>
        <v>1340</v>
      </c>
      <c r="L187" s="60">
        <f t="shared" si="100"/>
        <v>1287</v>
      </c>
      <c r="M187" s="260">
        <f t="shared" si="101"/>
        <v>0</v>
      </c>
      <c r="N187" s="15">
        <f t="shared" si="102"/>
        <v>0</v>
      </c>
      <c r="O187" s="60">
        <f t="shared" si="103"/>
        <v>170</v>
      </c>
      <c r="P187" s="261">
        <f t="shared" si="104"/>
        <v>680</v>
      </c>
      <c r="Q187" s="262">
        <f t="shared" si="105"/>
        <v>8160</v>
      </c>
      <c r="R187" s="262">
        <f t="shared" si="106"/>
        <v>1965.7439999999999</v>
      </c>
      <c r="S187" s="263">
        <f t="shared" si="107"/>
        <v>10125.744000000001</v>
      </c>
    </row>
    <row r="188" spans="2:19" ht="30" x14ac:dyDescent="0.25">
      <c r="B188" s="391" t="s">
        <v>414</v>
      </c>
      <c r="C188" s="412" t="s">
        <v>349</v>
      </c>
      <c r="D188" s="412" t="s">
        <v>408</v>
      </c>
      <c r="E188" s="412" t="s">
        <v>124</v>
      </c>
      <c r="F188" s="412">
        <v>3</v>
      </c>
      <c r="G188" s="400">
        <v>1287</v>
      </c>
      <c r="H188" s="405">
        <v>1113</v>
      </c>
      <c r="I188" s="395">
        <v>0</v>
      </c>
      <c r="J188" s="406">
        <v>1</v>
      </c>
      <c r="K188" s="259">
        <f t="shared" si="99"/>
        <v>1336</v>
      </c>
      <c r="L188" s="60">
        <f t="shared" si="100"/>
        <v>1287</v>
      </c>
      <c r="M188" s="260">
        <f t="shared" si="101"/>
        <v>0</v>
      </c>
      <c r="N188" s="15">
        <f t="shared" si="102"/>
        <v>0</v>
      </c>
      <c r="O188" s="60">
        <f t="shared" si="103"/>
        <v>174</v>
      </c>
      <c r="P188" s="261">
        <f t="shared" si="104"/>
        <v>174</v>
      </c>
      <c r="Q188" s="262">
        <f t="shared" si="105"/>
        <v>2088</v>
      </c>
      <c r="R188" s="262">
        <f t="shared" si="106"/>
        <v>502.99920000000003</v>
      </c>
      <c r="S188" s="263">
        <f t="shared" si="107"/>
        <v>2590.9992000000002</v>
      </c>
    </row>
    <row r="189" spans="2:19" ht="30" x14ac:dyDescent="0.25">
      <c r="B189" s="391" t="s">
        <v>415</v>
      </c>
      <c r="C189" s="412" t="s">
        <v>349</v>
      </c>
      <c r="D189" s="412" t="s">
        <v>63</v>
      </c>
      <c r="E189" s="412" t="s">
        <v>120</v>
      </c>
      <c r="F189" s="412">
        <v>3</v>
      </c>
      <c r="G189" s="400">
        <v>1190</v>
      </c>
      <c r="H189" s="405">
        <v>1114</v>
      </c>
      <c r="I189" s="395">
        <v>222.8</v>
      </c>
      <c r="J189" s="406">
        <v>1</v>
      </c>
      <c r="K189" s="259">
        <f t="shared" si="99"/>
        <v>1337</v>
      </c>
      <c r="L189" s="60">
        <f t="shared" si="100"/>
        <v>1190</v>
      </c>
      <c r="M189" s="260">
        <f t="shared" si="101"/>
        <v>15.199999999999989</v>
      </c>
      <c r="N189" s="15">
        <f t="shared" si="102"/>
        <v>238</v>
      </c>
      <c r="O189" s="60">
        <f t="shared" si="103"/>
        <v>91.199999999999989</v>
      </c>
      <c r="P189" s="261">
        <f t="shared" si="104"/>
        <v>91.199999999999989</v>
      </c>
      <c r="Q189" s="262">
        <f t="shared" si="105"/>
        <v>1094.3999999999999</v>
      </c>
      <c r="R189" s="262">
        <f t="shared" si="106"/>
        <v>263.64095999999995</v>
      </c>
      <c r="S189" s="263">
        <f t="shared" si="107"/>
        <v>1358.0409599999998</v>
      </c>
    </row>
    <row r="190" spans="2:19" ht="15" x14ac:dyDescent="0.25">
      <c r="B190" s="391" t="s">
        <v>416</v>
      </c>
      <c r="C190" s="412" t="s">
        <v>21</v>
      </c>
      <c r="D190" s="412" t="s">
        <v>39</v>
      </c>
      <c r="E190" s="412" t="s">
        <v>321</v>
      </c>
      <c r="F190" s="412">
        <v>3</v>
      </c>
      <c r="G190" s="400">
        <v>1647</v>
      </c>
      <c r="H190" s="405">
        <v>981</v>
      </c>
      <c r="I190" s="395">
        <v>0</v>
      </c>
      <c r="J190" s="406">
        <v>1</v>
      </c>
      <c r="K190" s="259">
        <f t="shared" si="99"/>
        <v>1177</v>
      </c>
      <c r="L190" s="60">
        <f t="shared" si="100"/>
        <v>1177</v>
      </c>
      <c r="M190" s="260">
        <f t="shared" si="101"/>
        <v>0</v>
      </c>
      <c r="N190" s="15">
        <f t="shared" si="102"/>
        <v>0</v>
      </c>
      <c r="O190" s="60">
        <f t="shared" si="103"/>
        <v>196</v>
      </c>
      <c r="P190" s="261">
        <f t="shared" si="104"/>
        <v>196</v>
      </c>
      <c r="Q190" s="262">
        <f t="shared" si="105"/>
        <v>2352</v>
      </c>
      <c r="R190" s="262">
        <f t="shared" si="106"/>
        <v>566.59680000000003</v>
      </c>
      <c r="S190" s="263">
        <f t="shared" si="107"/>
        <v>2918.5968000000003</v>
      </c>
    </row>
    <row r="191" spans="2:19" ht="30" x14ac:dyDescent="0.25">
      <c r="B191" s="391" t="s">
        <v>417</v>
      </c>
      <c r="C191" s="412" t="s">
        <v>418</v>
      </c>
      <c r="D191" s="412" t="s">
        <v>42</v>
      </c>
      <c r="E191" s="412" t="s">
        <v>120</v>
      </c>
      <c r="F191" s="412">
        <v>3</v>
      </c>
      <c r="G191" s="400">
        <v>1190</v>
      </c>
      <c r="H191" s="405">
        <v>800</v>
      </c>
      <c r="I191" s="395">
        <v>0</v>
      </c>
      <c r="J191" s="406">
        <v>0.5</v>
      </c>
      <c r="K191" s="259">
        <f t="shared" si="99"/>
        <v>960</v>
      </c>
      <c r="L191" s="60">
        <f t="shared" si="100"/>
        <v>960</v>
      </c>
      <c r="M191" s="260">
        <f t="shared" si="101"/>
        <v>0</v>
      </c>
      <c r="N191" s="15">
        <f t="shared" si="102"/>
        <v>0</v>
      </c>
      <c r="O191" s="60">
        <f t="shared" si="103"/>
        <v>160</v>
      </c>
      <c r="P191" s="261">
        <f t="shared" si="104"/>
        <v>80</v>
      </c>
      <c r="Q191" s="262">
        <f t="shared" si="105"/>
        <v>960</v>
      </c>
      <c r="R191" s="262">
        <f t="shared" si="106"/>
        <v>231.26400000000001</v>
      </c>
      <c r="S191" s="263">
        <f t="shared" si="107"/>
        <v>1191.2640000000001</v>
      </c>
    </row>
    <row r="192" spans="2:19" ht="15" x14ac:dyDescent="0.25">
      <c r="B192" s="391" t="s">
        <v>40</v>
      </c>
      <c r="C192" s="412" t="s">
        <v>418</v>
      </c>
      <c r="D192" s="412" t="s">
        <v>35</v>
      </c>
      <c r="E192" s="412" t="s">
        <v>324</v>
      </c>
      <c r="F192" s="412">
        <v>3</v>
      </c>
      <c r="G192" s="400">
        <v>1382</v>
      </c>
      <c r="H192" s="405">
        <v>640.29</v>
      </c>
      <c r="I192" s="395">
        <v>0</v>
      </c>
      <c r="J192" s="406">
        <v>0.5</v>
      </c>
      <c r="K192" s="259">
        <f t="shared" si="99"/>
        <v>768</v>
      </c>
      <c r="L192" s="60">
        <f t="shared" si="100"/>
        <v>768</v>
      </c>
      <c r="M192" s="260">
        <f t="shared" si="101"/>
        <v>0</v>
      </c>
      <c r="N192" s="15">
        <f t="shared" si="102"/>
        <v>0</v>
      </c>
      <c r="O192" s="60">
        <f t="shared" si="103"/>
        <v>127.71000000000004</v>
      </c>
      <c r="P192" s="261">
        <f t="shared" si="104"/>
        <v>63.855000000000018</v>
      </c>
      <c r="Q192" s="262">
        <f t="shared" si="105"/>
        <v>766.26000000000022</v>
      </c>
      <c r="R192" s="262">
        <f t="shared" si="106"/>
        <v>184.59203400000004</v>
      </c>
      <c r="S192" s="263">
        <f t="shared" si="107"/>
        <v>950.85203400000023</v>
      </c>
    </row>
    <row r="193" spans="2:19" ht="45" x14ac:dyDescent="0.25">
      <c r="B193" s="391" t="s">
        <v>419</v>
      </c>
      <c r="C193" s="412" t="s">
        <v>349</v>
      </c>
      <c r="D193" s="412" t="s">
        <v>408</v>
      </c>
      <c r="E193" s="412" t="s">
        <v>124</v>
      </c>
      <c r="F193" s="412">
        <v>3</v>
      </c>
      <c r="G193" s="400">
        <v>1287</v>
      </c>
      <c r="H193" s="405">
        <v>1190</v>
      </c>
      <c r="I193" s="395">
        <v>0</v>
      </c>
      <c r="J193" s="406">
        <v>1</v>
      </c>
      <c r="K193" s="259">
        <f t="shared" si="99"/>
        <v>1428</v>
      </c>
      <c r="L193" s="60">
        <f t="shared" si="100"/>
        <v>1287</v>
      </c>
      <c r="M193" s="260">
        <f t="shared" si="101"/>
        <v>0</v>
      </c>
      <c r="N193" s="15">
        <f t="shared" si="102"/>
        <v>0</v>
      </c>
      <c r="O193" s="60">
        <f t="shared" si="103"/>
        <v>97</v>
      </c>
      <c r="P193" s="261">
        <f t="shared" si="104"/>
        <v>97</v>
      </c>
      <c r="Q193" s="262">
        <f t="shared" si="105"/>
        <v>1164</v>
      </c>
      <c r="R193" s="262">
        <f t="shared" si="106"/>
        <v>280.4076</v>
      </c>
      <c r="S193" s="263">
        <f t="shared" si="107"/>
        <v>1444.4076</v>
      </c>
    </row>
    <row r="194" spans="2:19" ht="45" x14ac:dyDescent="0.25">
      <c r="B194" s="391" t="s">
        <v>419</v>
      </c>
      <c r="C194" s="412" t="s">
        <v>418</v>
      </c>
      <c r="D194" s="412" t="s">
        <v>42</v>
      </c>
      <c r="E194" s="412" t="s">
        <v>120</v>
      </c>
      <c r="F194" s="412">
        <v>3</v>
      </c>
      <c r="G194" s="400">
        <v>1190</v>
      </c>
      <c r="H194" s="405">
        <v>1190</v>
      </c>
      <c r="I194" s="395">
        <v>0</v>
      </c>
      <c r="J194" s="406">
        <v>1</v>
      </c>
      <c r="K194" s="259">
        <f t="shared" si="99"/>
        <v>1428</v>
      </c>
      <c r="L194" s="60">
        <f t="shared" si="100"/>
        <v>1190</v>
      </c>
      <c r="M194" s="260">
        <f t="shared" si="101"/>
        <v>0</v>
      </c>
      <c r="N194" s="15">
        <f t="shared" si="102"/>
        <v>0</v>
      </c>
      <c r="O194" s="60">
        <f t="shared" si="103"/>
        <v>0</v>
      </c>
      <c r="P194" s="261">
        <f t="shared" si="104"/>
        <v>0</v>
      </c>
      <c r="Q194" s="262">
        <f t="shared" si="105"/>
        <v>0</v>
      </c>
      <c r="R194" s="262">
        <f t="shared" si="106"/>
        <v>0</v>
      </c>
      <c r="S194" s="263">
        <f t="shared" si="107"/>
        <v>0</v>
      </c>
    </row>
    <row r="195" spans="2:19" ht="30" x14ac:dyDescent="0.25">
      <c r="B195" s="391" t="s">
        <v>420</v>
      </c>
      <c r="C195" s="412" t="s">
        <v>418</v>
      </c>
      <c r="D195" s="412" t="s">
        <v>39</v>
      </c>
      <c r="E195" s="412" t="s">
        <v>321</v>
      </c>
      <c r="F195" s="412">
        <v>3</v>
      </c>
      <c r="G195" s="400">
        <v>1647</v>
      </c>
      <c r="H195" s="405">
        <v>1647</v>
      </c>
      <c r="I195" s="395">
        <v>0</v>
      </c>
      <c r="J195" s="406">
        <v>1</v>
      </c>
      <c r="K195" s="259">
        <f t="shared" si="99"/>
        <v>1976</v>
      </c>
      <c r="L195" s="60">
        <f t="shared" si="100"/>
        <v>1647</v>
      </c>
      <c r="M195" s="260">
        <f t="shared" si="101"/>
        <v>0</v>
      </c>
      <c r="N195" s="15">
        <f t="shared" si="102"/>
        <v>0</v>
      </c>
      <c r="O195" s="60">
        <f t="shared" si="103"/>
        <v>0</v>
      </c>
      <c r="P195" s="261">
        <f t="shared" si="104"/>
        <v>0</v>
      </c>
      <c r="Q195" s="262">
        <f t="shared" si="105"/>
        <v>0</v>
      </c>
      <c r="R195" s="262">
        <f t="shared" si="106"/>
        <v>0</v>
      </c>
      <c r="S195" s="263">
        <f t="shared" si="107"/>
        <v>0</v>
      </c>
    </row>
    <row r="196" spans="2:19" ht="30" x14ac:dyDescent="0.25">
      <c r="B196" s="433" t="s">
        <v>421</v>
      </c>
      <c r="C196" s="417" t="s">
        <v>349</v>
      </c>
      <c r="D196" s="417" t="s">
        <v>35</v>
      </c>
      <c r="E196" s="417" t="s">
        <v>321</v>
      </c>
      <c r="F196" s="417">
        <v>3</v>
      </c>
      <c r="G196" s="400">
        <v>1647</v>
      </c>
      <c r="H196" s="434">
        <v>1450</v>
      </c>
      <c r="I196" s="395">
        <v>0</v>
      </c>
      <c r="J196" s="402">
        <v>1</v>
      </c>
      <c r="K196" s="259">
        <f t="shared" si="99"/>
        <v>1740</v>
      </c>
      <c r="L196" s="60">
        <f t="shared" si="100"/>
        <v>1647</v>
      </c>
      <c r="M196" s="260">
        <f t="shared" si="101"/>
        <v>0</v>
      </c>
      <c r="N196" s="15">
        <f t="shared" si="102"/>
        <v>0</v>
      </c>
      <c r="O196" s="60">
        <f t="shared" si="103"/>
        <v>197</v>
      </c>
      <c r="P196" s="261">
        <f t="shared" si="104"/>
        <v>197</v>
      </c>
      <c r="Q196" s="262">
        <f t="shared" si="105"/>
        <v>2364</v>
      </c>
      <c r="R196" s="262">
        <f t="shared" si="106"/>
        <v>569.48760000000004</v>
      </c>
      <c r="S196" s="263">
        <f t="shared" si="107"/>
        <v>2933.4875999999999</v>
      </c>
    </row>
    <row r="197" spans="2:19" ht="30" x14ac:dyDescent="0.25">
      <c r="B197" s="403" t="s">
        <v>422</v>
      </c>
      <c r="C197" s="412" t="s">
        <v>349</v>
      </c>
      <c r="D197" s="412" t="s">
        <v>408</v>
      </c>
      <c r="E197" s="412" t="s">
        <v>124</v>
      </c>
      <c r="F197" s="412">
        <v>3</v>
      </c>
      <c r="G197" s="400">
        <v>1287</v>
      </c>
      <c r="H197" s="405">
        <v>1287</v>
      </c>
      <c r="I197" s="395">
        <v>0</v>
      </c>
      <c r="J197" s="402">
        <v>5</v>
      </c>
      <c r="K197" s="259">
        <f t="shared" si="99"/>
        <v>1544</v>
      </c>
      <c r="L197" s="60">
        <f t="shared" si="100"/>
        <v>1287</v>
      </c>
      <c r="M197" s="260">
        <f t="shared" si="101"/>
        <v>0</v>
      </c>
      <c r="N197" s="15">
        <f t="shared" si="102"/>
        <v>0</v>
      </c>
      <c r="O197" s="60">
        <f t="shared" si="103"/>
        <v>0</v>
      </c>
      <c r="P197" s="261">
        <f t="shared" si="104"/>
        <v>0</v>
      </c>
      <c r="Q197" s="262">
        <f t="shared" si="105"/>
        <v>0</v>
      </c>
      <c r="R197" s="262">
        <f t="shared" si="106"/>
        <v>0</v>
      </c>
      <c r="S197" s="263">
        <f t="shared" si="107"/>
        <v>0</v>
      </c>
    </row>
    <row r="198" spans="2:19" ht="15" x14ac:dyDescent="0.25">
      <c r="B198" s="407" t="s">
        <v>423</v>
      </c>
      <c r="C198" s="412" t="s">
        <v>349</v>
      </c>
      <c r="D198" s="412" t="s">
        <v>408</v>
      </c>
      <c r="E198" s="412" t="s">
        <v>124</v>
      </c>
      <c r="F198" s="412">
        <v>3</v>
      </c>
      <c r="G198" s="400">
        <v>1287</v>
      </c>
      <c r="H198" s="405">
        <v>1143</v>
      </c>
      <c r="I198" s="395">
        <v>0</v>
      </c>
      <c r="J198" s="406">
        <v>1</v>
      </c>
      <c r="K198" s="259">
        <f t="shared" si="99"/>
        <v>1372</v>
      </c>
      <c r="L198" s="60">
        <f t="shared" si="100"/>
        <v>1287</v>
      </c>
      <c r="M198" s="260">
        <f t="shared" si="101"/>
        <v>0</v>
      </c>
      <c r="N198" s="15">
        <f t="shared" si="102"/>
        <v>0</v>
      </c>
      <c r="O198" s="60">
        <f t="shared" si="103"/>
        <v>144</v>
      </c>
      <c r="P198" s="261">
        <f t="shared" si="104"/>
        <v>144</v>
      </c>
      <c r="Q198" s="262">
        <f t="shared" si="105"/>
        <v>1728</v>
      </c>
      <c r="R198" s="262">
        <f t="shared" si="106"/>
        <v>416.27519999999998</v>
      </c>
      <c r="S198" s="263">
        <f t="shared" si="107"/>
        <v>2144.2752</v>
      </c>
    </row>
    <row r="199" spans="2:19" ht="15" x14ac:dyDescent="0.25">
      <c r="B199" s="403" t="s">
        <v>424</v>
      </c>
      <c r="C199" s="412" t="s">
        <v>349</v>
      </c>
      <c r="D199" s="412" t="s">
        <v>63</v>
      </c>
      <c r="E199" s="412" t="s">
        <v>120</v>
      </c>
      <c r="F199" s="412">
        <v>1</v>
      </c>
      <c r="G199" s="400">
        <v>835</v>
      </c>
      <c r="H199" s="405">
        <v>618</v>
      </c>
      <c r="I199" s="395">
        <v>196.22</v>
      </c>
      <c r="J199" s="406">
        <v>2</v>
      </c>
      <c r="K199" s="259">
        <f t="shared" si="99"/>
        <v>742</v>
      </c>
      <c r="L199" s="60">
        <f t="shared" si="100"/>
        <v>742</v>
      </c>
      <c r="M199" s="260">
        <f t="shared" si="101"/>
        <v>39.37100323624594</v>
      </c>
      <c r="N199" s="15">
        <f t="shared" si="102"/>
        <v>235.59100323624594</v>
      </c>
      <c r="O199" s="60">
        <f t="shared" si="103"/>
        <v>163.37100323624594</v>
      </c>
      <c r="P199" s="261">
        <f t="shared" si="104"/>
        <v>326.74200647249188</v>
      </c>
      <c r="Q199" s="262">
        <f t="shared" si="105"/>
        <v>3920.9040776699026</v>
      </c>
      <c r="R199" s="262">
        <f t="shared" si="106"/>
        <v>944.54579231067953</v>
      </c>
      <c r="S199" s="263">
        <f t="shared" si="107"/>
        <v>4865.4498699805818</v>
      </c>
    </row>
    <row r="200" spans="2:19" ht="15" x14ac:dyDescent="0.25">
      <c r="B200" s="403" t="s">
        <v>424</v>
      </c>
      <c r="C200" s="412" t="s">
        <v>349</v>
      </c>
      <c r="D200" s="412" t="s">
        <v>63</v>
      </c>
      <c r="E200" s="412" t="s">
        <v>120</v>
      </c>
      <c r="F200" s="412">
        <v>2</v>
      </c>
      <c r="G200" s="400">
        <v>1015</v>
      </c>
      <c r="H200" s="405">
        <v>671</v>
      </c>
      <c r="I200" s="395">
        <v>213.04</v>
      </c>
      <c r="J200" s="406">
        <v>1.25</v>
      </c>
      <c r="K200" s="259">
        <f t="shared" si="99"/>
        <v>805</v>
      </c>
      <c r="L200" s="60">
        <f t="shared" si="100"/>
        <v>805</v>
      </c>
      <c r="M200" s="260">
        <f t="shared" si="101"/>
        <v>42.544500745156483</v>
      </c>
      <c r="N200" s="15">
        <f t="shared" si="102"/>
        <v>255.58450074515648</v>
      </c>
      <c r="O200" s="60">
        <f t="shared" si="103"/>
        <v>176.54450074515648</v>
      </c>
      <c r="P200" s="261">
        <f t="shared" si="104"/>
        <v>220.6806259314456</v>
      </c>
      <c r="Q200" s="262">
        <f t="shared" si="105"/>
        <v>2648.1675111773475</v>
      </c>
      <c r="R200" s="262">
        <f t="shared" si="106"/>
        <v>637.94355344262306</v>
      </c>
      <c r="S200" s="263">
        <f t="shared" si="107"/>
        <v>3286.1110646199704</v>
      </c>
    </row>
    <row r="201" spans="2:19" ht="15" x14ac:dyDescent="0.25">
      <c r="B201" s="403" t="s">
        <v>424</v>
      </c>
      <c r="C201" s="412" t="s">
        <v>349</v>
      </c>
      <c r="D201" s="412" t="s">
        <v>63</v>
      </c>
      <c r="E201" s="412" t="s">
        <v>120</v>
      </c>
      <c r="F201" s="412">
        <v>3</v>
      </c>
      <c r="G201" s="400">
        <v>1190</v>
      </c>
      <c r="H201" s="405">
        <v>740</v>
      </c>
      <c r="I201" s="395">
        <v>234.95</v>
      </c>
      <c r="J201" s="406">
        <v>14.25</v>
      </c>
      <c r="K201" s="259">
        <f t="shared" si="99"/>
        <v>888</v>
      </c>
      <c r="L201" s="60">
        <f t="shared" si="100"/>
        <v>888</v>
      </c>
      <c r="M201" s="260">
        <f t="shared" si="101"/>
        <v>46.990000000000009</v>
      </c>
      <c r="N201" s="15">
        <f t="shared" si="102"/>
        <v>281.94</v>
      </c>
      <c r="O201" s="60">
        <f t="shared" si="103"/>
        <v>194.99</v>
      </c>
      <c r="P201" s="261">
        <f t="shared" si="104"/>
        <v>2778.6075000000001</v>
      </c>
      <c r="Q201" s="262">
        <f t="shared" si="105"/>
        <v>33343.29</v>
      </c>
      <c r="R201" s="262">
        <f t="shared" si="106"/>
        <v>8032.398561</v>
      </c>
      <c r="S201" s="263">
        <f t="shared" si="107"/>
        <v>41375.688561000003</v>
      </c>
    </row>
    <row r="202" spans="2:19" ht="15" x14ac:dyDescent="0.25">
      <c r="B202" s="760" t="s">
        <v>612</v>
      </c>
      <c r="C202" s="412" t="s">
        <v>349</v>
      </c>
      <c r="D202" s="412" t="s">
        <v>35</v>
      </c>
      <c r="E202" s="412" t="s">
        <v>321</v>
      </c>
      <c r="F202" s="412">
        <v>3</v>
      </c>
      <c r="G202" s="400">
        <v>1647</v>
      </c>
      <c r="H202" s="405">
        <v>1344</v>
      </c>
      <c r="I202" s="395">
        <v>426.72</v>
      </c>
      <c r="J202" s="406">
        <v>4.5</v>
      </c>
      <c r="K202" s="259">
        <f t="shared" si="99"/>
        <v>1613</v>
      </c>
      <c r="L202" s="60">
        <f t="shared" si="100"/>
        <v>1613</v>
      </c>
      <c r="M202" s="260">
        <f t="shared" si="101"/>
        <v>85.407500000000027</v>
      </c>
      <c r="N202" s="15">
        <f t="shared" si="102"/>
        <v>512.12750000000005</v>
      </c>
      <c r="O202" s="60">
        <f t="shared" si="103"/>
        <v>354.40750000000003</v>
      </c>
      <c r="P202" s="261">
        <f t="shared" si="104"/>
        <v>1594.8337500000002</v>
      </c>
      <c r="Q202" s="262">
        <f t="shared" si="105"/>
        <v>19138.005000000005</v>
      </c>
      <c r="R202" s="262">
        <f t="shared" si="106"/>
        <v>4610.3454045000008</v>
      </c>
      <c r="S202" s="263">
        <f t="shared" si="107"/>
        <v>23748.350404500005</v>
      </c>
    </row>
    <row r="203" spans="2:19" ht="15" x14ac:dyDescent="0.25">
      <c r="B203" s="760" t="s">
        <v>613</v>
      </c>
      <c r="C203" s="412" t="s">
        <v>349</v>
      </c>
      <c r="D203" s="412" t="s">
        <v>15</v>
      </c>
      <c r="E203" s="412" t="s">
        <v>125</v>
      </c>
      <c r="F203" s="412">
        <v>3</v>
      </c>
      <c r="G203" s="400">
        <v>996</v>
      </c>
      <c r="H203" s="405">
        <v>510</v>
      </c>
      <c r="I203" s="395">
        <v>161.93</v>
      </c>
      <c r="J203" s="406">
        <v>3.25</v>
      </c>
      <c r="K203" s="259">
        <f t="shared" si="99"/>
        <v>612</v>
      </c>
      <c r="L203" s="60">
        <f t="shared" si="100"/>
        <v>612</v>
      </c>
      <c r="M203" s="260">
        <f t="shared" si="101"/>
        <v>32.385999999999996</v>
      </c>
      <c r="N203" s="15">
        <f t="shared" si="102"/>
        <v>194.316</v>
      </c>
      <c r="O203" s="60">
        <f t="shared" si="103"/>
        <v>134.386</v>
      </c>
      <c r="P203" s="261">
        <f t="shared" si="104"/>
        <v>436.75450000000001</v>
      </c>
      <c r="Q203" s="262">
        <f t="shared" si="105"/>
        <v>5241.0540000000001</v>
      </c>
      <c r="R203" s="262">
        <f t="shared" si="106"/>
        <v>1262.5699086</v>
      </c>
      <c r="S203" s="263">
        <f t="shared" si="107"/>
        <v>6503.6239086000005</v>
      </c>
    </row>
    <row r="204" spans="2:19" ht="30" x14ac:dyDescent="0.25">
      <c r="B204" s="403" t="s">
        <v>425</v>
      </c>
      <c r="C204" s="412" t="s">
        <v>349</v>
      </c>
      <c r="D204" s="412" t="s">
        <v>47</v>
      </c>
      <c r="E204" s="412" t="s">
        <v>125</v>
      </c>
      <c r="F204" s="412">
        <v>2</v>
      </c>
      <c r="G204" s="400">
        <v>835</v>
      </c>
      <c r="H204" s="405">
        <v>604</v>
      </c>
      <c r="I204" s="395">
        <v>191.77</v>
      </c>
      <c r="J204" s="406">
        <v>1</v>
      </c>
      <c r="K204" s="259">
        <f t="shared" si="99"/>
        <v>725</v>
      </c>
      <c r="L204" s="60">
        <f t="shared" si="100"/>
        <v>725</v>
      </c>
      <c r="M204" s="260">
        <f t="shared" si="101"/>
        <v>38.41749999999999</v>
      </c>
      <c r="N204" s="15">
        <f t="shared" si="102"/>
        <v>230.1875</v>
      </c>
      <c r="O204" s="60">
        <f t="shared" si="103"/>
        <v>159.41749999999999</v>
      </c>
      <c r="P204" s="261">
        <f t="shared" si="104"/>
        <v>159.41749999999999</v>
      </c>
      <c r="Q204" s="262">
        <f t="shared" si="105"/>
        <v>1913.0099999999998</v>
      </c>
      <c r="R204" s="262">
        <f t="shared" si="106"/>
        <v>460.84410899999995</v>
      </c>
      <c r="S204" s="263">
        <f t="shared" si="107"/>
        <v>2373.8541089999999</v>
      </c>
    </row>
    <row r="205" spans="2:19" ht="30" x14ac:dyDescent="0.25">
      <c r="B205" s="403" t="s">
        <v>425</v>
      </c>
      <c r="C205" s="412" t="s">
        <v>349</v>
      </c>
      <c r="D205" s="412" t="s">
        <v>47</v>
      </c>
      <c r="E205" s="412" t="s">
        <v>125</v>
      </c>
      <c r="F205" s="412">
        <v>3</v>
      </c>
      <c r="G205" s="400">
        <v>996</v>
      </c>
      <c r="H205" s="405">
        <v>622</v>
      </c>
      <c r="I205" s="395">
        <v>197.36</v>
      </c>
      <c r="J205" s="406">
        <v>8</v>
      </c>
      <c r="K205" s="259">
        <f t="shared" si="99"/>
        <v>746</v>
      </c>
      <c r="L205" s="60">
        <f t="shared" si="100"/>
        <v>746</v>
      </c>
      <c r="M205" s="260">
        <f t="shared" si="101"/>
        <v>39.3450803858521</v>
      </c>
      <c r="N205" s="15">
        <f t="shared" si="102"/>
        <v>236.70508038585211</v>
      </c>
      <c r="O205" s="60">
        <f t="shared" si="103"/>
        <v>163.3450803858521</v>
      </c>
      <c r="P205" s="261">
        <f t="shared" si="104"/>
        <v>1306.7606430868168</v>
      </c>
      <c r="Q205" s="262">
        <f t="shared" si="105"/>
        <v>15681.127717041802</v>
      </c>
      <c r="R205" s="262">
        <f t="shared" si="106"/>
        <v>3777.5836670353701</v>
      </c>
      <c r="S205" s="263">
        <f t="shared" si="107"/>
        <v>19458.711384077171</v>
      </c>
    </row>
    <row r="206" spans="2:19" ht="15" x14ac:dyDescent="0.25">
      <c r="B206" s="407" t="s">
        <v>426</v>
      </c>
      <c r="C206" s="412" t="s">
        <v>349</v>
      </c>
      <c r="D206" s="412" t="s">
        <v>47</v>
      </c>
      <c r="E206" s="412" t="s">
        <v>125</v>
      </c>
      <c r="F206" s="412">
        <v>3</v>
      </c>
      <c r="G206" s="400">
        <v>996</v>
      </c>
      <c r="H206" s="405">
        <v>710</v>
      </c>
      <c r="I206" s="395">
        <v>225.55</v>
      </c>
      <c r="J206" s="406">
        <v>27</v>
      </c>
      <c r="K206" s="259">
        <f t="shared" si="99"/>
        <v>852</v>
      </c>
      <c r="L206" s="60">
        <f t="shared" si="100"/>
        <v>852</v>
      </c>
      <c r="M206" s="260">
        <f t="shared" si="101"/>
        <v>45.110000000000014</v>
      </c>
      <c r="N206" s="15">
        <f t="shared" si="102"/>
        <v>270.66000000000003</v>
      </c>
      <c r="O206" s="60">
        <f t="shared" si="103"/>
        <v>187.11</v>
      </c>
      <c r="P206" s="261">
        <f t="shared" si="104"/>
        <v>5051.97</v>
      </c>
      <c r="Q206" s="262">
        <f t="shared" si="105"/>
        <v>60623.64</v>
      </c>
      <c r="R206" s="262">
        <f t="shared" si="106"/>
        <v>14604.234876</v>
      </c>
      <c r="S206" s="263">
        <f t="shared" si="107"/>
        <v>75227.874876000002</v>
      </c>
    </row>
    <row r="207" spans="2:19" ht="15" x14ac:dyDescent="0.25">
      <c r="B207" s="403" t="s">
        <v>427</v>
      </c>
      <c r="C207" s="412" t="s">
        <v>349</v>
      </c>
      <c r="D207" s="412" t="s">
        <v>37</v>
      </c>
      <c r="E207" s="412" t="s">
        <v>78</v>
      </c>
      <c r="F207" s="412">
        <v>2</v>
      </c>
      <c r="G207" s="400">
        <v>920</v>
      </c>
      <c r="H207" s="405">
        <v>873</v>
      </c>
      <c r="I207" s="395">
        <v>277.18</v>
      </c>
      <c r="J207" s="406">
        <v>1</v>
      </c>
      <c r="K207" s="259">
        <f t="shared" si="99"/>
        <v>1048</v>
      </c>
      <c r="L207" s="60">
        <f t="shared" si="100"/>
        <v>920</v>
      </c>
      <c r="M207" s="260">
        <f t="shared" si="101"/>
        <v>14.922634593356236</v>
      </c>
      <c r="N207" s="15">
        <f t="shared" si="102"/>
        <v>292.10263459335624</v>
      </c>
      <c r="O207" s="60">
        <f t="shared" si="103"/>
        <v>61.922634593356236</v>
      </c>
      <c r="P207" s="261">
        <f t="shared" si="104"/>
        <v>61.922634593356236</v>
      </c>
      <c r="Q207" s="262">
        <f t="shared" si="105"/>
        <v>743.07161512027483</v>
      </c>
      <c r="R207" s="262">
        <f t="shared" si="106"/>
        <v>179.00595208247421</v>
      </c>
      <c r="S207" s="263">
        <f t="shared" si="107"/>
        <v>922.07756720274904</v>
      </c>
    </row>
    <row r="208" spans="2:19" ht="15" x14ac:dyDescent="0.25">
      <c r="B208" s="403" t="s">
        <v>427</v>
      </c>
      <c r="C208" s="412" t="s">
        <v>349</v>
      </c>
      <c r="D208" s="412" t="s">
        <v>37</v>
      </c>
      <c r="E208" s="412" t="s">
        <v>78</v>
      </c>
      <c r="F208" s="412">
        <v>3</v>
      </c>
      <c r="G208" s="400">
        <v>1093</v>
      </c>
      <c r="H208" s="405">
        <v>960</v>
      </c>
      <c r="I208" s="395">
        <v>304.8</v>
      </c>
      <c r="J208" s="406">
        <v>8</v>
      </c>
      <c r="K208" s="259">
        <f t="shared" si="99"/>
        <v>1152</v>
      </c>
      <c r="L208" s="60">
        <f t="shared" si="100"/>
        <v>1093</v>
      </c>
      <c r="M208" s="260">
        <f t="shared" si="101"/>
        <v>42.22750000000002</v>
      </c>
      <c r="N208" s="15">
        <f t="shared" si="102"/>
        <v>347.02750000000003</v>
      </c>
      <c r="O208" s="60">
        <f t="shared" si="103"/>
        <v>175.22750000000002</v>
      </c>
      <c r="P208" s="261">
        <f t="shared" si="104"/>
        <v>1401.8200000000002</v>
      </c>
      <c r="Q208" s="262">
        <f t="shared" si="105"/>
        <v>16821.840000000004</v>
      </c>
      <c r="R208" s="262">
        <f t="shared" si="106"/>
        <v>4052.381256000001</v>
      </c>
      <c r="S208" s="263">
        <f t="shared" si="107"/>
        <v>20874.221256000004</v>
      </c>
    </row>
    <row r="209" spans="2:19" ht="30" x14ac:dyDescent="0.25">
      <c r="B209" s="403" t="s">
        <v>428</v>
      </c>
      <c r="C209" s="412" t="s">
        <v>349</v>
      </c>
      <c r="D209" s="412" t="s">
        <v>47</v>
      </c>
      <c r="E209" s="412" t="s">
        <v>125</v>
      </c>
      <c r="F209" s="412">
        <v>2</v>
      </c>
      <c r="G209" s="400">
        <v>835</v>
      </c>
      <c r="H209" s="405">
        <v>604</v>
      </c>
      <c r="I209" s="395">
        <v>191.77</v>
      </c>
      <c r="J209" s="406">
        <v>0.5</v>
      </c>
      <c r="K209" s="259">
        <f t="shared" si="99"/>
        <v>725</v>
      </c>
      <c r="L209" s="60">
        <f t="shared" si="100"/>
        <v>725</v>
      </c>
      <c r="M209" s="260">
        <f t="shared" si="101"/>
        <v>38.41749999999999</v>
      </c>
      <c r="N209" s="15">
        <f t="shared" si="102"/>
        <v>230.1875</v>
      </c>
      <c r="O209" s="60">
        <f t="shared" si="103"/>
        <v>159.41749999999999</v>
      </c>
      <c r="P209" s="261">
        <f t="shared" si="104"/>
        <v>79.708749999999995</v>
      </c>
      <c r="Q209" s="262">
        <f t="shared" si="105"/>
        <v>956.50499999999988</v>
      </c>
      <c r="R209" s="262">
        <f t="shared" si="106"/>
        <v>230.42205449999997</v>
      </c>
      <c r="S209" s="263">
        <f t="shared" si="107"/>
        <v>1186.9270544999999</v>
      </c>
    </row>
    <row r="210" spans="2:19" ht="30" x14ac:dyDescent="0.25">
      <c r="B210" s="403" t="s">
        <v>428</v>
      </c>
      <c r="C210" s="412" t="s">
        <v>349</v>
      </c>
      <c r="D210" s="412" t="s">
        <v>47</v>
      </c>
      <c r="E210" s="412" t="s">
        <v>125</v>
      </c>
      <c r="F210" s="412">
        <v>3</v>
      </c>
      <c r="G210" s="400">
        <v>996</v>
      </c>
      <c r="H210" s="405">
        <v>666</v>
      </c>
      <c r="I210" s="395">
        <v>211.46</v>
      </c>
      <c r="J210" s="406">
        <v>1</v>
      </c>
      <c r="K210" s="259">
        <f t="shared" si="99"/>
        <v>799</v>
      </c>
      <c r="L210" s="60">
        <f t="shared" si="100"/>
        <v>799</v>
      </c>
      <c r="M210" s="260">
        <f t="shared" si="101"/>
        <v>42.228498498498482</v>
      </c>
      <c r="N210" s="15">
        <f t="shared" si="102"/>
        <v>253.68849849849849</v>
      </c>
      <c r="O210" s="60">
        <f t="shared" si="103"/>
        <v>175.22849849849848</v>
      </c>
      <c r="P210" s="261">
        <f t="shared" si="104"/>
        <v>175.22849849849848</v>
      </c>
      <c r="Q210" s="262">
        <f t="shared" si="105"/>
        <v>2102.7419819819816</v>
      </c>
      <c r="R210" s="262">
        <f t="shared" si="106"/>
        <v>506.55054345945939</v>
      </c>
      <c r="S210" s="263">
        <f t="shared" si="107"/>
        <v>2609.2925254414408</v>
      </c>
    </row>
    <row r="211" spans="2:19" ht="30" x14ac:dyDescent="0.25">
      <c r="B211" s="403" t="s">
        <v>429</v>
      </c>
      <c r="C211" s="412" t="s">
        <v>349</v>
      </c>
      <c r="D211" s="412" t="s">
        <v>63</v>
      </c>
      <c r="E211" s="412" t="s">
        <v>125</v>
      </c>
      <c r="F211" s="412">
        <v>2</v>
      </c>
      <c r="G211" s="400">
        <v>835</v>
      </c>
      <c r="H211" s="405">
        <v>703</v>
      </c>
      <c r="I211" s="395">
        <v>223.2</v>
      </c>
      <c r="J211" s="406">
        <v>1</v>
      </c>
      <c r="K211" s="259">
        <f t="shared" si="99"/>
        <v>844</v>
      </c>
      <c r="L211" s="60">
        <f t="shared" si="100"/>
        <v>835</v>
      </c>
      <c r="M211" s="260">
        <f t="shared" si="101"/>
        <v>41.909530583214746</v>
      </c>
      <c r="N211" s="15">
        <f t="shared" si="102"/>
        <v>265.10953058321473</v>
      </c>
      <c r="O211" s="60">
        <f t="shared" si="103"/>
        <v>173.90953058321475</v>
      </c>
      <c r="P211" s="261">
        <f t="shared" si="104"/>
        <v>173.90953058321475</v>
      </c>
      <c r="Q211" s="262">
        <f t="shared" si="105"/>
        <v>2086.914366998577</v>
      </c>
      <c r="R211" s="262">
        <f t="shared" si="106"/>
        <v>502.73767100995718</v>
      </c>
      <c r="S211" s="263">
        <f t="shared" si="107"/>
        <v>2589.652038008534</v>
      </c>
    </row>
    <row r="212" spans="2:19" ht="30" x14ac:dyDescent="0.25">
      <c r="B212" s="403" t="s">
        <v>429</v>
      </c>
      <c r="C212" s="412" t="s">
        <v>349</v>
      </c>
      <c r="D212" s="412" t="s">
        <v>63</v>
      </c>
      <c r="E212" s="412" t="s">
        <v>125</v>
      </c>
      <c r="F212" s="412">
        <v>3</v>
      </c>
      <c r="G212" s="400">
        <v>996</v>
      </c>
      <c r="H212" s="405">
        <v>774</v>
      </c>
      <c r="I212" s="395">
        <v>245.75</v>
      </c>
      <c r="J212" s="406">
        <v>30.5</v>
      </c>
      <c r="K212" s="259">
        <f t="shared" si="99"/>
        <v>929</v>
      </c>
      <c r="L212" s="60">
        <f t="shared" si="100"/>
        <v>929</v>
      </c>
      <c r="M212" s="260">
        <f t="shared" si="101"/>
        <v>49.213501291989701</v>
      </c>
      <c r="N212" s="15">
        <f t="shared" si="102"/>
        <v>294.9635012919897</v>
      </c>
      <c r="O212" s="60">
        <f t="shared" si="103"/>
        <v>204.2135012919897</v>
      </c>
      <c r="P212" s="261">
        <f t="shared" si="104"/>
        <v>6228.5117894056857</v>
      </c>
      <c r="Q212" s="262">
        <f t="shared" si="105"/>
        <v>74742.141472868228</v>
      </c>
      <c r="R212" s="262">
        <f t="shared" si="106"/>
        <v>18005.381880813955</v>
      </c>
      <c r="S212" s="263">
        <f t="shared" si="107"/>
        <v>92747.523353682191</v>
      </c>
    </row>
    <row r="213" spans="2:19" ht="15" x14ac:dyDescent="0.25">
      <c r="B213" s="403" t="s">
        <v>430</v>
      </c>
      <c r="C213" s="412" t="s">
        <v>349</v>
      </c>
      <c r="D213" s="412" t="s">
        <v>408</v>
      </c>
      <c r="E213" s="412" t="s">
        <v>124</v>
      </c>
      <c r="F213" s="412">
        <v>3</v>
      </c>
      <c r="G213" s="400">
        <v>1287</v>
      </c>
      <c r="H213" s="405">
        <v>1114</v>
      </c>
      <c r="I213" s="395">
        <v>353.7</v>
      </c>
      <c r="J213" s="406">
        <v>4.5</v>
      </c>
      <c r="K213" s="259">
        <f t="shared" si="99"/>
        <v>1337</v>
      </c>
      <c r="L213" s="60">
        <f t="shared" si="100"/>
        <v>1287</v>
      </c>
      <c r="M213" s="260">
        <f t="shared" si="101"/>
        <v>54.928276481149055</v>
      </c>
      <c r="N213" s="15">
        <f t="shared" si="102"/>
        <v>408.62827648114904</v>
      </c>
      <c r="O213" s="60">
        <f t="shared" si="103"/>
        <v>227.92827648114906</v>
      </c>
      <c r="P213" s="261">
        <f t="shared" si="104"/>
        <v>1025.6772441651708</v>
      </c>
      <c r="Q213" s="262">
        <f t="shared" si="105"/>
        <v>12308.126929982049</v>
      </c>
      <c r="R213" s="262">
        <f t="shared" si="106"/>
        <v>2965.0277774326755</v>
      </c>
      <c r="S213" s="263">
        <f t="shared" si="107"/>
        <v>15273.154707414724</v>
      </c>
    </row>
    <row r="214" spans="2:19" ht="30" x14ac:dyDescent="0.25">
      <c r="B214" s="403" t="s">
        <v>431</v>
      </c>
      <c r="C214" s="412" t="s">
        <v>349</v>
      </c>
      <c r="D214" s="412" t="s">
        <v>37</v>
      </c>
      <c r="E214" s="412" t="s">
        <v>78</v>
      </c>
      <c r="F214" s="412">
        <v>3</v>
      </c>
      <c r="G214" s="400">
        <v>1093</v>
      </c>
      <c r="H214" s="405">
        <v>960</v>
      </c>
      <c r="I214" s="395">
        <v>304.8</v>
      </c>
      <c r="J214" s="406">
        <v>22.5</v>
      </c>
      <c r="K214" s="259">
        <f t="shared" si="99"/>
        <v>1152</v>
      </c>
      <c r="L214" s="60">
        <f t="shared" si="100"/>
        <v>1093</v>
      </c>
      <c r="M214" s="260">
        <f t="shared" si="101"/>
        <v>42.22750000000002</v>
      </c>
      <c r="N214" s="15">
        <f t="shared" si="102"/>
        <v>347.02750000000003</v>
      </c>
      <c r="O214" s="60">
        <f t="shared" si="103"/>
        <v>175.22750000000002</v>
      </c>
      <c r="P214" s="261">
        <f t="shared" si="104"/>
        <v>3942.6187500000005</v>
      </c>
      <c r="Q214" s="262">
        <f t="shared" si="105"/>
        <v>47311.425000000003</v>
      </c>
      <c r="R214" s="262">
        <f t="shared" si="106"/>
        <v>11397.322282500001</v>
      </c>
      <c r="S214" s="263">
        <f t="shared" si="107"/>
        <v>58708.7472825</v>
      </c>
    </row>
    <row r="215" spans="2:19" ht="30" x14ac:dyDescent="0.25">
      <c r="B215" s="403" t="s">
        <v>432</v>
      </c>
      <c r="C215" s="412" t="s">
        <v>349</v>
      </c>
      <c r="D215" s="412" t="s">
        <v>37</v>
      </c>
      <c r="E215" s="412" t="s">
        <v>78</v>
      </c>
      <c r="F215" s="412">
        <v>3</v>
      </c>
      <c r="G215" s="400">
        <v>1093</v>
      </c>
      <c r="H215" s="405">
        <v>923</v>
      </c>
      <c r="I215" s="395">
        <v>293.05</v>
      </c>
      <c r="J215" s="406">
        <v>5</v>
      </c>
      <c r="K215" s="259">
        <f t="shared" si="99"/>
        <v>1108</v>
      </c>
      <c r="L215" s="60">
        <f t="shared" si="100"/>
        <v>1093</v>
      </c>
      <c r="M215" s="260">
        <f t="shared" si="101"/>
        <v>53.974539544962056</v>
      </c>
      <c r="N215" s="15">
        <f t="shared" si="102"/>
        <v>347.02453954496207</v>
      </c>
      <c r="O215" s="60">
        <f t="shared" si="103"/>
        <v>223.97453954496206</v>
      </c>
      <c r="P215" s="261">
        <f t="shared" si="104"/>
        <v>1119.8726977248102</v>
      </c>
      <c r="Q215" s="262">
        <f t="shared" si="105"/>
        <v>13438.472372697723</v>
      </c>
      <c r="R215" s="262">
        <f t="shared" si="106"/>
        <v>3237.3279945828813</v>
      </c>
      <c r="S215" s="263">
        <f t="shared" si="107"/>
        <v>16675.800367280604</v>
      </c>
    </row>
    <row r="216" spans="2:19" ht="30" x14ac:dyDescent="0.25">
      <c r="B216" s="403" t="s">
        <v>433</v>
      </c>
      <c r="C216" s="412" t="s">
        <v>349</v>
      </c>
      <c r="D216" s="412" t="s">
        <v>37</v>
      </c>
      <c r="E216" s="412" t="s">
        <v>78</v>
      </c>
      <c r="F216" s="412">
        <v>2</v>
      </c>
      <c r="G216" s="400">
        <v>920</v>
      </c>
      <c r="H216" s="405">
        <v>670</v>
      </c>
      <c r="I216" s="573">
        <v>212.73</v>
      </c>
      <c r="J216" s="406">
        <v>1</v>
      </c>
      <c r="K216" s="259">
        <f t="shared" si="99"/>
        <v>804</v>
      </c>
      <c r="L216" s="60">
        <f t="shared" si="100"/>
        <v>804</v>
      </c>
      <c r="M216" s="260">
        <f t="shared" si="101"/>
        <v>42.545999999999992</v>
      </c>
      <c r="N216" s="15">
        <f t="shared" si="102"/>
        <v>255.27599999999998</v>
      </c>
      <c r="O216" s="60">
        <f t="shared" si="103"/>
        <v>176.54599999999999</v>
      </c>
      <c r="P216" s="261">
        <f t="shared" si="104"/>
        <v>176.54599999999999</v>
      </c>
      <c r="Q216" s="262">
        <f t="shared" si="105"/>
        <v>2118.5519999999997</v>
      </c>
      <c r="R216" s="262">
        <f t="shared" si="106"/>
        <v>510.35917679999994</v>
      </c>
      <c r="S216" s="263">
        <f t="shared" si="107"/>
        <v>2628.9111767999998</v>
      </c>
    </row>
    <row r="217" spans="2:19" ht="30" x14ac:dyDescent="0.25">
      <c r="B217" s="403" t="s">
        <v>433</v>
      </c>
      <c r="C217" s="412" t="s">
        <v>349</v>
      </c>
      <c r="D217" s="412" t="s">
        <v>37</v>
      </c>
      <c r="E217" s="412" t="s">
        <v>78</v>
      </c>
      <c r="F217" s="412">
        <v>3</v>
      </c>
      <c r="G217" s="400">
        <v>1093</v>
      </c>
      <c r="H217" s="405">
        <v>738</v>
      </c>
      <c r="I217" s="573">
        <v>234.32</v>
      </c>
      <c r="J217" s="406">
        <v>5.25</v>
      </c>
      <c r="K217" s="259">
        <f t="shared" si="99"/>
        <v>886</v>
      </c>
      <c r="L217" s="60">
        <f t="shared" si="100"/>
        <v>886</v>
      </c>
      <c r="M217" s="260">
        <f t="shared" si="101"/>
        <v>46.99100271002709</v>
      </c>
      <c r="N217" s="15">
        <f t="shared" si="102"/>
        <v>281.31100271002708</v>
      </c>
      <c r="O217" s="60">
        <f t="shared" si="103"/>
        <v>194.99100271002709</v>
      </c>
      <c r="P217" s="261">
        <f t="shared" si="104"/>
        <v>1023.7027642276422</v>
      </c>
      <c r="Q217" s="262">
        <f t="shared" si="105"/>
        <v>12284.433170731707</v>
      </c>
      <c r="R217" s="262">
        <f t="shared" si="106"/>
        <v>2959.3199508292682</v>
      </c>
      <c r="S217" s="263">
        <f t="shared" si="107"/>
        <v>15243.753121560974</v>
      </c>
    </row>
    <row r="218" spans="2:19" ht="30" x14ac:dyDescent="0.25">
      <c r="B218" s="403" t="s">
        <v>434</v>
      </c>
      <c r="C218" s="412" t="s">
        <v>349</v>
      </c>
      <c r="D218" s="412" t="s">
        <v>37</v>
      </c>
      <c r="E218" s="412" t="s">
        <v>78</v>
      </c>
      <c r="F218" s="412" t="s">
        <v>79</v>
      </c>
      <c r="G218" s="400">
        <v>920</v>
      </c>
      <c r="H218" s="405">
        <v>774</v>
      </c>
      <c r="I218" s="573">
        <v>245.75</v>
      </c>
      <c r="J218" s="406">
        <v>3</v>
      </c>
      <c r="K218" s="259">
        <f t="shared" si="99"/>
        <v>929</v>
      </c>
      <c r="L218" s="60">
        <f t="shared" si="100"/>
        <v>920</v>
      </c>
      <c r="M218" s="260">
        <f t="shared" si="101"/>
        <v>46.355943152454813</v>
      </c>
      <c r="N218" s="15">
        <f t="shared" si="102"/>
        <v>292.10594315245481</v>
      </c>
      <c r="O218" s="60">
        <f t="shared" si="103"/>
        <v>192.35594315245481</v>
      </c>
      <c r="P218" s="261">
        <f t="shared" si="104"/>
        <v>577.0678294573645</v>
      </c>
      <c r="Q218" s="262">
        <f t="shared" si="105"/>
        <v>6924.813953488374</v>
      </c>
      <c r="R218" s="262">
        <f t="shared" si="106"/>
        <v>1668.1876813953493</v>
      </c>
      <c r="S218" s="263">
        <f t="shared" si="107"/>
        <v>8593.0016348837235</v>
      </c>
    </row>
    <row r="219" spans="2:19" ht="30" x14ac:dyDescent="0.25">
      <c r="B219" s="403" t="s">
        <v>434</v>
      </c>
      <c r="C219" s="412" t="s">
        <v>349</v>
      </c>
      <c r="D219" s="412" t="s">
        <v>37</v>
      </c>
      <c r="E219" s="412" t="s">
        <v>78</v>
      </c>
      <c r="F219" s="412">
        <v>2</v>
      </c>
      <c r="G219" s="400">
        <v>920</v>
      </c>
      <c r="H219" s="405">
        <v>809</v>
      </c>
      <c r="I219" s="573">
        <v>256.86</v>
      </c>
      <c r="J219" s="406">
        <v>4</v>
      </c>
      <c r="K219" s="259">
        <f t="shared" si="99"/>
        <v>971</v>
      </c>
      <c r="L219" s="60">
        <f t="shared" si="100"/>
        <v>920</v>
      </c>
      <c r="M219" s="260">
        <f t="shared" si="101"/>
        <v>35.24284301606923</v>
      </c>
      <c r="N219" s="15">
        <f t="shared" si="102"/>
        <v>292.10284301606924</v>
      </c>
      <c r="O219" s="60">
        <f t="shared" si="103"/>
        <v>146.24284301606923</v>
      </c>
      <c r="P219" s="261">
        <f t="shared" si="104"/>
        <v>584.97137206427692</v>
      </c>
      <c r="Q219" s="262">
        <f t="shared" si="105"/>
        <v>7019.656464771323</v>
      </c>
      <c r="R219" s="262">
        <f t="shared" si="106"/>
        <v>1691.0352423634117</v>
      </c>
      <c r="S219" s="263">
        <f t="shared" si="107"/>
        <v>8710.6917071347343</v>
      </c>
    </row>
    <row r="220" spans="2:19" ht="30" x14ac:dyDescent="0.25">
      <c r="B220" s="403" t="s">
        <v>434</v>
      </c>
      <c r="C220" s="412" t="s">
        <v>349</v>
      </c>
      <c r="D220" s="412" t="s">
        <v>37</v>
      </c>
      <c r="E220" s="412" t="s">
        <v>78</v>
      </c>
      <c r="F220" s="412">
        <v>3</v>
      </c>
      <c r="G220" s="400">
        <v>1093</v>
      </c>
      <c r="H220" s="405">
        <v>890</v>
      </c>
      <c r="I220" s="573">
        <v>282.58</v>
      </c>
      <c r="J220" s="406">
        <v>39.75</v>
      </c>
      <c r="K220" s="259">
        <f t="shared" si="99"/>
        <v>1068</v>
      </c>
      <c r="L220" s="60">
        <f t="shared" si="100"/>
        <v>1068</v>
      </c>
      <c r="M220" s="260">
        <f t="shared" si="101"/>
        <v>56.51600000000002</v>
      </c>
      <c r="N220" s="15">
        <f t="shared" si="102"/>
        <v>339.096</v>
      </c>
      <c r="O220" s="60">
        <f t="shared" si="103"/>
        <v>234.51600000000002</v>
      </c>
      <c r="P220" s="261">
        <f t="shared" si="104"/>
        <v>9322.0110000000004</v>
      </c>
      <c r="Q220" s="262">
        <f t="shared" si="105"/>
        <v>111864.13200000001</v>
      </c>
      <c r="R220" s="262">
        <f t="shared" si="106"/>
        <v>26948.069398800002</v>
      </c>
      <c r="S220" s="263">
        <f t="shared" si="107"/>
        <v>138812.20139880001</v>
      </c>
    </row>
    <row r="221" spans="2:19" ht="30" x14ac:dyDescent="0.25">
      <c r="B221" s="403" t="s">
        <v>435</v>
      </c>
      <c r="C221" s="412" t="s">
        <v>349</v>
      </c>
      <c r="D221" s="412" t="s">
        <v>37</v>
      </c>
      <c r="E221" s="412" t="s">
        <v>78</v>
      </c>
      <c r="F221" s="412">
        <v>3</v>
      </c>
      <c r="G221" s="400">
        <v>1093</v>
      </c>
      <c r="H221" s="405">
        <v>923</v>
      </c>
      <c r="I221" s="573">
        <v>293.05</v>
      </c>
      <c r="J221" s="406">
        <v>4.5</v>
      </c>
      <c r="K221" s="259">
        <f t="shared" si="99"/>
        <v>1108</v>
      </c>
      <c r="L221" s="60">
        <f t="shared" si="100"/>
        <v>1093</v>
      </c>
      <c r="M221" s="260">
        <f t="shared" si="101"/>
        <v>53.974539544962056</v>
      </c>
      <c r="N221" s="15">
        <f t="shared" si="102"/>
        <v>347.02453954496207</v>
      </c>
      <c r="O221" s="60">
        <f t="shared" si="103"/>
        <v>223.97453954496206</v>
      </c>
      <c r="P221" s="261">
        <f t="shared" si="104"/>
        <v>1007.8854279523292</v>
      </c>
      <c r="Q221" s="262">
        <f t="shared" si="105"/>
        <v>12094.62513542795</v>
      </c>
      <c r="R221" s="262">
        <f t="shared" si="106"/>
        <v>2913.5951951245934</v>
      </c>
      <c r="S221" s="263">
        <f t="shared" si="107"/>
        <v>15008.220330552544</v>
      </c>
    </row>
    <row r="222" spans="2:19" ht="45" x14ac:dyDescent="0.25">
      <c r="B222" s="403" t="s">
        <v>436</v>
      </c>
      <c r="C222" s="412" t="s">
        <v>349</v>
      </c>
      <c r="D222" s="412" t="s">
        <v>37</v>
      </c>
      <c r="E222" s="412" t="s">
        <v>78</v>
      </c>
      <c r="F222" s="412">
        <v>2</v>
      </c>
      <c r="G222" s="400">
        <v>920</v>
      </c>
      <c r="H222" s="405">
        <v>670</v>
      </c>
      <c r="I222" s="573">
        <v>212.73</v>
      </c>
      <c r="J222" s="406">
        <v>3</v>
      </c>
      <c r="K222" s="259">
        <f t="shared" si="99"/>
        <v>804</v>
      </c>
      <c r="L222" s="60">
        <f t="shared" si="100"/>
        <v>804</v>
      </c>
      <c r="M222" s="260">
        <f t="shared" si="101"/>
        <v>42.545999999999992</v>
      </c>
      <c r="N222" s="15">
        <f t="shared" si="102"/>
        <v>255.27599999999998</v>
      </c>
      <c r="O222" s="60">
        <f t="shared" si="103"/>
        <v>176.54599999999999</v>
      </c>
      <c r="P222" s="261">
        <f t="shared" si="104"/>
        <v>529.63799999999992</v>
      </c>
      <c r="Q222" s="262">
        <f t="shared" si="105"/>
        <v>6355.655999999999</v>
      </c>
      <c r="R222" s="262">
        <f t="shared" si="106"/>
        <v>1531.0775303999999</v>
      </c>
      <c r="S222" s="263">
        <f t="shared" si="107"/>
        <v>7886.7335303999989</v>
      </c>
    </row>
    <row r="223" spans="2:19" ht="45" x14ac:dyDescent="0.25">
      <c r="B223" s="403" t="s">
        <v>436</v>
      </c>
      <c r="C223" s="412" t="s">
        <v>349</v>
      </c>
      <c r="D223" s="412" t="s">
        <v>37</v>
      </c>
      <c r="E223" s="412" t="s">
        <v>78</v>
      </c>
      <c r="F223" s="412">
        <v>3</v>
      </c>
      <c r="G223" s="400">
        <v>1093</v>
      </c>
      <c r="H223" s="405">
        <v>738</v>
      </c>
      <c r="I223" s="573">
        <v>234.32</v>
      </c>
      <c r="J223" s="406">
        <v>1</v>
      </c>
      <c r="K223" s="259">
        <f t="shared" si="99"/>
        <v>886</v>
      </c>
      <c r="L223" s="60">
        <f t="shared" si="100"/>
        <v>886</v>
      </c>
      <c r="M223" s="260">
        <f t="shared" si="101"/>
        <v>46.99100271002709</v>
      </c>
      <c r="N223" s="15">
        <f t="shared" si="102"/>
        <v>281.31100271002708</v>
      </c>
      <c r="O223" s="60">
        <f t="shared" si="103"/>
        <v>194.99100271002709</v>
      </c>
      <c r="P223" s="261">
        <f t="shared" si="104"/>
        <v>194.99100271002709</v>
      </c>
      <c r="Q223" s="262">
        <f t="shared" si="105"/>
        <v>2339.8920325203253</v>
      </c>
      <c r="R223" s="262">
        <f t="shared" si="106"/>
        <v>563.67999063414641</v>
      </c>
      <c r="S223" s="263">
        <f t="shared" si="107"/>
        <v>2903.5720231544719</v>
      </c>
    </row>
    <row r="224" spans="2:19" ht="45" x14ac:dyDescent="0.25">
      <c r="B224" s="403" t="s">
        <v>437</v>
      </c>
      <c r="C224" s="412" t="s">
        <v>349</v>
      </c>
      <c r="D224" s="412" t="s">
        <v>37</v>
      </c>
      <c r="E224" s="412" t="s">
        <v>78</v>
      </c>
      <c r="F224" s="412">
        <v>3</v>
      </c>
      <c r="G224" s="400">
        <v>1093</v>
      </c>
      <c r="H224" s="405">
        <v>809</v>
      </c>
      <c r="I224" s="573">
        <v>256.86</v>
      </c>
      <c r="J224" s="406">
        <v>1.25</v>
      </c>
      <c r="K224" s="259">
        <f t="shared" si="99"/>
        <v>971</v>
      </c>
      <c r="L224" s="60">
        <f t="shared" si="100"/>
        <v>971</v>
      </c>
      <c r="M224" s="260">
        <f t="shared" si="101"/>
        <v>51.435500618046945</v>
      </c>
      <c r="N224" s="15">
        <f t="shared" si="102"/>
        <v>308.29550061804696</v>
      </c>
      <c r="O224" s="60">
        <f t="shared" si="103"/>
        <v>213.43550061804694</v>
      </c>
      <c r="P224" s="261">
        <f t="shared" si="104"/>
        <v>266.79437577255868</v>
      </c>
      <c r="Q224" s="262">
        <f t="shared" si="105"/>
        <v>3201.5325092707044</v>
      </c>
      <c r="R224" s="262">
        <f t="shared" si="106"/>
        <v>771.24918148331267</v>
      </c>
      <c r="S224" s="263">
        <f t="shared" si="107"/>
        <v>3972.7816907540173</v>
      </c>
    </row>
    <row r="225" spans="2:19" ht="45" x14ac:dyDescent="0.25">
      <c r="B225" s="403" t="s">
        <v>437</v>
      </c>
      <c r="C225" s="412" t="s">
        <v>349</v>
      </c>
      <c r="D225" s="412" t="s">
        <v>37</v>
      </c>
      <c r="E225" s="412" t="s">
        <v>78</v>
      </c>
      <c r="F225" s="412">
        <v>3</v>
      </c>
      <c r="G225" s="400">
        <v>1093</v>
      </c>
      <c r="H225" s="405">
        <v>890</v>
      </c>
      <c r="I225" s="573">
        <v>282.58</v>
      </c>
      <c r="J225" s="406">
        <v>9.5</v>
      </c>
      <c r="K225" s="259">
        <f t="shared" si="99"/>
        <v>1068</v>
      </c>
      <c r="L225" s="60">
        <f t="shared" si="100"/>
        <v>1068</v>
      </c>
      <c r="M225" s="260">
        <f t="shared" si="101"/>
        <v>56.51600000000002</v>
      </c>
      <c r="N225" s="15">
        <f t="shared" si="102"/>
        <v>339.096</v>
      </c>
      <c r="O225" s="60">
        <f t="shared" si="103"/>
        <v>234.51600000000002</v>
      </c>
      <c r="P225" s="261">
        <f t="shared" si="104"/>
        <v>2227.902</v>
      </c>
      <c r="Q225" s="262">
        <f t="shared" si="105"/>
        <v>26734.824000000001</v>
      </c>
      <c r="R225" s="262">
        <f t="shared" si="106"/>
        <v>6440.4191016000004</v>
      </c>
      <c r="S225" s="263">
        <f t="shared" si="107"/>
        <v>33175.243101600005</v>
      </c>
    </row>
    <row r="226" spans="2:19" ht="15" x14ac:dyDescent="0.25">
      <c r="B226" s="403" t="s">
        <v>438</v>
      </c>
      <c r="C226" s="412" t="s">
        <v>349</v>
      </c>
      <c r="D226" s="412" t="s">
        <v>37</v>
      </c>
      <c r="E226" s="412" t="s">
        <v>78</v>
      </c>
      <c r="F226" s="412" t="s">
        <v>75</v>
      </c>
      <c r="G226" s="400">
        <v>996</v>
      </c>
      <c r="H226" s="405">
        <v>965</v>
      </c>
      <c r="I226" s="573">
        <v>306.39</v>
      </c>
      <c r="J226" s="406">
        <v>10</v>
      </c>
      <c r="K226" s="259">
        <f t="shared" si="99"/>
        <v>1158</v>
      </c>
      <c r="L226" s="60">
        <f t="shared" si="100"/>
        <v>996</v>
      </c>
      <c r="M226" s="260">
        <f t="shared" si="101"/>
        <v>9.8425803108808054</v>
      </c>
      <c r="N226" s="15">
        <f t="shared" si="102"/>
        <v>316.23258031088079</v>
      </c>
      <c r="O226" s="60">
        <f t="shared" si="103"/>
        <v>40.842580310880805</v>
      </c>
      <c r="P226" s="261">
        <f t="shared" si="104"/>
        <v>408.42580310880805</v>
      </c>
      <c r="Q226" s="262">
        <f t="shared" si="105"/>
        <v>4901.1096373056971</v>
      </c>
      <c r="R226" s="262">
        <f t="shared" si="106"/>
        <v>1180.6773116269424</v>
      </c>
      <c r="S226" s="263">
        <f t="shared" si="107"/>
        <v>6081.7869489326395</v>
      </c>
    </row>
    <row r="227" spans="2:19" ht="15" x14ac:dyDescent="0.25">
      <c r="B227" s="403" t="s">
        <v>439</v>
      </c>
      <c r="C227" s="412" t="s">
        <v>349</v>
      </c>
      <c r="D227" s="412" t="s">
        <v>408</v>
      </c>
      <c r="E227" s="412">
        <v>10</v>
      </c>
      <c r="F227" s="412">
        <v>3</v>
      </c>
      <c r="G227" s="400">
        <v>1287</v>
      </c>
      <c r="H227" s="405">
        <v>1287</v>
      </c>
      <c r="I227" s="573">
        <v>0</v>
      </c>
      <c r="J227" s="406">
        <v>1</v>
      </c>
      <c r="K227" s="259">
        <f t="shared" si="99"/>
        <v>1544</v>
      </c>
      <c r="L227" s="60">
        <f t="shared" si="100"/>
        <v>1287</v>
      </c>
      <c r="M227" s="260">
        <f t="shared" si="101"/>
        <v>0</v>
      </c>
      <c r="N227" s="15">
        <f t="shared" si="102"/>
        <v>0</v>
      </c>
      <c r="O227" s="60">
        <f t="shared" si="103"/>
        <v>0</v>
      </c>
      <c r="P227" s="261">
        <f t="shared" si="104"/>
        <v>0</v>
      </c>
      <c r="Q227" s="262">
        <f t="shared" si="105"/>
        <v>0</v>
      </c>
      <c r="R227" s="262">
        <f t="shared" si="106"/>
        <v>0</v>
      </c>
      <c r="S227" s="263">
        <f t="shared" si="107"/>
        <v>0</v>
      </c>
    </row>
    <row r="228" spans="2:19" ht="15" x14ac:dyDescent="0.25">
      <c r="B228" s="403" t="s">
        <v>440</v>
      </c>
      <c r="C228" s="412" t="s">
        <v>349</v>
      </c>
      <c r="D228" s="412" t="s">
        <v>37</v>
      </c>
      <c r="E228" s="412" t="s">
        <v>78</v>
      </c>
      <c r="F228" s="412" t="s">
        <v>75</v>
      </c>
      <c r="G228" s="400">
        <v>996</v>
      </c>
      <c r="H228" s="405">
        <v>738</v>
      </c>
      <c r="I228" s="573">
        <v>308.12</v>
      </c>
      <c r="J228" s="406">
        <v>10</v>
      </c>
      <c r="K228" s="259">
        <f t="shared" si="99"/>
        <v>886</v>
      </c>
      <c r="L228" s="60">
        <f t="shared" si="100"/>
        <v>886</v>
      </c>
      <c r="M228" s="260">
        <f t="shared" si="101"/>
        <v>61.791002710027101</v>
      </c>
      <c r="N228" s="15">
        <f t="shared" si="102"/>
        <v>369.91100271002711</v>
      </c>
      <c r="O228" s="60">
        <f t="shared" si="103"/>
        <v>209.7910027100271</v>
      </c>
      <c r="P228" s="261">
        <f t="shared" si="104"/>
        <v>2097.9100271002708</v>
      </c>
      <c r="Q228" s="262">
        <f t="shared" si="105"/>
        <v>25174.920325203249</v>
      </c>
      <c r="R228" s="262">
        <f t="shared" si="106"/>
        <v>6064.6383063414632</v>
      </c>
      <c r="S228" s="263">
        <f t="shared" si="107"/>
        <v>31239.558631544714</v>
      </c>
    </row>
    <row r="229" spans="2:19" ht="30" x14ac:dyDescent="0.25">
      <c r="B229" s="403" t="s">
        <v>441</v>
      </c>
      <c r="C229" s="412" t="s">
        <v>22</v>
      </c>
      <c r="D229" s="412" t="s">
        <v>14</v>
      </c>
      <c r="E229" s="412" t="s">
        <v>125</v>
      </c>
      <c r="F229" s="412" t="s">
        <v>75</v>
      </c>
      <c r="G229" s="400">
        <v>996</v>
      </c>
      <c r="H229" s="405">
        <v>738</v>
      </c>
      <c r="I229" s="395">
        <v>308.12</v>
      </c>
      <c r="J229" s="406">
        <v>5</v>
      </c>
      <c r="K229" s="259">
        <f t="shared" si="99"/>
        <v>886</v>
      </c>
      <c r="L229" s="60">
        <f t="shared" si="100"/>
        <v>886</v>
      </c>
      <c r="M229" s="260">
        <f t="shared" si="101"/>
        <v>61.791002710027101</v>
      </c>
      <c r="N229" s="15">
        <f t="shared" si="102"/>
        <v>369.91100271002711</v>
      </c>
      <c r="O229" s="60">
        <f t="shared" si="103"/>
        <v>209.7910027100271</v>
      </c>
      <c r="P229" s="261">
        <f t="shared" si="104"/>
        <v>1048.9550135501354</v>
      </c>
      <c r="Q229" s="262">
        <f t="shared" si="105"/>
        <v>12587.460162601625</v>
      </c>
      <c r="R229" s="262">
        <f t="shared" si="106"/>
        <v>3032.3191531707316</v>
      </c>
      <c r="S229" s="263">
        <f t="shared" si="107"/>
        <v>15619.779315772357</v>
      </c>
    </row>
    <row r="230" spans="2:19" ht="15" x14ac:dyDescent="0.25">
      <c r="B230" s="407" t="s">
        <v>442</v>
      </c>
      <c r="C230" s="412" t="s">
        <v>22</v>
      </c>
      <c r="D230" s="412" t="s">
        <v>14</v>
      </c>
      <c r="E230" s="412" t="s">
        <v>125</v>
      </c>
      <c r="F230" s="412" t="s">
        <v>75</v>
      </c>
      <c r="G230" s="400">
        <v>996</v>
      </c>
      <c r="H230" s="405">
        <v>738</v>
      </c>
      <c r="I230" s="395">
        <v>308.12</v>
      </c>
      <c r="J230" s="406">
        <v>5</v>
      </c>
      <c r="K230" s="259">
        <f t="shared" si="99"/>
        <v>886</v>
      </c>
      <c r="L230" s="60">
        <f t="shared" si="100"/>
        <v>886</v>
      </c>
      <c r="M230" s="260">
        <f t="shared" si="101"/>
        <v>61.791002710027101</v>
      </c>
      <c r="N230" s="15">
        <f t="shared" si="102"/>
        <v>369.91100271002711</v>
      </c>
      <c r="O230" s="60">
        <f t="shared" si="103"/>
        <v>209.7910027100271</v>
      </c>
      <c r="P230" s="261">
        <f t="shared" si="104"/>
        <v>1048.9550135501354</v>
      </c>
      <c r="Q230" s="262">
        <f t="shared" si="105"/>
        <v>12587.460162601625</v>
      </c>
      <c r="R230" s="262">
        <f t="shared" si="106"/>
        <v>3032.3191531707316</v>
      </c>
      <c r="S230" s="263">
        <f t="shared" si="107"/>
        <v>15619.779315772357</v>
      </c>
    </row>
    <row r="231" spans="2:19" ht="15" x14ac:dyDescent="0.25">
      <c r="B231" s="403" t="s">
        <v>443</v>
      </c>
      <c r="C231" s="412" t="s">
        <v>22</v>
      </c>
      <c r="D231" s="412" t="s">
        <v>45</v>
      </c>
      <c r="E231" s="412" t="s">
        <v>76</v>
      </c>
      <c r="F231" s="412" t="s">
        <v>75</v>
      </c>
      <c r="G231" s="400">
        <v>899</v>
      </c>
      <c r="H231" s="405">
        <v>738</v>
      </c>
      <c r="I231" s="395">
        <v>308.12</v>
      </c>
      <c r="J231" s="406">
        <v>1</v>
      </c>
      <c r="K231" s="259">
        <f t="shared" si="99"/>
        <v>886</v>
      </c>
      <c r="L231" s="60">
        <f t="shared" si="100"/>
        <v>886</v>
      </c>
      <c r="M231" s="260">
        <f t="shared" si="101"/>
        <v>61.791002710027101</v>
      </c>
      <c r="N231" s="15">
        <f t="shared" si="102"/>
        <v>369.91100271002711</v>
      </c>
      <c r="O231" s="60">
        <f t="shared" si="103"/>
        <v>209.7910027100271</v>
      </c>
      <c r="P231" s="261">
        <f t="shared" si="104"/>
        <v>209.7910027100271</v>
      </c>
      <c r="Q231" s="262">
        <f t="shared" si="105"/>
        <v>2517.4920325203252</v>
      </c>
      <c r="R231" s="262">
        <f t="shared" si="106"/>
        <v>606.46383063414635</v>
      </c>
      <c r="S231" s="263">
        <f t="shared" si="107"/>
        <v>3123.9558631544714</v>
      </c>
    </row>
    <row r="232" spans="2:19" ht="15" x14ac:dyDescent="0.25">
      <c r="B232" s="403" t="s">
        <v>444</v>
      </c>
      <c r="C232" s="412" t="s">
        <v>22</v>
      </c>
      <c r="D232" s="412" t="s">
        <v>45</v>
      </c>
      <c r="E232" s="412" t="s">
        <v>76</v>
      </c>
      <c r="F232" s="412" t="s">
        <v>79</v>
      </c>
      <c r="G232" s="400">
        <v>740</v>
      </c>
      <c r="H232" s="414">
        <v>616</v>
      </c>
      <c r="I232" s="395">
        <v>257.18</v>
      </c>
      <c r="J232" s="406">
        <v>0.5</v>
      </c>
      <c r="K232" s="259">
        <f t="shared" ref="K232:K234" si="108">ROUND(H232*1.2,0)</f>
        <v>739</v>
      </c>
      <c r="L232" s="60">
        <f t="shared" si="100"/>
        <v>739</v>
      </c>
      <c r="M232" s="260">
        <f t="shared" si="101"/>
        <v>51.35250000000002</v>
      </c>
      <c r="N232" s="15">
        <f t="shared" si="102"/>
        <v>308.53250000000003</v>
      </c>
      <c r="O232" s="60">
        <f t="shared" si="103"/>
        <v>174.35250000000002</v>
      </c>
      <c r="P232" s="261">
        <f t="shared" si="104"/>
        <v>87.17625000000001</v>
      </c>
      <c r="Q232" s="262">
        <f t="shared" si="105"/>
        <v>1046.1150000000002</v>
      </c>
      <c r="R232" s="262">
        <f t="shared" si="106"/>
        <v>252.00910350000007</v>
      </c>
      <c r="S232" s="263">
        <f t="shared" si="107"/>
        <v>1298.1241035000003</v>
      </c>
    </row>
    <row r="233" spans="2:19" ht="15" x14ac:dyDescent="0.25">
      <c r="B233" s="403" t="s">
        <v>444</v>
      </c>
      <c r="C233" s="412" t="s">
        <v>22</v>
      </c>
      <c r="D233" s="412" t="s">
        <v>45</v>
      </c>
      <c r="E233" s="412" t="s">
        <v>76</v>
      </c>
      <c r="F233" s="412" t="s">
        <v>79</v>
      </c>
      <c r="G233" s="400">
        <v>740</v>
      </c>
      <c r="H233" s="405">
        <v>669</v>
      </c>
      <c r="I233" s="395">
        <v>279.31</v>
      </c>
      <c r="J233" s="406">
        <v>1</v>
      </c>
      <c r="K233" s="259">
        <f t="shared" si="108"/>
        <v>803</v>
      </c>
      <c r="L233" s="60">
        <f t="shared" si="100"/>
        <v>740</v>
      </c>
      <c r="M233" s="260">
        <f t="shared" si="101"/>
        <v>29.64276532137518</v>
      </c>
      <c r="N233" s="15">
        <f t="shared" si="102"/>
        <v>308.95276532137518</v>
      </c>
      <c r="O233" s="60">
        <f t="shared" si="103"/>
        <v>100.64276532137518</v>
      </c>
      <c r="P233" s="261">
        <f t="shared" si="104"/>
        <v>100.64276532137518</v>
      </c>
      <c r="Q233" s="262">
        <f t="shared" si="105"/>
        <v>1207.7131838565022</v>
      </c>
      <c r="R233" s="262">
        <f t="shared" si="106"/>
        <v>290.93810599103136</v>
      </c>
      <c r="S233" s="263">
        <f t="shared" si="107"/>
        <v>1498.6512898475335</v>
      </c>
    </row>
    <row r="234" spans="2:19" ht="15" x14ac:dyDescent="0.25">
      <c r="B234" s="403" t="s">
        <v>444</v>
      </c>
      <c r="C234" s="412" t="s">
        <v>22</v>
      </c>
      <c r="D234" s="412" t="s">
        <v>45</v>
      </c>
      <c r="E234" s="412" t="s">
        <v>76</v>
      </c>
      <c r="F234" s="412" t="s">
        <v>75</v>
      </c>
      <c r="G234" s="400">
        <v>899</v>
      </c>
      <c r="H234" s="405">
        <v>738</v>
      </c>
      <c r="I234" s="395">
        <v>308.12</v>
      </c>
      <c r="J234" s="406">
        <v>0.5</v>
      </c>
      <c r="K234" s="259">
        <f t="shared" si="108"/>
        <v>886</v>
      </c>
      <c r="L234" s="60">
        <f t="shared" si="100"/>
        <v>886</v>
      </c>
      <c r="M234" s="260">
        <f t="shared" si="101"/>
        <v>61.791002710027101</v>
      </c>
      <c r="N234" s="15">
        <f t="shared" si="102"/>
        <v>369.91100271002711</v>
      </c>
      <c r="O234" s="60">
        <f t="shared" si="103"/>
        <v>209.7910027100271</v>
      </c>
      <c r="P234" s="261">
        <f t="shared" si="104"/>
        <v>104.89550135501355</v>
      </c>
      <c r="Q234" s="262">
        <f t="shared" si="105"/>
        <v>1258.7460162601626</v>
      </c>
      <c r="R234" s="262">
        <f t="shared" si="106"/>
        <v>303.23191531707317</v>
      </c>
      <c r="S234" s="263">
        <f t="shared" si="107"/>
        <v>1561.9779315772357</v>
      </c>
    </row>
    <row r="235" spans="2:19" ht="14.25" x14ac:dyDescent="0.25">
      <c r="B235" s="423" t="s">
        <v>4</v>
      </c>
      <c r="C235" s="424"/>
      <c r="D235" s="424"/>
      <c r="E235" s="424"/>
      <c r="F235" s="424"/>
      <c r="G235" s="425"/>
      <c r="H235" s="426"/>
      <c r="I235" s="427"/>
      <c r="J235" s="435">
        <f>SUM(J168:J234)</f>
        <v>1667</v>
      </c>
      <c r="K235" s="118"/>
      <c r="L235" s="76"/>
      <c r="M235" s="77"/>
      <c r="N235" s="78"/>
      <c r="O235" s="76"/>
      <c r="P235" s="78"/>
      <c r="Q235" s="79">
        <f>SUM(Q168:Q234)</f>
        <v>3838665.3580097738</v>
      </c>
      <c r="R235" s="79">
        <f t="shared" ref="R235" si="109">SUM(R168:R234)</f>
        <v>924734.48474455473</v>
      </c>
      <c r="S235" s="80">
        <f>SUM(S168:S234)</f>
        <v>4763399.8427543296</v>
      </c>
    </row>
    <row r="236" spans="2:19" ht="15" x14ac:dyDescent="0.25">
      <c r="B236" s="436" t="s">
        <v>11</v>
      </c>
      <c r="C236" s="437"/>
      <c r="D236" s="437"/>
      <c r="E236" s="437"/>
      <c r="F236" s="437"/>
      <c r="G236" s="438"/>
      <c r="H236" s="439"/>
      <c r="I236" s="440"/>
      <c r="J236" s="441"/>
      <c r="K236" s="616"/>
      <c r="L236" s="553"/>
      <c r="M236" s="617"/>
      <c r="N236" s="553"/>
      <c r="O236" s="553"/>
      <c r="P236" s="553"/>
      <c r="Q236" s="604"/>
      <c r="R236" s="604"/>
      <c r="S236" s="605"/>
    </row>
    <row r="237" spans="2:19" ht="15" x14ac:dyDescent="0.25">
      <c r="B237" s="433" t="s">
        <v>445</v>
      </c>
      <c r="C237" s="404" t="s">
        <v>22</v>
      </c>
      <c r="D237" s="404" t="s">
        <v>15</v>
      </c>
      <c r="E237" s="404" t="s">
        <v>75</v>
      </c>
      <c r="F237" s="404" t="s">
        <v>79</v>
      </c>
      <c r="G237" s="400">
        <v>530</v>
      </c>
      <c r="H237" s="574">
        <v>430</v>
      </c>
      <c r="I237" s="395">
        <v>196.72499999999999</v>
      </c>
      <c r="J237" s="406">
        <v>90</v>
      </c>
      <c r="K237" s="442">
        <f t="shared" ref="K237:K239" si="110">ROUND(H237*1.2,0)</f>
        <v>516</v>
      </c>
      <c r="L237" s="13">
        <f t="shared" ref="L237:L239" si="111">IF(K237&lt;=G237,K237,G237)</f>
        <v>516</v>
      </c>
      <c r="M237" s="443">
        <f t="shared" ref="M237:M239" si="112">N237-I237</f>
        <v>39.344999999999999</v>
      </c>
      <c r="N237" s="13">
        <f t="shared" ref="N237:N239" si="113">I237/H237*L237</f>
        <v>236.07</v>
      </c>
      <c r="O237" s="13">
        <f t="shared" ref="O237:O239" si="114">L237-H237+M237</f>
        <v>125.345</v>
      </c>
      <c r="P237" s="13">
        <f t="shared" ref="P237:P239" si="115">O237*J237</f>
        <v>11281.05</v>
      </c>
      <c r="Q237" s="444">
        <f t="shared" ref="Q237:Q239" si="116">P237*12</f>
        <v>135372.59999999998</v>
      </c>
      <c r="R237" s="444">
        <f t="shared" ref="R237:R239" si="117">Q237*0.2409</f>
        <v>32611.259339999993</v>
      </c>
      <c r="S237" s="445">
        <f t="shared" ref="S237:S239" si="118">Q237+R237</f>
        <v>167983.85933999997</v>
      </c>
    </row>
    <row r="238" spans="2:19" ht="15" x14ac:dyDescent="0.25">
      <c r="B238" s="446" t="s">
        <v>445</v>
      </c>
      <c r="C238" s="447" t="s">
        <v>22</v>
      </c>
      <c r="D238" s="447" t="s">
        <v>15</v>
      </c>
      <c r="E238" s="447" t="s">
        <v>75</v>
      </c>
      <c r="F238" s="447">
        <v>2</v>
      </c>
      <c r="G238" s="400">
        <v>530</v>
      </c>
      <c r="H238" s="575">
        <v>435</v>
      </c>
      <c r="I238" s="576">
        <v>199.01249999999999</v>
      </c>
      <c r="J238" s="577">
        <v>52</v>
      </c>
      <c r="K238" s="442">
        <f t="shared" si="110"/>
        <v>522</v>
      </c>
      <c r="L238" s="13">
        <f t="shared" si="111"/>
        <v>522</v>
      </c>
      <c r="M238" s="443">
        <f t="shared" si="112"/>
        <v>39.802499999999981</v>
      </c>
      <c r="N238" s="13">
        <f t="shared" si="113"/>
        <v>238.81499999999997</v>
      </c>
      <c r="O238" s="13">
        <f t="shared" si="114"/>
        <v>126.80249999999998</v>
      </c>
      <c r="P238" s="13">
        <f t="shared" si="115"/>
        <v>6593.7299999999987</v>
      </c>
      <c r="Q238" s="444">
        <f t="shared" si="116"/>
        <v>79124.75999999998</v>
      </c>
      <c r="R238" s="444">
        <f t="shared" si="117"/>
        <v>19061.154683999994</v>
      </c>
      <c r="S238" s="445">
        <f t="shared" si="118"/>
        <v>98185.914683999974</v>
      </c>
    </row>
    <row r="239" spans="2:19" ht="15" x14ac:dyDescent="0.25">
      <c r="B239" s="403" t="s">
        <v>446</v>
      </c>
      <c r="C239" s="404" t="s">
        <v>22</v>
      </c>
      <c r="D239" s="404" t="s">
        <v>15</v>
      </c>
      <c r="E239" s="404" t="s">
        <v>75</v>
      </c>
      <c r="F239" s="404">
        <v>3</v>
      </c>
      <c r="G239" s="400">
        <v>608</v>
      </c>
      <c r="H239" s="574">
        <v>440</v>
      </c>
      <c r="I239" s="395">
        <v>157.29999999999998</v>
      </c>
      <c r="J239" s="406">
        <f>28+5</f>
        <v>33</v>
      </c>
      <c r="K239" s="442">
        <f t="shared" si="110"/>
        <v>528</v>
      </c>
      <c r="L239" s="13">
        <f t="shared" si="111"/>
        <v>528</v>
      </c>
      <c r="M239" s="443">
        <f t="shared" si="112"/>
        <v>31.460000000000008</v>
      </c>
      <c r="N239" s="13">
        <f t="shared" si="113"/>
        <v>188.76</v>
      </c>
      <c r="O239" s="13">
        <f t="shared" si="114"/>
        <v>119.46000000000001</v>
      </c>
      <c r="P239" s="13">
        <f t="shared" si="115"/>
        <v>3942.1800000000003</v>
      </c>
      <c r="Q239" s="444">
        <f t="shared" si="116"/>
        <v>47306.16</v>
      </c>
      <c r="R239" s="444">
        <f t="shared" si="117"/>
        <v>11396.053944000001</v>
      </c>
      <c r="S239" s="445">
        <f t="shared" si="118"/>
        <v>58702.213944000003</v>
      </c>
    </row>
    <row r="240" spans="2:19" ht="15" thickBot="1" x14ac:dyDescent="0.3">
      <c r="B240" s="448" t="s">
        <v>4</v>
      </c>
      <c r="C240" s="449"/>
      <c r="D240" s="449"/>
      <c r="E240" s="449"/>
      <c r="F240" s="449"/>
      <c r="G240" s="450"/>
      <c r="H240" s="451"/>
      <c r="I240" s="452"/>
      <c r="J240" s="453">
        <f>SUM(J237:J239)</f>
        <v>175</v>
      </c>
      <c r="K240" s="118"/>
      <c r="L240" s="76"/>
      <c r="M240" s="77"/>
      <c r="N240" s="78"/>
      <c r="O240" s="76"/>
      <c r="P240" s="78"/>
      <c r="Q240" s="79">
        <f>SUM(Q237:Q239)</f>
        <v>261803.51999999996</v>
      </c>
      <c r="R240" s="79">
        <f>SUM(R237:R239)</f>
        <v>63068.467967999983</v>
      </c>
      <c r="S240" s="80">
        <f>SUM(S237:S239)</f>
        <v>324871.98796799994</v>
      </c>
    </row>
    <row r="241" spans="2:19" ht="15.75" thickTop="1" x14ac:dyDescent="0.25">
      <c r="B241" s="436" t="s">
        <v>447</v>
      </c>
      <c r="C241" s="437"/>
      <c r="D241" s="437"/>
      <c r="E241" s="437"/>
      <c r="F241" s="437"/>
      <c r="G241" s="438"/>
      <c r="H241" s="439"/>
      <c r="I241" s="440"/>
      <c r="J241" s="441"/>
      <c r="K241" s="616"/>
      <c r="L241" s="553"/>
      <c r="M241" s="617"/>
      <c r="N241" s="553"/>
      <c r="O241" s="553"/>
      <c r="P241" s="553"/>
      <c r="Q241" s="604"/>
      <c r="R241" s="604"/>
      <c r="S241" s="605"/>
    </row>
    <row r="242" spans="2:19" ht="15" x14ac:dyDescent="0.25">
      <c r="B242" s="454" t="s">
        <v>448</v>
      </c>
      <c r="C242" s="455" t="s">
        <v>336</v>
      </c>
      <c r="D242" s="455" t="s">
        <v>14</v>
      </c>
      <c r="E242" s="455" t="s">
        <v>125</v>
      </c>
      <c r="F242" s="455">
        <v>1</v>
      </c>
      <c r="G242" s="400">
        <v>675</v>
      </c>
      <c r="H242" s="578">
        <v>487.34</v>
      </c>
      <c r="I242" s="579">
        <v>222.95804999999996</v>
      </c>
      <c r="J242" s="456">
        <v>126</v>
      </c>
      <c r="K242" s="442">
        <f t="shared" ref="K242:K250" si="119">ROUND(H242*1.2,0)</f>
        <v>585</v>
      </c>
      <c r="L242" s="13">
        <f t="shared" ref="L242:L250" si="120">IF(K242&lt;=G242,K242,G242)</f>
        <v>585</v>
      </c>
      <c r="M242" s="457">
        <f>N242-I242</f>
        <v>44.679450000000031</v>
      </c>
      <c r="N242" s="15">
        <f>I242/H242*L242</f>
        <v>267.63749999999999</v>
      </c>
      <c r="O242" s="15">
        <f>L242-H242+M242</f>
        <v>142.33945000000006</v>
      </c>
      <c r="P242" s="15">
        <f>O242*J242</f>
        <v>17934.770700000008</v>
      </c>
      <c r="Q242" s="444">
        <f t="shared" ref="Q242:Q250" si="121">P242*12</f>
        <v>215217.2484000001</v>
      </c>
      <c r="R242" s="444">
        <f t="shared" ref="R242:R250" si="122">Q242*0.2409</f>
        <v>51845.835139560026</v>
      </c>
      <c r="S242" s="445">
        <f t="shared" ref="S242:S250" si="123">Q242+R242</f>
        <v>267063.08353956015</v>
      </c>
    </row>
    <row r="243" spans="2:19" ht="15" x14ac:dyDescent="0.25">
      <c r="B243" s="458" t="s">
        <v>448</v>
      </c>
      <c r="C243" s="459" t="s">
        <v>336</v>
      </c>
      <c r="D243" s="459" t="s">
        <v>14</v>
      </c>
      <c r="E243" s="459" t="s">
        <v>125</v>
      </c>
      <c r="F243" s="459">
        <v>2</v>
      </c>
      <c r="G243" s="400">
        <v>835</v>
      </c>
      <c r="H243" s="580">
        <v>495.59999999999997</v>
      </c>
      <c r="I243" s="581">
        <v>235.28114400000001</v>
      </c>
      <c r="J243" s="460">
        <v>46.5</v>
      </c>
      <c r="K243" s="442">
        <f t="shared" si="119"/>
        <v>595</v>
      </c>
      <c r="L243" s="13">
        <f t="shared" si="120"/>
        <v>595</v>
      </c>
      <c r="M243" s="457">
        <f t="shared" ref="M243:M250" si="124">N243-I243</f>
        <v>47.189155999999997</v>
      </c>
      <c r="N243" s="15">
        <f>I243/H243*L243</f>
        <v>282.47030000000001</v>
      </c>
      <c r="O243" s="15">
        <f t="shared" ref="O243:O250" si="125">L243-H243+M243</f>
        <v>146.58915600000003</v>
      </c>
      <c r="P243" s="15">
        <f t="shared" ref="P243:P250" si="126">O243*J243</f>
        <v>6816.395754000001</v>
      </c>
      <c r="Q243" s="444">
        <f t="shared" si="121"/>
        <v>81796.749048000012</v>
      </c>
      <c r="R243" s="444">
        <f t="shared" si="122"/>
        <v>19704.836845663202</v>
      </c>
      <c r="S243" s="445">
        <f t="shared" si="123"/>
        <v>101501.58589366321</v>
      </c>
    </row>
    <row r="244" spans="2:19" ht="15" x14ac:dyDescent="0.25">
      <c r="B244" s="458" t="s">
        <v>448</v>
      </c>
      <c r="C244" s="459" t="s">
        <v>336</v>
      </c>
      <c r="D244" s="459" t="s">
        <v>14</v>
      </c>
      <c r="E244" s="459" t="s">
        <v>125</v>
      </c>
      <c r="F244" s="459">
        <v>3</v>
      </c>
      <c r="G244" s="400">
        <v>996</v>
      </c>
      <c r="H244" s="580">
        <v>505.03999999999996</v>
      </c>
      <c r="I244" s="581">
        <v>180.55179999999999</v>
      </c>
      <c r="J244" s="460">
        <v>588.5</v>
      </c>
      <c r="K244" s="442">
        <f t="shared" si="119"/>
        <v>606</v>
      </c>
      <c r="L244" s="13">
        <f t="shared" si="120"/>
        <v>606</v>
      </c>
      <c r="M244" s="457">
        <f>N244-I244</f>
        <v>36.093199999999996</v>
      </c>
      <c r="N244" s="15">
        <f>I244/H244*L244</f>
        <v>216.64499999999998</v>
      </c>
      <c r="O244" s="461">
        <f>L244-H244+M244</f>
        <v>137.05320000000003</v>
      </c>
      <c r="P244" s="15">
        <f>O244*J244</f>
        <v>80655.808200000014</v>
      </c>
      <c r="Q244" s="444">
        <f t="shared" si="121"/>
        <v>967869.69840000011</v>
      </c>
      <c r="R244" s="444">
        <f t="shared" si="122"/>
        <v>233159.81034456004</v>
      </c>
      <c r="S244" s="445">
        <f t="shared" si="123"/>
        <v>1201029.5087445602</v>
      </c>
    </row>
    <row r="245" spans="2:19" ht="15" x14ac:dyDescent="0.25">
      <c r="B245" s="458" t="s">
        <v>449</v>
      </c>
      <c r="C245" s="459" t="s">
        <v>336</v>
      </c>
      <c r="D245" s="459" t="s">
        <v>14</v>
      </c>
      <c r="E245" s="459" t="s">
        <v>125</v>
      </c>
      <c r="F245" s="459">
        <v>2</v>
      </c>
      <c r="G245" s="400">
        <v>835</v>
      </c>
      <c r="H245" s="580">
        <v>527.45999999999992</v>
      </c>
      <c r="I245" s="581">
        <v>262.41134999999997</v>
      </c>
      <c r="J245" s="460">
        <v>1</v>
      </c>
      <c r="K245" s="442">
        <f t="shared" si="119"/>
        <v>633</v>
      </c>
      <c r="L245" s="13">
        <f t="shared" si="120"/>
        <v>633</v>
      </c>
      <c r="M245" s="457">
        <f t="shared" si="124"/>
        <v>52.506150000000048</v>
      </c>
      <c r="N245" s="15">
        <f t="shared" ref="N245:N250" si="127">I245/H245*L245</f>
        <v>314.91750000000002</v>
      </c>
      <c r="O245" s="15">
        <f t="shared" si="125"/>
        <v>158.04615000000013</v>
      </c>
      <c r="P245" s="15">
        <f t="shared" si="126"/>
        <v>158.04615000000013</v>
      </c>
      <c r="Q245" s="444">
        <f t="shared" si="121"/>
        <v>1896.5538000000015</v>
      </c>
      <c r="R245" s="444">
        <f t="shared" si="122"/>
        <v>456.87981042000035</v>
      </c>
      <c r="S245" s="445">
        <f t="shared" si="123"/>
        <v>2353.433610420002</v>
      </c>
    </row>
    <row r="246" spans="2:19" ht="15" x14ac:dyDescent="0.25">
      <c r="B246" s="458" t="s">
        <v>449</v>
      </c>
      <c r="C246" s="459" t="s">
        <v>336</v>
      </c>
      <c r="D246" s="459" t="s">
        <v>14</v>
      </c>
      <c r="E246" s="459" t="s">
        <v>125</v>
      </c>
      <c r="F246" s="459">
        <v>2</v>
      </c>
      <c r="G246" s="400">
        <v>835</v>
      </c>
      <c r="H246" s="580">
        <v>540.43999999999994</v>
      </c>
      <c r="I246" s="581">
        <v>268.8689</v>
      </c>
      <c r="J246" s="460">
        <v>1</v>
      </c>
      <c r="K246" s="442">
        <f t="shared" si="119"/>
        <v>649</v>
      </c>
      <c r="L246" s="13">
        <f t="shared" si="120"/>
        <v>649</v>
      </c>
      <c r="M246" s="457">
        <f t="shared" si="124"/>
        <v>54.008600000000058</v>
      </c>
      <c r="N246" s="15">
        <f t="shared" si="127"/>
        <v>322.87750000000005</v>
      </c>
      <c r="O246" s="15">
        <f t="shared" si="125"/>
        <v>162.56860000000012</v>
      </c>
      <c r="P246" s="15">
        <f t="shared" si="126"/>
        <v>162.56860000000012</v>
      </c>
      <c r="Q246" s="444">
        <f t="shared" si="121"/>
        <v>1950.8232000000014</v>
      </c>
      <c r="R246" s="444">
        <f t="shared" si="122"/>
        <v>469.95330888000035</v>
      </c>
      <c r="S246" s="445">
        <f t="shared" si="123"/>
        <v>2420.7765088800015</v>
      </c>
    </row>
    <row r="247" spans="2:19" ht="15" x14ac:dyDescent="0.25">
      <c r="B247" s="458" t="s">
        <v>449</v>
      </c>
      <c r="C247" s="459" t="s">
        <v>336</v>
      </c>
      <c r="D247" s="459" t="s">
        <v>14</v>
      </c>
      <c r="E247" s="459" t="s">
        <v>125</v>
      </c>
      <c r="F247" s="459">
        <v>3</v>
      </c>
      <c r="G247" s="400">
        <v>996</v>
      </c>
      <c r="H247" s="580">
        <v>539.26</v>
      </c>
      <c r="I247" s="581">
        <v>268.28185000000002</v>
      </c>
      <c r="J247" s="460">
        <v>46.25</v>
      </c>
      <c r="K247" s="442">
        <f t="shared" si="119"/>
        <v>647</v>
      </c>
      <c r="L247" s="13">
        <f t="shared" si="120"/>
        <v>647</v>
      </c>
      <c r="M247" s="457">
        <f t="shared" si="124"/>
        <v>53.60065000000003</v>
      </c>
      <c r="N247" s="15">
        <f t="shared" si="127"/>
        <v>321.88250000000005</v>
      </c>
      <c r="O247" s="15">
        <f t="shared" si="125"/>
        <v>161.34065000000004</v>
      </c>
      <c r="P247" s="15">
        <f t="shared" si="126"/>
        <v>7462.0050625000022</v>
      </c>
      <c r="Q247" s="444">
        <f t="shared" si="121"/>
        <v>89544.060750000033</v>
      </c>
      <c r="R247" s="444">
        <f t="shared" si="122"/>
        <v>21571.164234675009</v>
      </c>
      <c r="S247" s="445">
        <f t="shared" si="123"/>
        <v>111115.22498467503</v>
      </c>
    </row>
    <row r="248" spans="2:19" ht="15" x14ac:dyDescent="0.25">
      <c r="B248" s="458" t="s">
        <v>449</v>
      </c>
      <c r="C248" s="459" t="s">
        <v>336</v>
      </c>
      <c r="D248" s="459" t="s">
        <v>14</v>
      </c>
      <c r="E248" s="459" t="s">
        <v>125</v>
      </c>
      <c r="F248" s="459">
        <v>3</v>
      </c>
      <c r="G248" s="400">
        <v>996</v>
      </c>
      <c r="H248" s="580">
        <v>556.95999999999992</v>
      </c>
      <c r="I248" s="581">
        <v>277.08759999999995</v>
      </c>
      <c r="J248" s="460">
        <v>36.25</v>
      </c>
      <c r="K248" s="442">
        <f t="shared" si="119"/>
        <v>668</v>
      </c>
      <c r="L248" s="13">
        <f t="shared" si="120"/>
        <v>668</v>
      </c>
      <c r="M248" s="457">
        <f t="shared" si="124"/>
        <v>55.242400000000032</v>
      </c>
      <c r="N248" s="15">
        <f t="shared" si="127"/>
        <v>332.33</v>
      </c>
      <c r="O248" s="15">
        <f t="shared" si="125"/>
        <v>166.28240000000011</v>
      </c>
      <c r="P248" s="15">
        <f t="shared" si="126"/>
        <v>6027.7370000000037</v>
      </c>
      <c r="Q248" s="444">
        <f t="shared" si="121"/>
        <v>72332.844000000041</v>
      </c>
      <c r="R248" s="444">
        <f t="shared" si="122"/>
        <v>17424.982119600008</v>
      </c>
      <c r="S248" s="445">
        <f t="shared" si="123"/>
        <v>89757.826119600053</v>
      </c>
    </row>
    <row r="249" spans="2:19" ht="15" x14ac:dyDescent="0.25">
      <c r="B249" s="458" t="s">
        <v>449</v>
      </c>
      <c r="C249" s="459" t="s">
        <v>336</v>
      </c>
      <c r="D249" s="459" t="s">
        <v>14</v>
      </c>
      <c r="E249" s="459" t="s">
        <v>125</v>
      </c>
      <c r="F249" s="459">
        <v>3</v>
      </c>
      <c r="G249" s="400">
        <v>996</v>
      </c>
      <c r="H249" s="580">
        <v>574.66</v>
      </c>
      <c r="I249" s="581">
        <v>285.89335</v>
      </c>
      <c r="J249" s="460">
        <v>16.5</v>
      </c>
      <c r="K249" s="442">
        <f t="shared" si="119"/>
        <v>690</v>
      </c>
      <c r="L249" s="13">
        <f t="shared" si="120"/>
        <v>690</v>
      </c>
      <c r="M249" s="457">
        <f t="shared" si="124"/>
        <v>57.381649999999979</v>
      </c>
      <c r="N249" s="15">
        <f t="shared" si="127"/>
        <v>343.27499999999998</v>
      </c>
      <c r="O249" s="15">
        <f t="shared" si="125"/>
        <v>172.72165000000001</v>
      </c>
      <c r="P249" s="15">
        <f t="shared" si="126"/>
        <v>2849.9072250000004</v>
      </c>
      <c r="Q249" s="444">
        <f t="shared" si="121"/>
        <v>34198.886700000003</v>
      </c>
      <c r="R249" s="444">
        <f t="shared" si="122"/>
        <v>8238.511806030001</v>
      </c>
      <c r="S249" s="445">
        <f t="shared" si="123"/>
        <v>42437.398506030004</v>
      </c>
    </row>
    <row r="250" spans="2:19" ht="15.75" thickBot="1" x14ac:dyDescent="0.3">
      <c r="B250" s="462" t="s">
        <v>450</v>
      </c>
      <c r="C250" s="463" t="s">
        <v>336</v>
      </c>
      <c r="D250" s="463" t="s">
        <v>14</v>
      </c>
      <c r="E250" s="463" t="s">
        <v>125</v>
      </c>
      <c r="F250" s="463">
        <v>3</v>
      </c>
      <c r="G250" s="400">
        <v>996</v>
      </c>
      <c r="H250" s="582">
        <v>529.81999999999994</v>
      </c>
      <c r="I250" s="583">
        <v>221.19984999999997</v>
      </c>
      <c r="J250" s="464">
        <v>29</v>
      </c>
      <c r="K250" s="442">
        <f t="shared" si="119"/>
        <v>636</v>
      </c>
      <c r="L250" s="13">
        <f t="shared" si="120"/>
        <v>636</v>
      </c>
      <c r="M250" s="457">
        <f t="shared" si="124"/>
        <v>44.330150000000003</v>
      </c>
      <c r="N250" s="15">
        <f t="shared" si="127"/>
        <v>265.52999999999997</v>
      </c>
      <c r="O250" s="15">
        <f t="shared" si="125"/>
        <v>150.51015000000007</v>
      </c>
      <c r="P250" s="15">
        <f t="shared" si="126"/>
        <v>4364.7943500000019</v>
      </c>
      <c r="Q250" s="444">
        <f t="shared" si="121"/>
        <v>52377.532200000023</v>
      </c>
      <c r="R250" s="444">
        <f t="shared" si="122"/>
        <v>12617.747506980006</v>
      </c>
      <c r="S250" s="445">
        <f t="shared" si="123"/>
        <v>64995.279706980029</v>
      </c>
    </row>
    <row r="251" spans="2:19" ht="15" thickTop="1" x14ac:dyDescent="0.25">
      <c r="B251" s="465" t="s">
        <v>4</v>
      </c>
      <c r="C251" s="466"/>
      <c r="D251" s="466"/>
      <c r="E251" s="466"/>
      <c r="F251" s="466"/>
      <c r="G251" s="467"/>
      <c r="H251" s="468"/>
      <c r="I251" s="469"/>
      <c r="J251" s="470">
        <f>SUM(J242:J250)</f>
        <v>891</v>
      </c>
      <c r="K251" s="118"/>
      <c r="L251" s="76"/>
      <c r="M251" s="77"/>
      <c r="N251" s="78"/>
      <c r="O251" s="76"/>
      <c r="P251" s="78"/>
      <c r="Q251" s="79">
        <f>SUM(Q242:Q250)</f>
        <v>1517184.3964980002</v>
      </c>
      <c r="R251" s="79">
        <f t="shared" ref="R251:S251" si="128">SUM(R242:R250)</f>
        <v>365489.72111636825</v>
      </c>
      <c r="S251" s="80">
        <f t="shared" si="128"/>
        <v>1882674.1176143687</v>
      </c>
    </row>
    <row r="252" spans="2:19" ht="15" thickBot="1" x14ac:dyDescent="0.3">
      <c r="B252" s="471" t="s">
        <v>315</v>
      </c>
      <c r="C252" s="472"/>
      <c r="D252" s="472"/>
      <c r="E252" s="472"/>
      <c r="F252" s="472"/>
      <c r="G252" s="473"/>
      <c r="H252" s="474"/>
      <c r="I252" s="475"/>
      <c r="J252" s="476">
        <f>J166+J235+J240+J251</f>
        <v>3126.25</v>
      </c>
      <c r="K252" s="625"/>
      <c r="L252" s="556"/>
      <c r="M252" s="556"/>
      <c r="N252" s="556"/>
      <c r="O252" s="556"/>
      <c r="P252" s="556"/>
      <c r="Q252" s="613">
        <f>Q251+Q240+Q235+Q166</f>
        <v>6699348.5389971547</v>
      </c>
      <c r="R252" s="613">
        <f t="shared" ref="R252" si="129">R251+R240+R235+R166</f>
        <v>1613873.0630444149</v>
      </c>
      <c r="S252" s="614">
        <f>S251+S240+S235+S166</f>
        <v>8313221.6020415686</v>
      </c>
    </row>
    <row r="253" spans="2:19" ht="4.5" customHeight="1" thickBot="1" x14ac:dyDescent="0.3"/>
    <row r="254" spans="2:19" ht="15.75" thickBot="1" x14ac:dyDescent="0.3">
      <c r="B254" s="936" t="s">
        <v>451</v>
      </c>
      <c r="C254" s="937"/>
      <c r="D254" s="937"/>
      <c r="E254" s="937"/>
      <c r="F254" s="937"/>
      <c r="G254" s="937"/>
      <c r="H254" s="937"/>
      <c r="I254" s="937"/>
      <c r="J254" s="937"/>
      <c r="K254" s="937"/>
      <c r="L254" s="937"/>
      <c r="M254" s="937"/>
      <c r="N254" s="937"/>
      <c r="O254" s="937"/>
      <c r="P254" s="937"/>
      <c r="Q254" s="937"/>
      <c r="R254" s="937"/>
      <c r="S254" s="938"/>
    </row>
    <row r="255" spans="2:19" x14ac:dyDescent="0.25">
      <c r="B255" s="599" t="s">
        <v>20</v>
      </c>
      <c r="C255" s="553"/>
      <c r="D255" s="553"/>
      <c r="E255" s="553"/>
      <c r="F255" s="553"/>
      <c r="G255" s="615"/>
      <c r="H255" s="558"/>
      <c r="I255" s="553"/>
      <c r="J255" s="559"/>
      <c r="K255" s="616"/>
      <c r="L255" s="553"/>
      <c r="M255" s="617"/>
      <c r="N255" s="553"/>
      <c r="O255" s="553"/>
      <c r="P255" s="553"/>
      <c r="Q255" s="604"/>
      <c r="R255" s="604"/>
      <c r="S255" s="605"/>
    </row>
    <row r="256" spans="2:19" ht="15" x14ac:dyDescent="0.25">
      <c r="B256" s="477" t="s">
        <v>36</v>
      </c>
      <c r="C256" s="478" t="s">
        <v>278</v>
      </c>
      <c r="D256" s="478" t="s">
        <v>67</v>
      </c>
      <c r="E256" s="478">
        <v>13</v>
      </c>
      <c r="F256" s="478">
        <v>3</v>
      </c>
      <c r="G256" s="400">
        <v>1917</v>
      </c>
      <c r="H256" s="584">
        <v>1800</v>
      </c>
      <c r="I256" s="479">
        <v>0</v>
      </c>
      <c r="J256" s="480">
        <v>1</v>
      </c>
      <c r="K256" s="481">
        <f t="shared" ref="K256:K319" si="130">ROUND(H256*1.2,0)</f>
        <v>2160</v>
      </c>
      <c r="L256" s="482">
        <f t="shared" ref="L256:L319" si="131">IF(K256&lt;=G256,K256,G256)</f>
        <v>1917</v>
      </c>
      <c r="M256" s="483">
        <f t="shared" ref="M256:M319" si="132">N256-I256</f>
        <v>0</v>
      </c>
      <c r="N256" s="484">
        <f t="shared" ref="N256:N319" si="133">I256/H256*L256</f>
        <v>0</v>
      </c>
      <c r="O256" s="484">
        <f t="shared" ref="O256:O319" si="134">L256-H256+M256</f>
        <v>117</v>
      </c>
      <c r="P256" s="484">
        <f t="shared" ref="P256:P319" si="135">O256*J256</f>
        <v>117</v>
      </c>
      <c r="Q256" s="485">
        <f t="shared" ref="Q256:Q319" si="136">P256*12</f>
        <v>1404</v>
      </c>
      <c r="R256" s="485">
        <f t="shared" ref="R256:R319" si="137">Q256*0.2409</f>
        <v>338.22359999999998</v>
      </c>
      <c r="S256" s="486">
        <f t="shared" ref="S256:S319" si="138">Q256+R256</f>
        <v>1742.2236</v>
      </c>
    </row>
    <row r="257" spans="2:19" ht="15" x14ac:dyDescent="0.25">
      <c r="B257" s="477" t="s">
        <v>452</v>
      </c>
      <c r="C257" s="478" t="s">
        <v>278</v>
      </c>
      <c r="D257" s="478" t="s">
        <v>49</v>
      </c>
      <c r="E257" s="478">
        <v>12</v>
      </c>
      <c r="F257" s="478">
        <v>3</v>
      </c>
      <c r="G257" s="487">
        <v>1647</v>
      </c>
      <c r="H257" s="584">
        <v>1600</v>
      </c>
      <c r="I257" s="479">
        <v>0</v>
      </c>
      <c r="J257" s="480">
        <v>1</v>
      </c>
      <c r="K257" s="488">
        <f t="shared" si="130"/>
        <v>1920</v>
      </c>
      <c r="L257" s="489">
        <f t="shared" si="131"/>
        <v>1647</v>
      </c>
      <c r="M257" s="490">
        <f t="shared" si="132"/>
        <v>0</v>
      </c>
      <c r="N257" s="401">
        <f t="shared" si="133"/>
        <v>0</v>
      </c>
      <c r="O257" s="401">
        <f t="shared" si="134"/>
        <v>47</v>
      </c>
      <c r="P257" s="401">
        <f t="shared" si="135"/>
        <v>47</v>
      </c>
      <c r="Q257" s="491">
        <f t="shared" si="136"/>
        <v>564</v>
      </c>
      <c r="R257" s="491">
        <f t="shared" si="137"/>
        <v>135.86760000000001</v>
      </c>
      <c r="S257" s="492">
        <f t="shared" si="138"/>
        <v>699.86760000000004</v>
      </c>
    </row>
    <row r="258" spans="2:19" ht="15" x14ac:dyDescent="0.25">
      <c r="B258" s="477" t="s">
        <v>452</v>
      </c>
      <c r="C258" s="478" t="s">
        <v>278</v>
      </c>
      <c r="D258" s="478" t="s">
        <v>49</v>
      </c>
      <c r="E258" s="478">
        <v>12</v>
      </c>
      <c r="F258" s="478">
        <v>3</v>
      </c>
      <c r="G258" s="487">
        <v>1647</v>
      </c>
      <c r="H258" s="584">
        <v>1600</v>
      </c>
      <c r="I258" s="479">
        <v>0</v>
      </c>
      <c r="J258" s="480">
        <v>7</v>
      </c>
      <c r="K258" s="488">
        <f t="shared" si="130"/>
        <v>1920</v>
      </c>
      <c r="L258" s="489">
        <f t="shared" si="131"/>
        <v>1647</v>
      </c>
      <c r="M258" s="490">
        <f t="shared" si="132"/>
        <v>0</v>
      </c>
      <c r="N258" s="401">
        <f t="shared" si="133"/>
        <v>0</v>
      </c>
      <c r="O258" s="401">
        <f t="shared" si="134"/>
        <v>47</v>
      </c>
      <c r="P258" s="401">
        <f t="shared" si="135"/>
        <v>329</v>
      </c>
      <c r="Q258" s="491">
        <f t="shared" si="136"/>
        <v>3948</v>
      </c>
      <c r="R258" s="491">
        <f t="shared" si="137"/>
        <v>951.07320000000004</v>
      </c>
      <c r="S258" s="492">
        <f t="shared" si="138"/>
        <v>4899.0731999999998</v>
      </c>
    </row>
    <row r="259" spans="2:19" ht="15" x14ac:dyDescent="0.25">
      <c r="B259" s="477" t="s">
        <v>452</v>
      </c>
      <c r="C259" s="478" t="s">
        <v>278</v>
      </c>
      <c r="D259" s="478" t="s">
        <v>49</v>
      </c>
      <c r="E259" s="478">
        <v>12</v>
      </c>
      <c r="F259" s="478">
        <v>3</v>
      </c>
      <c r="G259" s="400">
        <v>1647</v>
      </c>
      <c r="H259" s="584">
        <v>1600</v>
      </c>
      <c r="I259" s="479">
        <v>0</v>
      </c>
      <c r="J259" s="480">
        <v>5</v>
      </c>
      <c r="K259" s="488">
        <f t="shared" si="130"/>
        <v>1920</v>
      </c>
      <c r="L259" s="489">
        <f t="shared" si="131"/>
        <v>1647</v>
      </c>
      <c r="M259" s="490">
        <f t="shared" si="132"/>
        <v>0</v>
      </c>
      <c r="N259" s="401">
        <f t="shared" si="133"/>
        <v>0</v>
      </c>
      <c r="O259" s="401">
        <f t="shared" si="134"/>
        <v>47</v>
      </c>
      <c r="P259" s="401">
        <f t="shared" si="135"/>
        <v>235</v>
      </c>
      <c r="Q259" s="491">
        <f t="shared" si="136"/>
        <v>2820</v>
      </c>
      <c r="R259" s="491">
        <f t="shared" si="137"/>
        <v>679.33799999999997</v>
      </c>
      <c r="S259" s="492">
        <f t="shared" si="138"/>
        <v>3499.3379999999997</v>
      </c>
    </row>
    <row r="260" spans="2:19" ht="15" x14ac:dyDescent="0.25">
      <c r="B260" s="477" t="s">
        <v>177</v>
      </c>
      <c r="C260" s="493" t="s">
        <v>278</v>
      </c>
      <c r="D260" s="478" t="s">
        <v>14</v>
      </c>
      <c r="E260" s="493">
        <v>10</v>
      </c>
      <c r="F260" s="493">
        <v>3</v>
      </c>
      <c r="G260" s="400">
        <v>1287</v>
      </c>
      <c r="H260" s="584">
        <v>1248</v>
      </c>
      <c r="I260" s="479">
        <v>0</v>
      </c>
      <c r="J260" s="480">
        <v>3</v>
      </c>
      <c r="K260" s="488">
        <f t="shared" si="130"/>
        <v>1498</v>
      </c>
      <c r="L260" s="489">
        <f t="shared" si="131"/>
        <v>1287</v>
      </c>
      <c r="M260" s="490">
        <f t="shared" si="132"/>
        <v>0</v>
      </c>
      <c r="N260" s="401">
        <f t="shared" si="133"/>
        <v>0</v>
      </c>
      <c r="O260" s="401">
        <f t="shared" si="134"/>
        <v>39</v>
      </c>
      <c r="P260" s="401">
        <f t="shared" si="135"/>
        <v>117</v>
      </c>
      <c r="Q260" s="491">
        <f t="shared" si="136"/>
        <v>1404</v>
      </c>
      <c r="R260" s="491">
        <f t="shared" si="137"/>
        <v>338.22359999999998</v>
      </c>
      <c r="S260" s="492">
        <f t="shared" si="138"/>
        <v>1742.2236</v>
      </c>
    </row>
    <row r="261" spans="2:19" ht="15" x14ac:dyDescent="0.25">
      <c r="B261" s="477" t="s">
        <v>177</v>
      </c>
      <c r="C261" s="478" t="s">
        <v>278</v>
      </c>
      <c r="D261" s="478" t="s">
        <v>14</v>
      </c>
      <c r="E261" s="478">
        <v>10</v>
      </c>
      <c r="F261" s="478">
        <v>3</v>
      </c>
      <c r="G261" s="400">
        <v>1287</v>
      </c>
      <c r="H261" s="584">
        <v>1248</v>
      </c>
      <c r="I261" s="479">
        <v>0</v>
      </c>
      <c r="J261" s="480">
        <v>2</v>
      </c>
      <c r="K261" s="488">
        <f t="shared" si="130"/>
        <v>1498</v>
      </c>
      <c r="L261" s="489">
        <f t="shared" si="131"/>
        <v>1287</v>
      </c>
      <c r="M261" s="490">
        <f t="shared" si="132"/>
        <v>0</v>
      </c>
      <c r="N261" s="401">
        <f t="shared" si="133"/>
        <v>0</v>
      </c>
      <c r="O261" s="401">
        <f t="shared" si="134"/>
        <v>39</v>
      </c>
      <c r="P261" s="401">
        <f t="shared" si="135"/>
        <v>78</v>
      </c>
      <c r="Q261" s="491">
        <f t="shared" si="136"/>
        <v>936</v>
      </c>
      <c r="R261" s="491">
        <f t="shared" si="137"/>
        <v>225.48240000000001</v>
      </c>
      <c r="S261" s="492">
        <f t="shared" si="138"/>
        <v>1161.4824000000001</v>
      </c>
    </row>
    <row r="262" spans="2:19" ht="15" x14ac:dyDescent="0.25">
      <c r="B262" s="477" t="s">
        <v>453</v>
      </c>
      <c r="C262" s="478" t="s">
        <v>13</v>
      </c>
      <c r="D262" s="478" t="s">
        <v>33</v>
      </c>
      <c r="E262" s="493">
        <v>9</v>
      </c>
      <c r="F262" s="493">
        <v>2</v>
      </c>
      <c r="G262" s="400">
        <v>1015</v>
      </c>
      <c r="H262" s="584">
        <v>985</v>
      </c>
      <c r="I262" s="479">
        <v>0</v>
      </c>
      <c r="J262" s="480">
        <v>1</v>
      </c>
      <c r="K262" s="488">
        <f t="shared" si="130"/>
        <v>1182</v>
      </c>
      <c r="L262" s="489">
        <f t="shared" si="131"/>
        <v>1015</v>
      </c>
      <c r="M262" s="490">
        <f t="shared" si="132"/>
        <v>0</v>
      </c>
      <c r="N262" s="401">
        <f t="shared" si="133"/>
        <v>0</v>
      </c>
      <c r="O262" s="401">
        <f t="shared" si="134"/>
        <v>30</v>
      </c>
      <c r="P262" s="401">
        <f t="shared" si="135"/>
        <v>30</v>
      </c>
      <c r="Q262" s="491">
        <f t="shared" si="136"/>
        <v>360</v>
      </c>
      <c r="R262" s="491">
        <f t="shared" si="137"/>
        <v>86.724000000000004</v>
      </c>
      <c r="S262" s="492">
        <f t="shared" si="138"/>
        <v>446.72399999999999</v>
      </c>
    </row>
    <row r="263" spans="2:19" ht="15" x14ac:dyDescent="0.25">
      <c r="B263" s="477" t="s">
        <v>36</v>
      </c>
      <c r="C263" s="478" t="s">
        <v>454</v>
      </c>
      <c r="D263" s="478" t="s">
        <v>35</v>
      </c>
      <c r="E263" s="478">
        <v>11</v>
      </c>
      <c r="F263" s="478">
        <v>3</v>
      </c>
      <c r="G263" s="400">
        <v>1382</v>
      </c>
      <c r="H263" s="584">
        <v>1382</v>
      </c>
      <c r="I263" s="479">
        <v>0</v>
      </c>
      <c r="J263" s="480">
        <v>1</v>
      </c>
      <c r="K263" s="488">
        <f t="shared" si="130"/>
        <v>1658</v>
      </c>
      <c r="L263" s="489">
        <f t="shared" si="131"/>
        <v>1382</v>
      </c>
      <c r="M263" s="490">
        <f t="shared" si="132"/>
        <v>0</v>
      </c>
      <c r="N263" s="401">
        <f t="shared" si="133"/>
        <v>0</v>
      </c>
      <c r="O263" s="401">
        <f t="shared" si="134"/>
        <v>0</v>
      </c>
      <c r="P263" s="401">
        <f t="shared" si="135"/>
        <v>0</v>
      </c>
      <c r="Q263" s="491">
        <f t="shared" si="136"/>
        <v>0</v>
      </c>
      <c r="R263" s="491">
        <f t="shared" si="137"/>
        <v>0</v>
      </c>
      <c r="S263" s="492">
        <f t="shared" si="138"/>
        <v>0</v>
      </c>
    </row>
    <row r="264" spans="2:19" ht="15" x14ac:dyDescent="0.25">
      <c r="B264" s="477" t="s">
        <v>455</v>
      </c>
      <c r="C264" s="478" t="s">
        <v>454</v>
      </c>
      <c r="D264" s="478" t="s">
        <v>45</v>
      </c>
      <c r="E264" s="478">
        <v>9</v>
      </c>
      <c r="F264" s="478">
        <v>2</v>
      </c>
      <c r="G264" s="400">
        <v>1015</v>
      </c>
      <c r="H264" s="584">
        <v>850</v>
      </c>
      <c r="I264" s="479">
        <v>0</v>
      </c>
      <c r="J264" s="480">
        <v>1</v>
      </c>
      <c r="K264" s="488">
        <f t="shared" si="130"/>
        <v>1020</v>
      </c>
      <c r="L264" s="489">
        <f t="shared" si="131"/>
        <v>1015</v>
      </c>
      <c r="M264" s="490">
        <f t="shared" si="132"/>
        <v>0</v>
      </c>
      <c r="N264" s="401">
        <f t="shared" si="133"/>
        <v>0</v>
      </c>
      <c r="O264" s="401">
        <f t="shared" si="134"/>
        <v>165</v>
      </c>
      <c r="P264" s="401">
        <f t="shared" si="135"/>
        <v>165</v>
      </c>
      <c r="Q264" s="491">
        <f t="shared" si="136"/>
        <v>1980</v>
      </c>
      <c r="R264" s="491">
        <f t="shared" si="137"/>
        <v>476.98200000000003</v>
      </c>
      <c r="S264" s="492">
        <f t="shared" si="138"/>
        <v>2456.982</v>
      </c>
    </row>
    <row r="265" spans="2:19" ht="15" x14ac:dyDescent="0.25">
      <c r="B265" s="494" t="s">
        <v>456</v>
      </c>
      <c r="C265" s="493" t="s">
        <v>278</v>
      </c>
      <c r="D265" s="478" t="s">
        <v>49</v>
      </c>
      <c r="E265" s="493">
        <v>12</v>
      </c>
      <c r="F265" s="493">
        <v>3</v>
      </c>
      <c r="G265" s="400">
        <v>1647</v>
      </c>
      <c r="H265" s="584">
        <v>1150</v>
      </c>
      <c r="I265" s="479">
        <v>0</v>
      </c>
      <c r="J265" s="480">
        <v>1</v>
      </c>
      <c r="K265" s="488">
        <f t="shared" si="130"/>
        <v>1380</v>
      </c>
      <c r="L265" s="489">
        <f t="shared" si="131"/>
        <v>1380</v>
      </c>
      <c r="M265" s="490">
        <f t="shared" si="132"/>
        <v>0</v>
      </c>
      <c r="N265" s="401">
        <f t="shared" si="133"/>
        <v>0</v>
      </c>
      <c r="O265" s="401">
        <f t="shared" si="134"/>
        <v>230</v>
      </c>
      <c r="P265" s="401">
        <f t="shared" si="135"/>
        <v>230</v>
      </c>
      <c r="Q265" s="491">
        <f t="shared" si="136"/>
        <v>2760</v>
      </c>
      <c r="R265" s="491">
        <f t="shared" si="137"/>
        <v>664.88400000000001</v>
      </c>
      <c r="S265" s="492">
        <f t="shared" si="138"/>
        <v>3424.884</v>
      </c>
    </row>
    <row r="266" spans="2:19" ht="15" x14ac:dyDescent="0.25">
      <c r="B266" s="477" t="s">
        <v>456</v>
      </c>
      <c r="C266" s="478" t="s">
        <v>278</v>
      </c>
      <c r="D266" s="478" t="s">
        <v>49</v>
      </c>
      <c r="E266" s="478">
        <v>12</v>
      </c>
      <c r="F266" s="478">
        <v>3</v>
      </c>
      <c r="G266" s="400">
        <v>1647</v>
      </c>
      <c r="H266" s="584">
        <v>1100</v>
      </c>
      <c r="I266" s="479">
        <v>0</v>
      </c>
      <c r="J266" s="480">
        <v>3</v>
      </c>
      <c r="K266" s="488">
        <f t="shared" si="130"/>
        <v>1320</v>
      </c>
      <c r="L266" s="489">
        <f t="shared" si="131"/>
        <v>1320</v>
      </c>
      <c r="M266" s="490">
        <f t="shared" si="132"/>
        <v>0</v>
      </c>
      <c r="N266" s="401">
        <f t="shared" si="133"/>
        <v>0</v>
      </c>
      <c r="O266" s="401">
        <f t="shared" si="134"/>
        <v>220</v>
      </c>
      <c r="P266" s="401">
        <f t="shared" si="135"/>
        <v>660</v>
      </c>
      <c r="Q266" s="491">
        <f t="shared" si="136"/>
        <v>7920</v>
      </c>
      <c r="R266" s="491">
        <f t="shared" si="137"/>
        <v>1907.9280000000001</v>
      </c>
      <c r="S266" s="492">
        <f t="shared" si="138"/>
        <v>9827.9279999999999</v>
      </c>
    </row>
    <row r="267" spans="2:19" ht="15" x14ac:dyDescent="0.25">
      <c r="B267" s="477" t="s">
        <v>456</v>
      </c>
      <c r="C267" s="478" t="s">
        <v>278</v>
      </c>
      <c r="D267" s="478" t="s">
        <v>49</v>
      </c>
      <c r="E267" s="478">
        <v>12</v>
      </c>
      <c r="F267" s="478">
        <v>3</v>
      </c>
      <c r="G267" s="400">
        <v>1647</v>
      </c>
      <c r="H267" s="584">
        <v>1150</v>
      </c>
      <c r="I267" s="479">
        <v>0</v>
      </c>
      <c r="J267" s="480">
        <v>1</v>
      </c>
      <c r="K267" s="488">
        <f t="shared" si="130"/>
        <v>1380</v>
      </c>
      <c r="L267" s="489">
        <f t="shared" si="131"/>
        <v>1380</v>
      </c>
      <c r="M267" s="490">
        <f t="shared" si="132"/>
        <v>0</v>
      </c>
      <c r="N267" s="401">
        <f t="shared" si="133"/>
        <v>0</v>
      </c>
      <c r="O267" s="401">
        <f t="shared" si="134"/>
        <v>230</v>
      </c>
      <c r="P267" s="401">
        <f t="shared" si="135"/>
        <v>230</v>
      </c>
      <c r="Q267" s="491">
        <f t="shared" si="136"/>
        <v>2760</v>
      </c>
      <c r="R267" s="491">
        <f t="shared" si="137"/>
        <v>664.88400000000001</v>
      </c>
      <c r="S267" s="492">
        <f t="shared" si="138"/>
        <v>3424.884</v>
      </c>
    </row>
    <row r="268" spans="2:19" ht="15" x14ac:dyDescent="0.25">
      <c r="B268" s="477" t="s">
        <v>457</v>
      </c>
      <c r="C268" s="478" t="s">
        <v>278</v>
      </c>
      <c r="D268" s="478" t="s">
        <v>14</v>
      </c>
      <c r="E268" s="478">
        <v>10</v>
      </c>
      <c r="F268" s="478">
        <v>3</v>
      </c>
      <c r="G268" s="400">
        <v>1287</v>
      </c>
      <c r="H268" s="584">
        <v>1050</v>
      </c>
      <c r="I268" s="479">
        <v>0</v>
      </c>
      <c r="J268" s="480">
        <v>7</v>
      </c>
      <c r="K268" s="488">
        <f t="shared" si="130"/>
        <v>1260</v>
      </c>
      <c r="L268" s="489">
        <f t="shared" si="131"/>
        <v>1260</v>
      </c>
      <c r="M268" s="490">
        <f t="shared" si="132"/>
        <v>0</v>
      </c>
      <c r="N268" s="401">
        <f t="shared" si="133"/>
        <v>0</v>
      </c>
      <c r="O268" s="401">
        <f t="shared" si="134"/>
        <v>210</v>
      </c>
      <c r="P268" s="401">
        <f t="shared" si="135"/>
        <v>1470</v>
      </c>
      <c r="Q268" s="491">
        <f t="shared" si="136"/>
        <v>17640</v>
      </c>
      <c r="R268" s="491">
        <f t="shared" si="137"/>
        <v>4249.4759999999997</v>
      </c>
      <c r="S268" s="492">
        <f t="shared" si="138"/>
        <v>21889.475999999999</v>
      </c>
    </row>
    <row r="269" spans="2:19" ht="15" x14ac:dyDescent="0.25">
      <c r="B269" s="477" t="s">
        <v>457</v>
      </c>
      <c r="C269" s="489" t="s">
        <v>278</v>
      </c>
      <c r="D269" s="478" t="s">
        <v>14</v>
      </c>
      <c r="E269" s="495">
        <v>10</v>
      </c>
      <c r="F269" s="489">
        <v>3</v>
      </c>
      <c r="G269" s="400">
        <v>1287</v>
      </c>
      <c r="H269" s="584">
        <v>1000</v>
      </c>
      <c r="I269" s="479">
        <v>0</v>
      </c>
      <c r="J269" s="480">
        <v>4</v>
      </c>
      <c r="K269" s="488">
        <f t="shared" si="130"/>
        <v>1200</v>
      </c>
      <c r="L269" s="489">
        <f t="shared" si="131"/>
        <v>1200</v>
      </c>
      <c r="M269" s="490">
        <f t="shared" si="132"/>
        <v>0</v>
      </c>
      <c r="N269" s="401">
        <f t="shared" si="133"/>
        <v>0</v>
      </c>
      <c r="O269" s="401">
        <f t="shared" si="134"/>
        <v>200</v>
      </c>
      <c r="P269" s="401">
        <f t="shared" si="135"/>
        <v>800</v>
      </c>
      <c r="Q269" s="491">
        <f t="shared" si="136"/>
        <v>9600</v>
      </c>
      <c r="R269" s="491">
        <f t="shared" si="137"/>
        <v>2312.64</v>
      </c>
      <c r="S269" s="492">
        <f t="shared" si="138"/>
        <v>11912.64</v>
      </c>
    </row>
    <row r="270" spans="2:19" ht="15" x14ac:dyDescent="0.25">
      <c r="B270" s="477" t="s">
        <v>457</v>
      </c>
      <c r="C270" s="496" t="s">
        <v>278</v>
      </c>
      <c r="D270" s="478" t="s">
        <v>14</v>
      </c>
      <c r="E270" s="478">
        <v>10</v>
      </c>
      <c r="F270" s="478">
        <v>2</v>
      </c>
      <c r="G270" s="400">
        <v>1115</v>
      </c>
      <c r="H270" s="584">
        <v>910</v>
      </c>
      <c r="I270" s="479">
        <v>0</v>
      </c>
      <c r="J270" s="480">
        <v>1</v>
      </c>
      <c r="K270" s="488">
        <f t="shared" si="130"/>
        <v>1092</v>
      </c>
      <c r="L270" s="489">
        <f t="shared" si="131"/>
        <v>1092</v>
      </c>
      <c r="M270" s="490">
        <f t="shared" si="132"/>
        <v>0</v>
      </c>
      <c r="N270" s="401">
        <f t="shared" si="133"/>
        <v>0</v>
      </c>
      <c r="O270" s="401">
        <f t="shared" si="134"/>
        <v>182</v>
      </c>
      <c r="P270" s="401">
        <f t="shared" si="135"/>
        <v>182</v>
      </c>
      <c r="Q270" s="491">
        <f t="shared" si="136"/>
        <v>2184</v>
      </c>
      <c r="R270" s="491">
        <f t="shared" si="137"/>
        <v>526.12559999999996</v>
      </c>
      <c r="S270" s="492">
        <f t="shared" si="138"/>
        <v>2710.1255999999998</v>
      </c>
    </row>
    <row r="271" spans="2:19" ht="15" x14ac:dyDescent="0.25">
      <c r="B271" s="477" t="s">
        <v>36</v>
      </c>
      <c r="C271" s="478" t="s">
        <v>458</v>
      </c>
      <c r="D271" s="478" t="s">
        <v>67</v>
      </c>
      <c r="E271" s="478">
        <v>12</v>
      </c>
      <c r="F271" s="478">
        <v>3</v>
      </c>
      <c r="G271" s="400">
        <v>1647</v>
      </c>
      <c r="H271" s="584">
        <v>1470</v>
      </c>
      <c r="I271" s="479">
        <v>0</v>
      </c>
      <c r="J271" s="480">
        <v>5</v>
      </c>
      <c r="K271" s="488">
        <f t="shared" si="130"/>
        <v>1764</v>
      </c>
      <c r="L271" s="489">
        <f t="shared" si="131"/>
        <v>1647</v>
      </c>
      <c r="M271" s="490">
        <f t="shared" si="132"/>
        <v>0</v>
      </c>
      <c r="N271" s="401">
        <f t="shared" si="133"/>
        <v>0</v>
      </c>
      <c r="O271" s="401">
        <f t="shared" si="134"/>
        <v>177</v>
      </c>
      <c r="P271" s="401">
        <f t="shared" si="135"/>
        <v>885</v>
      </c>
      <c r="Q271" s="491">
        <f t="shared" si="136"/>
        <v>10620</v>
      </c>
      <c r="R271" s="491">
        <f t="shared" si="137"/>
        <v>2558.3580000000002</v>
      </c>
      <c r="S271" s="492">
        <f t="shared" si="138"/>
        <v>13178.358</v>
      </c>
    </row>
    <row r="272" spans="2:19" ht="15" x14ac:dyDescent="0.25">
      <c r="B272" s="477" t="s">
        <v>36</v>
      </c>
      <c r="C272" s="495" t="s">
        <v>458</v>
      </c>
      <c r="D272" s="478" t="s">
        <v>67</v>
      </c>
      <c r="E272" s="497">
        <v>12</v>
      </c>
      <c r="F272" s="498">
        <v>3</v>
      </c>
      <c r="G272" s="400">
        <v>1647</v>
      </c>
      <c r="H272" s="584">
        <v>1470</v>
      </c>
      <c r="I272" s="479">
        <v>0</v>
      </c>
      <c r="J272" s="480">
        <v>1</v>
      </c>
      <c r="K272" s="488">
        <f t="shared" si="130"/>
        <v>1764</v>
      </c>
      <c r="L272" s="489">
        <f t="shared" si="131"/>
        <v>1647</v>
      </c>
      <c r="M272" s="490">
        <f t="shared" si="132"/>
        <v>0</v>
      </c>
      <c r="N272" s="401">
        <f t="shared" si="133"/>
        <v>0</v>
      </c>
      <c r="O272" s="401">
        <f t="shared" si="134"/>
        <v>177</v>
      </c>
      <c r="P272" s="401">
        <f t="shared" si="135"/>
        <v>177</v>
      </c>
      <c r="Q272" s="491">
        <f t="shared" si="136"/>
        <v>2124</v>
      </c>
      <c r="R272" s="491">
        <f t="shared" si="137"/>
        <v>511.67160000000001</v>
      </c>
      <c r="S272" s="492">
        <f t="shared" si="138"/>
        <v>2635.6716000000001</v>
      </c>
    </row>
    <row r="273" spans="2:19" ht="15" x14ac:dyDescent="0.25">
      <c r="B273" s="477" t="s">
        <v>459</v>
      </c>
      <c r="C273" s="496" t="s">
        <v>458</v>
      </c>
      <c r="D273" s="478" t="s">
        <v>49</v>
      </c>
      <c r="E273" s="499">
        <v>11</v>
      </c>
      <c r="F273" s="499">
        <v>3</v>
      </c>
      <c r="G273" s="487">
        <v>1382</v>
      </c>
      <c r="H273" s="584">
        <v>1150</v>
      </c>
      <c r="I273" s="479">
        <v>0</v>
      </c>
      <c r="J273" s="480">
        <v>1</v>
      </c>
      <c r="K273" s="488">
        <f t="shared" si="130"/>
        <v>1380</v>
      </c>
      <c r="L273" s="489">
        <f t="shared" si="131"/>
        <v>1380</v>
      </c>
      <c r="M273" s="490">
        <f t="shared" si="132"/>
        <v>0</v>
      </c>
      <c r="N273" s="401">
        <f t="shared" si="133"/>
        <v>0</v>
      </c>
      <c r="O273" s="401">
        <f t="shared" si="134"/>
        <v>230</v>
      </c>
      <c r="P273" s="401">
        <f t="shared" si="135"/>
        <v>230</v>
      </c>
      <c r="Q273" s="491">
        <f t="shared" si="136"/>
        <v>2760</v>
      </c>
      <c r="R273" s="491">
        <f t="shared" si="137"/>
        <v>664.88400000000001</v>
      </c>
      <c r="S273" s="492">
        <f t="shared" si="138"/>
        <v>3424.884</v>
      </c>
    </row>
    <row r="274" spans="2:19" ht="15" x14ac:dyDescent="0.25">
      <c r="B274" s="477" t="s">
        <v>459</v>
      </c>
      <c r="C274" s="489" t="s">
        <v>458</v>
      </c>
      <c r="D274" s="478" t="s">
        <v>49</v>
      </c>
      <c r="E274" s="495">
        <v>11</v>
      </c>
      <c r="F274" s="495">
        <v>3</v>
      </c>
      <c r="G274" s="487">
        <v>1382</v>
      </c>
      <c r="H274" s="584">
        <v>1150</v>
      </c>
      <c r="I274" s="479">
        <v>0</v>
      </c>
      <c r="J274" s="480">
        <v>2</v>
      </c>
      <c r="K274" s="488">
        <f>ROUND(H274*1.2,0)</f>
        <v>1380</v>
      </c>
      <c r="L274" s="489">
        <f t="shared" si="131"/>
        <v>1380</v>
      </c>
      <c r="M274" s="490">
        <f t="shared" si="132"/>
        <v>0</v>
      </c>
      <c r="N274" s="401">
        <f t="shared" si="133"/>
        <v>0</v>
      </c>
      <c r="O274" s="401">
        <f t="shared" si="134"/>
        <v>230</v>
      </c>
      <c r="P274" s="401">
        <f t="shared" si="135"/>
        <v>460</v>
      </c>
      <c r="Q274" s="491">
        <f t="shared" si="136"/>
        <v>5520</v>
      </c>
      <c r="R274" s="491">
        <f t="shared" si="137"/>
        <v>1329.768</v>
      </c>
      <c r="S274" s="492">
        <f t="shared" si="138"/>
        <v>6849.768</v>
      </c>
    </row>
    <row r="275" spans="2:19" ht="30" x14ac:dyDescent="0.25">
      <c r="B275" s="477" t="s">
        <v>460</v>
      </c>
      <c r="C275" s="489" t="s">
        <v>458</v>
      </c>
      <c r="D275" s="478" t="s">
        <v>49</v>
      </c>
      <c r="E275" s="495">
        <v>11</v>
      </c>
      <c r="F275" s="489">
        <v>3</v>
      </c>
      <c r="G275" s="487">
        <v>1382</v>
      </c>
      <c r="H275" s="584">
        <v>1100</v>
      </c>
      <c r="I275" s="479">
        <v>0</v>
      </c>
      <c r="J275" s="480">
        <v>2</v>
      </c>
      <c r="K275" s="488">
        <f t="shared" si="130"/>
        <v>1320</v>
      </c>
      <c r="L275" s="489">
        <f t="shared" si="131"/>
        <v>1320</v>
      </c>
      <c r="M275" s="490">
        <f t="shared" si="132"/>
        <v>0</v>
      </c>
      <c r="N275" s="401">
        <f t="shared" si="133"/>
        <v>0</v>
      </c>
      <c r="O275" s="401">
        <f t="shared" si="134"/>
        <v>220</v>
      </c>
      <c r="P275" s="401">
        <f t="shared" si="135"/>
        <v>440</v>
      </c>
      <c r="Q275" s="491">
        <f t="shared" si="136"/>
        <v>5280</v>
      </c>
      <c r="R275" s="491">
        <f t="shared" si="137"/>
        <v>1271.952</v>
      </c>
      <c r="S275" s="492">
        <f t="shared" si="138"/>
        <v>6551.9520000000002</v>
      </c>
    </row>
    <row r="276" spans="2:19" ht="30" x14ac:dyDescent="0.25">
      <c r="B276" s="494" t="s">
        <v>460</v>
      </c>
      <c r="C276" s="478" t="s">
        <v>458</v>
      </c>
      <c r="D276" s="478" t="s">
        <v>49</v>
      </c>
      <c r="E276" s="493">
        <v>11</v>
      </c>
      <c r="F276" s="493">
        <v>3</v>
      </c>
      <c r="G276" s="487">
        <v>1382</v>
      </c>
      <c r="H276" s="584">
        <v>1100</v>
      </c>
      <c r="I276" s="479">
        <v>0</v>
      </c>
      <c r="J276" s="480">
        <v>1</v>
      </c>
      <c r="K276" s="488">
        <f t="shared" si="130"/>
        <v>1320</v>
      </c>
      <c r="L276" s="489">
        <f t="shared" si="131"/>
        <v>1320</v>
      </c>
      <c r="M276" s="490">
        <f t="shared" si="132"/>
        <v>0</v>
      </c>
      <c r="N276" s="401">
        <f t="shared" si="133"/>
        <v>0</v>
      </c>
      <c r="O276" s="401">
        <f t="shared" si="134"/>
        <v>220</v>
      </c>
      <c r="P276" s="401">
        <f t="shared" si="135"/>
        <v>220</v>
      </c>
      <c r="Q276" s="491">
        <f t="shared" si="136"/>
        <v>2640</v>
      </c>
      <c r="R276" s="491">
        <f t="shared" si="137"/>
        <v>635.976</v>
      </c>
      <c r="S276" s="492">
        <f t="shared" si="138"/>
        <v>3275.9760000000001</v>
      </c>
    </row>
    <row r="277" spans="2:19" ht="15" x14ac:dyDescent="0.25">
      <c r="B277" s="477" t="s">
        <v>459</v>
      </c>
      <c r="C277" s="478" t="s">
        <v>458</v>
      </c>
      <c r="D277" s="478" t="s">
        <v>49</v>
      </c>
      <c r="E277" s="478">
        <v>11</v>
      </c>
      <c r="F277" s="478">
        <v>3</v>
      </c>
      <c r="G277" s="487">
        <v>1382</v>
      </c>
      <c r="H277" s="584">
        <v>1010</v>
      </c>
      <c r="I277" s="479">
        <v>0</v>
      </c>
      <c r="J277" s="480">
        <v>1</v>
      </c>
      <c r="K277" s="488">
        <f t="shared" si="130"/>
        <v>1212</v>
      </c>
      <c r="L277" s="489">
        <f t="shared" si="131"/>
        <v>1212</v>
      </c>
      <c r="M277" s="490">
        <f t="shared" si="132"/>
        <v>0</v>
      </c>
      <c r="N277" s="401">
        <f t="shared" si="133"/>
        <v>0</v>
      </c>
      <c r="O277" s="401">
        <f t="shared" si="134"/>
        <v>202</v>
      </c>
      <c r="P277" s="401">
        <f t="shared" si="135"/>
        <v>202</v>
      </c>
      <c r="Q277" s="491">
        <f t="shared" si="136"/>
        <v>2424</v>
      </c>
      <c r="R277" s="491">
        <f t="shared" si="137"/>
        <v>583.94159999999999</v>
      </c>
      <c r="S277" s="492">
        <f t="shared" si="138"/>
        <v>3007.9416000000001</v>
      </c>
    </row>
    <row r="278" spans="2:19" ht="15" x14ac:dyDescent="0.25">
      <c r="B278" s="477" t="s">
        <v>461</v>
      </c>
      <c r="C278" s="478" t="s">
        <v>458</v>
      </c>
      <c r="D278" s="478" t="s">
        <v>164</v>
      </c>
      <c r="E278" s="478">
        <v>10</v>
      </c>
      <c r="F278" s="478">
        <v>3</v>
      </c>
      <c r="G278" s="487">
        <v>1287</v>
      </c>
      <c r="H278" s="584">
        <v>1000</v>
      </c>
      <c r="I278" s="479">
        <v>0</v>
      </c>
      <c r="J278" s="480">
        <v>2</v>
      </c>
      <c r="K278" s="488">
        <f t="shared" si="130"/>
        <v>1200</v>
      </c>
      <c r="L278" s="489">
        <f t="shared" si="131"/>
        <v>1200</v>
      </c>
      <c r="M278" s="490">
        <f t="shared" si="132"/>
        <v>0</v>
      </c>
      <c r="N278" s="401">
        <f t="shared" si="133"/>
        <v>0</v>
      </c>
      <c r="O278" s="401">
        <f t="shared" si="134"/>
        <v>200</v>
      </c>
      <c r="P278" s="401">
        <f t="shared" si="135"/>
        <v>400</v>
      </c>
      <c r="Q278" s="491">
        <f t="shared" si="136"/>
        <v>4800</v>
      </c>
      <c r="R278" s="491">
        <f t="shared" si="137"/>
        <v>1156.32</v>
      </c>
      <c r="S278" s="492">
        <f t="shared" si="138"/>
        <v>5956.32</v>
      </c>
    </row>
    <row r="279" spans="2:19" ht="15" x14ac:dyDescent="0.25">
      <c r="B279" s="477" t="s">
        <v>462</v>
      </c>
      <c r="C279" s="478" t="s">
        <v>458</v>
      </c>
      <c r="D279" s="478" t="s">
        <v>164</v>
      </c>
      <c r="E279" s="478">
        <v>10</v>
      </c>
      <c r="F279" s="478">
        <v>3</v>
      </c>
      <c r="G279" s="487">
        <v>1287</v>
      </c>
      <c r="H279" s="584">
        <v>900</v>
      </c>
      <c r="I279" s="479">
        <v>0</v>
      </c>
      <c r="J279" s="480">
        <v>4</v>
      </c>
      <c r="K279" s="488">
        <f t="shared" si="130"/>
        <v>1080</v>
      </c>
      <c r="L279" s="489">
        <f t="shared" si="131"/>
        <v>1080</v>
      </c>
      <c r="M279" s="490">
        <f t="shared" si="132"/>
        <v>0</v>
      </c>
      <c r="N279" s="401">
        <f t="shared" si="133"/>
        <v>0</v>
      </c>
      <c r="O279" s="401">
        <f t="shared" si="134"/>
        <v>180</v>
      </c>
      <c r="P279" s="401">
        <f t="shared" si="135"/>
        <v>720</v>
      </c>
      <c r="Q279" s="491">
        <f t="shared" si="136"/>
        <v>8640</v>
      </c>
      <c r="R279" s="491">
        <f t="shared" si="137"/>
        <v>2081.3760000000002</v>
      </c>
      <c r="S279" s="492">
        <f t="shared" si="138"/>
        <v>10721.376</v>
      </c>
    </row>
    <row r="280" spans="2:19" ht="15" x14ac:dyDescent="0.25">
      <c r="B280" s="477" t="s">
        <v>462</v>
      </c>
      <c r="C280" s="478" t="s">
        <v>458</v>
      </c>
      <c r="D280" s="478" t="s">
        <v>164</v>
      </c>
      <c r="E280" s="478">
        <v>10</v>
      </c>
      <c r="F280" s="478">
        <v>3</v>
      </c>
      <c r="G280" s="487">
        <v>1287</v>
      </c>
      <c r="H280" s="584">
        <v>751</v>
      </c>
      <c r="I280" s="479">
        <v>0</v>
      </c>
      <c r="J280" s="480">
        <v>1</v>
      </c>
      <c r="K280" s="488">
        <f t="shared" si="130"/>
        <v>901</v>
      </c>
      <c r="L280" s="489">
        <f t="shared" si="131"/>
        <v>901</v>
      </c>
      <c r="M280" s="490">
        <f t="shared" si="132"/>
        <v>0</v>
      </c>
      <c r="N280" s="401">
        <f t="shared" si="133"/>
        <v>0</v>
      </c>
      <c r="O280" s="401">
        <f t="shared" si="134"/>
        <v>150</v>
      </c>
      <c r="P280" s="401">
        <f t="shared" si="135"/>
        <v>150</v>
      </c>
      <c r="Q280" s="491">
        <f t="shared" si="136"/>
        <v>1800</v>
      </c>
      <c r="R280" s="491">
        <f t="shared" si="137"/>
        <v>433.62</v>
      </c>
      <c r="S280" s="492">
        <f t="shared" si="138"/>
        <v>2233.62</v>
      </c>
    </row>
    <row r="281" spans="2:19" ht="15" x14ac:dyDescent="0.25">
      <c r="B281" s="477" t="s">
        <v>462</v>
      </c>
      <c r="C281" s="478" t="s">
        <v>458</v>
      </c>
      <c r="D281" s="478" t="s">
        <v>164</v>
      </c>
      <c r="E281" s="478">
        <v>10</v>
      </c>
      <c r="F281" s="478">
        <v>3</v>
      </c>
      <c r="G281" s="487">
        <v>1287</v>
      </c>
      <c r="H281" s="584">
        <v>900</v>
      </c>
      <c r="I281" s="479">
        <v>0</v>
      </c>
      <c r="J281" s="480">
        <v>1</v>
      </c>
      <c r="K281" s="488">
        <f t="shared" si="130"/>
        <v>1080</v>
      </c>
      <c r="L281" s="489">
        <f t="shared" si="131"/>
        <v>1080</v>
      </c>
      <c r="M281" s="490">
        <f t="shared" si="132"/>
        <v>0</v>
      </c>
      <c r="N281" s="401">
        <f t="shared" si="133"/>
        <v>0</v>
      </c>
      <c r="O281" s="401">
        <f t="shared" si="134"/>
        <v>180</v>
      </c>
      <c r="P281" s="401">
        <f t="shared" si="135"/>
        <v>180</v>
      </c>
      <c r="Q281" s="491">
        <f t="shared" si="136"/>
        <v>2160</v>
      </c>
      <c r="R281" s="491">
        <f t="shared" si="137"/>
        <v>520.34400000000005</v>
      </c>
      <c r="S281" s="492">
        <f t="shared" si="138"/>
        <v>2680.3440000000001</v>
      </c>
    </row>
    <row r="282" spans="2:19" ht="15" x14ac:dyDescent="0.25">
      <c r="B282" s="477" t="s">
        <v>462</v>
      </c>
      <c r="C282" s="478" t="s">
        <v>458</v>
      </c>
      <c r="D282" s="478" t="s">
        <v>164</v>
      </c>
      <c r="E282" s="478">
        <v>10</v>
      </c>
      <c r="F282" s="478">
        <v>3</v>
      </c>
      <c r="G282" s="487">
        <v>1287</v>
      </c>
      <c r="H282" s="584">
        <v>900</v>
      </c>
      <c r="I282" s="479">
        <v>0</v>
      </c>
      <c r="J282" s="480">
        <v>2</v>
      </c>
      <c r="K282" s="488">
        <f t="shared" si="130"/>
        <v>1080</v>
      </c>
      <c r="L282" s="489">
        <f t="shared" si="131"/>
        <v>1080</v>
      </c>
      <c r="M282" s="490">
        <f t="shared" si="132"/>
        <v>0</v>
      </c>
      <c r="N282" s="401">
        <f t="shared" si="133"/>
        <v>0</v>
      </c>
      <c r="O282" s="401">
        <f t="shared" si="134"/>
        <v>180</v>
      </c>
      <c r="P282" s="401">
        <f t="shared" si="135"/>
        <v>360</v>
      </c>
      <c r="Q282" s="491">
        <f t="shared" si="136"/>
        <v>4320</v>
      </c>
      <c r="R282" s="491">
        <f t="shared" si="137"/>
        <v>1040.6880000000001</v>
      </c>
      <c r="S282" s="492">
        <f t="shared" si="138"/>
        <v>5360.6880000000001</v>
      </c>
    </row>
    <row r="283" spans="2:19" ht="15" x14ac:dyDescent="0.25">
      <c r="B283" s="477" t="s">
        <v>462</v>
      </c>
      <c r="C283" s="478" t="s">
        <v>458</v>
      </c>
      <c r="D283" s="478" t="s">
        <v>164</v>
      </c>
      <c r="E283" s="478">
        <v>10</v>
      </c>
      <c r="F283" s="478">
        <v>3</v>
      </c>
      <c r="G283" s="487">
        <v>1287</v>
      </c>
      <c r="H283" s="584">
        <v>900</v>
      </c>
      <c r="I283" s="479">
        <v>0</v>
      </c>
      <c r="J283" s="480">
        <v>1</v>
      </c>
      <c r="K283" s="488">
        <f t="shared" si="130"/>
        <v>1080</v>
      </c>
      <c r="L283" s="489">
        <f t="shared" si="131"/>
        <v>1080</v>
      </c>
      <c r="M283" s="490">
        <f t="shared" si="132"/>
        <v>0</v>
      </c>
      <c r="N283" s="401">
        <f t="shared" si="133"/>
        <v>0</v>
      </c>
      <c r="O283" s="401">
        <f t="shared" si="134"/>
        <v>180</v>
      </c>
      <c r="P283" s="401">
        <f t="shared" si="135"/>
        <v>180</v>
      </c>
      <c r="Q283" s="491">
        <f t="shared" si="136"/>
        <v>2160</v>
      </c>
      <c r="R283" s="491">
        <f t="shared" si="137"/>
        <v>520.34400000000005</v>
      </c>
      <c r="S283" s="492">
        <f t="shared" si="138"/>
        <v>2680.3440000000001</v>
      </c>
    </row>
    <row r="284" spans="2:19" ht="15" x14ac:dyDescent="0.25">
      <c r="B284" s="477" t="s">
        <v>461</v>
      </c>
      <c r="C284" s="478" t="s">
        <v>458</v>
      </c>
      <c r="D284" s="478" t="s">
        <v>164</v>
      </c>
      <c r="E284" s="478">
        <v>10</v>
      </c>
      <c r="F284" s="478">
        <v>2</v>
      </c>
      <c r="G284" s="487">
        <v>1115</v>
      </c>
      <c r="H284" s="584">
        <v>850</v>
      </c>
      <c r="I284" s="479">
        <v>0</v>
      </c>
      <c r="J284" s="480">
        <v>1</v>
      </c>
      <c r="K284" s="488">
        <f t="shared" si="130"/>
        <v>1020</v>
      </c>
      <c r="L284" s="489">
        <f t="shared" si="131"/>
        <v>1020</v>
      </c>
      <c r="M284" s="490">
        <f t="shared" si="132"/>
        <v>0</v>
      </c>
      <c r="N284" s="401">
        <f t="shared" si="133"/>
        <v>0</v>
      </c>
      <c r="O284" s="401">
        <f t="shared" si="134"/>
        <v>170</v>
      </c>
      <c r="P284" s="401">
        <f t="shared" si="135"/>
        <v>170</v>
      </c>
      <c r="Q284" s="491">
        <f t="shared" si="136"/>
        <v>2040</v>
      </c>
      <c r="R284" s="491">
        <f t="shared" si="137"/>
        <v>491.43599999999998</v>
      </c>
      <c r="S284" s="492">
        <f t="shared" si="138"/>
        <v>2531.4360000000001</v>
      </c>
    </row>
    <row r="285" spans="2:19" ht="15" x14ac:dyDescent="0.25">
      <c r="B285" s="477" t="s">
        <v>462</v>
      </c>
      <c r="C285" s="478" t="s">
        <v>458</v>
      </c>
      <c r="D285" s="478" t="s">
        <v>164</v>
      </c>
      <c r="E285" s="478">
        <v>10</v>
      </c>
      <c r="F285" s="478">
        <v>1</v>
      </c>
      <c r="G285" s="400">
        <v>940</v>
      </c>
      <c r="H285" s="500">
        <v>750</v>
      </c>
      <c r="I285" s="479">
        <v>0</v>
      </c>
      <c r="J285" s="480">
        <v>1</v>
      </c>
      <c r="K285" s="488">
        <f t="shared" si="130"/>
        <v>900</v>
      </c>
      <c r="L285" s="489">
        <f t="shared" si="131"/>
        <v>900</v>
      </c>
      <c r="M285" s="490">
        <f t="shared" si="132"/>
        <v>0</v>
      </c>
      <c r="N285" s="401">
        <f t="shared" si="133"/>
        <v>0</v>
      </c>
      <c r="O285" s="401">
        <f t="shared" si="134"/>
        <v>150</v>
      </c>
      <c r="P285" s="401">
        <f t="shared" si="135"/>
        <v>150</v>
      </c>
      <c r="Q285" s="491">
        <f t="shared" si="136"/>
        <v>1800</v>
      </c>
      <c r="R285" s="491">
        <f t="shared" si="137"/>
        <v>433.62</v>
      </c>
      <c r="S285" s="492">
        <f t="shared" si="138"/>
        <v>2233.62</v>
      </c>
    </row>
    <row r="286" spans="2:19" ht="15" x14ac:dyDescent="0.25">
      <c r="B286" s="477" t="s">
        <v>36</v>
      </c>
      <c r="C286" s="478" t="s">
        <v>458</v>
      </c>
      <c r="D286" s="478" t="s">
        <v>67</v>
      </c>
      <c r="E286" s="478">
        <v>12</v>
      </c>
      <c r="F286" s="478">
        <v>3</v>
      </c>
      <c r="G286" s="487">
        <v>1647</v>
      </c>
      <c r="H286" s="500">
        <v>1371</v>
      </c>
      <c r="I286" s="479">
        <v>0</v>
      </c>
      <c r="J286" s="480">
        <v>1</v>
      </c>
      <c r="K286" s="488">
        <f t="shared" si="130"/>
        <v>1645</v>
      </c>
      <c r="L286" s="489">
        <f t="shared" si="131"/>
        <v>1645</v>
      </c>
      <c r="M286" s="490">
        <f t="shared" si="132"/>
        <v>0</v>
      </c>
      <c r="N286" s="401">
        <f t="shared" si="133"/>
        <v>0</v>
      </c>
      <c r="O286" s="401">
        <f t="shared" si="134"/>
        <v>274</v>
      </c>
      <c r="P286" s="401">
        <f t="shared" si="135"/>
        <v>274</v>
      </c>
      <c r="Q286" s="491">
        <f t="shared" si="136"/>
        <v>3288</v>
      </c>
      <c r="R286" s="491">
        <f t="shared" si="137"/>
        <v>792.07920000000001</v>
      </c>
      <c r="S286" s="492">
        <f t="shared" si="138"/>
        <v>4080.0792000000001</v>
      </c>
    </row>
    <row r="287" spans="2:19" ht="15" x14ac:dyDescent="0.25">
      <c r="B287" s="477" t="s">
        <v>459</v>
      </c>
      <c r="C287" s="478" t="s">
        <v>458</v>
      </c>
      <c r="D287" s="478" t="s">
        <v>49</v>
      </c>
      <c r="E287" s="478">
        <v>11</v>
      </c>
      <c r="F287" s="478">
        <v>3</v>
      </c>
      <c r="G287" s="487">
        <v>1382</v>
      </c>
      <c r="H287" s="500">
        <v>1078</v>
      </c>
      <c r="I287" s="479">
        <v>0</v>
      </c>
      <c r="J287" s="480">
        <v>1</v>
      </c>
      <c r="K287" s="488">
        <f t="shared" si="130"/>
        <v>1294</v>
      </c>
      <c r="L287" s="489">
        <f t="shared" si="131"/>
        <v>1294</v>
      </c>
      <c r="M287" s="490">
        <f t="shared" si="132"/>
        <v>0</v>
      </c>
      <c r="N287" s="401">
        <f t="shared" si="133"/>
        <v>0</v>
      </c>
      <c r="O287" s="401">
        <f t="shared" si="134"/>
        <v>216</v>
      </c>
      <c r="P287" s="401">
        <f t="shared" si="135"/>
        <v>216</v>
      </c>
      <c r="Q287" s="491">
        <f t="shared" si="136"/>
        <v>2592</v>
      </c>
      <c r="R287" s="491">
        <f t="shared" si="137"/>
        <v>624.41280000000006</v>
      </c>
      <c r="S287" s="492">
        <f t="shared" si="138"/>
        <v>3216.4128000000001</v>
      </c>
    </row>
    <row r="288" spans="2:19" ht="15" x14ac:dyDescent="0.25">
      <c r="B288" s="477" t="s">
        <v>459</v>
      </c>
      <c r="C288" s="478" t="s">
        <v>458</v>
      </c>
      <c r="D288" s="478" t="s">
        <v>49</v>
      </c>
      <c r="E288" s="478">
        <v>11</v>
      </c>
      <c r="F288" s="478">
        <v>3</v>
      </c>
      <c r="G288" s="487">
        <v>1382</v>
      </c>
      <c r="H288" s="500">
        <v>1010</v>
      </c>
      <c r="I288" s="479">
        <v>0</v>
      </c>
      <c r="J288" s="480">
        <v>1</v>
      </c>
      <c r="K288" s="488">
        <f t="shared" si="130"/>
        <v>1212</v>
      </c>
      <c r="L288" s="489">
        <f t="shared" si="131"/>
        <v>1212</v>
      </c>
      <c r="M288" s="490">
        <f t="shared" si="132"/>
        <v>0</v>
      </c>
      <c r="N288" s="401">
        <f t="shared" si="133"/>
        <v>0</v>
      </c>
      <c r="O288" s="401">
        <f t="shared" si="134"/>
        <v>202</v>
      </c>
      <c r="P288" s="401">
        <f t="shared" si="135"/>
        <v>202</v>
      </c>
      <c r="Q288" s="491">
        <f t="shared" si="136"/>
        <v>2424</v>
      </c>
      <c r="R288" s="491">
        <f t="shared" si="137"/>
        <v>583.94159999999999</v>
      </c>
      <c r="S288" s="492">
        <f t="shared" si="138"/>
        <v>3007.9416000000001</v>
      </c>
    </row>
    <row r="289" spans="2:19" ht="15" x14ac:dyDescent="0.25">
      <c r="B289" s="477" t="s">
        <v>459</v>
      </c>
      <c r="C289" s="478" t="s">
        <v>458</v>
      </c>
      <c r="D289" s="478" t="s">
        <v>49</v>
      </c>
      <c r="E289" s="478">
        <v>11</v>
      </c>
      <c r="F289" s="478">
        <v>3</v>
      </c>
      <c r="G289" s="487">
        <v>1382</v>
      </c>
      <c r="H289" s="500">
        <v>1010</v>
      </c>
      <c r="I289" s="479">
        <v>0</v>
      </c>
      <c r="J289" s="480">
        <v>1</v>
      </c>
      <c r="K289" s="488">
        <f t="shared" si="130"/>
        <v>1212</v>
      </c>
      <c r="L289" s="489">
        <f t="shared" si="131"/>
        <v>1212</v>
      </c>
      <c r="M289" s="490">
        <f t="shared" si="132"/>
        <v>0</v>
      </c>
      <c r="N289" s="401">
        <f t="shared" si="133"/>
        <v>0</v>
      </c>
      <c r="O289" s="401">
        <f t="shared" si="134"/>
        <v>202</v>
      </c>
      <c r="P289" s="401">
        <f t="shared" si="135"/>
        <v>202</v>
      </c>
      <c r="Q289" s="491">
        <f t="shared" si="136"/>
        <v>2424</v>
      </c>
      <c r="R289" s="491">
        <f t="shared" si="137"/>
        <v>583.94159999999999</v>
      </c>
      <c r="S289" s="492">
        <f t="shared" si="138"/>
        <v>3007.9416000000001</v>
      </c>
    </row>
    <row r="290" spans="2:19" ht="15" x14ac:dyDescent="0.25">
      <c r="B290" s="477" t="s">
        <v>459</v>
      </c>
      <c r="C290" s="478" t="s">
        <v>458</v>
      </c>
      <c r="D290" s="478" t="s">
        <v>49</v>
      </c>
      <c r="E290" s="478">
        <v>11</v>
      </c>
      <c r="F290" s="478">
        <v>3</v>
      </c>
      <c r="G290" s="487">
        <v>1382</v>
      </c>
      <c r="H290" s="500">
        <v>1078</v>
      </c>
      <c r="I290" s="479">
        <v>0</v>
      </c>
      <c r="J290" s="480">
        <v>1</v>
      </c>
      <c r="K290" s="488">
        <f t="shared" si="130"/>
        <v>1294</v>
      </c>
      <c r="L290" s="489">
        <f t="shared" si="131"/>
        <v>1294</v>
      </c>
      <c r="M290" s="490">
        <f t="shared" si="132"/>
        <v>0</v>
      </c>
      <c r="N290" s="401">
        <f t="shared" si="133"/>
        <v>0</v>
      </c>
      <c r="O290" s="401">
        <f t="shared" si="134"/>
        <v>216</v>
      </c>
      <c r="P290" s="401">
        <f t="shared" si="135"/>
        <v>216</v>
      </c>
      <c r="Q290" s="491">
        <f t="shared" si="136"/>
        <v>2592</v>
      </c>
      <c r="R290" s="491">
        <f t="shared" si="137"/>
        <v>624.41280000000006</v>
      </c>
      <c r="S290" s="492">
        <f t="shared" si="138"/>
        <v>3216.4128000000001</v>
      </c>
    </row>
    <row r="291" spans="2:19" ht="15" x14ac:dyDescent="0.25">
      <c r="B291" s="477" t="s">
        <v>459</v>
      </c>
      <c r="C291" s="478" t="s">
        <v>458</v>
      </c>
      <c r="D291" s="478" t="s">
        <v>49</v>
      </c>
      <c r="E291" s="478">
        <v>11</v>
      </c>
      <c r="F291" s="478">
        <v>2</v>
      </c>
      <c r="G291" s="487">
        <v>1209</v>
      </c>
      <c r="H291" s="500">
        <v>900</v>
      </c>
      <c r="I291" s="479">
        <v>0</v>
      </c>
      <c r="J291" s="480">
        <v>1</v>
      </c>
      <c r="K291" s="488">
        <f t="shared" si="130"/>
        <v>1080</v>
      </c>
      <c r="L291" s="489">
        <f t="shared" si="131"/>
        <v>1080</v>
      </c>
      <c r="M291" s="490">
        <f t="shared" si="132"/>
        <v>0</v>
      </c>
      <c r="N291" s="401">
        <f t="shared" si="133"/>
        <v>0</v>
      </c>
      <c r="O291" s="401">
        <f t="shared" si="134"/>
        <v>180</v>
      </c>
      <c r="P291" s="401">
        <f t="shared" si="135"/>
        <v>180</v>
      </c>
      <c r="Q291" s="491">
        <f t="shared" si="136"/>
        <v>2160</v>
      </c>
      <c r="R291" s="491">
        <f t="shared" si="137"/>
        <v>520.34400000000005</v>
      </c>
      <c r="S291" s="492">
        <f t="shared" si="138"/>
        <v>2680.3440000000001</v>
      </c>
    </row>
    <row r="292" spans="2:19" ht="15" x14ac:dyDescent="0.25">
      <c r="B292" s="477" t="s">
        <v>461</v>
      </c>
      <c r="C292" s="478" t="s">
        <v>458</v>
      </c>
      <c r="D292" s="478" t="s">
        <v>164</v>
      </c>
      <c r="E292" s="478">
        <v>10</v>
      </c>
      <c r="F292" s="478">
        <v>3</v>
      </c>
      <c r="G292" s="487">
        <v>1287</v>
      </c>
      <c r="H292" s="500">
        <v>883</v>
      </c>
      <c r="I292" s="479">
        <v>0</v>
      </c>
      <c r="J292" s="480">
        <v>1</v>
      </c>
      <c r="K292" s="488">
        <f t="shared" si="130"/>
        <v>1060</v>
      </c>
      <c r="L292" s="489">
        <f t="shared" si="131"/>
        <v>1060</v>
      </c>
      <c r="M292" s="490">
        <f t="shared" si="132"/>
        <v>0</v>
      </c>
      <c r="N292" s="401">
        <f t="shared" si="133"/>
        <v>0</v>
      </c>
      <c r="O292" s="401">
        <f t="shared" si="134"/>
        <v>177</v>
      </c>
      <c r="P292" s="401">
        <f t="shared" si="135"/>
        <v>177</v>
      </c>
      <c r="Q292" s="491">
        <f t="shared" si="136"/>
        <v>2124</v>
      </c>
      <c r="R292" s="491">
        <f t="shared" si="137"/>
        <v>511.67160000000001</v>
      </c>
      <c r="S292" s="492">
        <f t="shared" si="138"/>
        <v>2635.6716000000001</v>
      </c>
    </row>
    <row r="293" spans="2:19" ht="15" x14ac:dyDescent="0.25">
      <c r="B293" s="477" t="s">
        <v>461</v>
      </c>
      <c r="C293" s="478" t="s">
        <v>458</v>
      </c>
      <c r="D293" s="478" t="s">
        <v>164</v>
      </c>
      <c r="E293" s="478">
        <v>10</v>
      </c>
      <c r="F293" s="478">
        <v>1</v>
      </c>
      <c r="G293" s="487">
        <v>940</v>
      </c>
      <c r="H293" s="500">
        <v>700</v>
      </c>
      <c r="I293" s="479">
        <v>0</v>
      </c>
      <c r="J293" s="480">
        <v>1</v>
      </c>
      <c r="K293" s="488">
        <f t="shared" si="130"/>
        <v>840</v>
      </c>
      <c r="L293" s="489">
        <f t="shared" si="131"/>
        <v>840</v>
      </c>
      <c r="M293" s="490">
        <f t="shared" si="132"/>
        <v>0</v>
      </c>
      <c r="N293" s="401">
        <f t="shared" si="133"/>
        <v>0</v>
      </c>
      <c r="O293" s="401">
        <f t="shared" si="134"/>
        <v>140</v>
      </c>
      <c r="P293" s="401">
        <f t="shared" si="135"/>
        <v>140</v>
      </c>
      <c r="Q293" s="491">
        <f t="shared" si="136"/>
        <v>1680</v>
      </c>
      <c r="R293" s="491">
        <f t="shared" si="137"/>
        <v>404.71199999999999</v>
      </c>
      <c r="S293" s="492">
        <f t="shared" si="138"/>
        <v>2084.712</v>
      </c>
    </row>
    <row r="294" spans="2:19" ht="15" x14ac:dyDescent="0.25">
      <c r="B294" s="477" t="s">
        <v>461</v>
      </c>
      <c r="C294" s="478" t="s">
        <v>458</v>
      </c>
      <c r="D294" s="478" t="s">
        <v>164</v>
      </c>
      <c r="E294" s="478">
        <v>10</v>
      </c>
      <c r="F294" s="478">
        <v>3</v>
      </c>
      <c r="G294" s="487">
        <v>1287</v>
      </c>
      <c r="H294" s="500">
        <v>883</v>
      </c>
      <c r="I294" s="479">
        <v>0</v>
      </c>
      <c r="J294" s="480">
        <v>1</v>
      </c>
      <c r="K294" s="488">
        <f t="shared" si="130"/>
        <v>1060</v>
      </c>
      <c r="L294" s="489">
        <f t="shared" si="131"/>
        <v>1060</v>
      </c>
      <c r="M294" s="490">
        <f t="shared" si="132"/>
        <v>0</v>
      </c>
      <c r="N294" s="401">
        <f t="shared" si="133"/>
        <v>0</v>
      </c>
      <c r="O294" s="401">
        <f t="shared" si="134"/>
        <v>177</v>
      </c>
      <c r="P294" s="401">
        <f t="shared" si="135"/>
        <v>177</v>
      </c>
      <c r="Q294" s="491">
        <f t="shared" si="136"/>
        <v>2124</v>
      </c>
      <c r="R294" s="491">
        <f t="shared" si="137"/>
        <v>511.67160000000001</v>
      </c>
      <c r="S294" s="492">
        <f t="shared" si="138"/>
        <v>2635.6716000000001</v>
      </c>
    </row>
    <row r="295" spans="2:19" ht="15" x14ac:dyDescent="0.25">
      <c r="B295" s="477" t="s">
        <v>461</v>
      </c>
      <c r="C295" s="478" t="s">
        <v>458</v>
      </c>
      <c r="D295" s="478" t="s">
        <v>164</v>
      </c>
      <c r="E295" s="478">
        <v>10</v>
      </c>
      <c r="F295" s="478">
        <v>3</v>
      </c>
      <c r="G295" s="487">
        <v>1287</v>
      </c>
      <c r="H295" s="500">
        <v>883</v>
      </c>
      <c r="I295" s="479">
        <v>0</v>
      </c>
      <c r="J295" s="480">
        <v>1</v>
      </c>
      <c r="K295" s="488">
        <f t="shared" si="130"/>
        <v>1060</v>
      </c>
      <c r="L295" s="489">
        <f t="shared" si="131"/>
        <v>1060</v>
      </c>
      <c r="M295" s="490">
        <f t="shared" si="132"/>
        <v>0</v>
      </c>
      <c r="N295" s="401">
        <f t="shared" si="133"/>
        <v>0</v>
      </c>
      <c r="O295" s="401">
        <f t="shared" si="134"/>
        <v>177</v>
      </c>
      <c r="P295" s="401">
        <f t="shared" si="135"/>
        <v>177</v>
      </c>
      <c r="Q295" s="491">
        <f t="shared" si="136"/>
        <v>2124</v>
      </c>
      <c r="R295" s="491">
        <f t="shared" si="137"/>
        <v>511.67160000000001</v>
      </c>
      <c r="S295" s="492">
        <f t="shared" si="138"/>
        <v>2635.6716000000001</v>
      </c>
    </row>
    <row r="296" spans="2:19" ht="15" x14ac:dyDescent="0.25">
      <c r="B296" s="477" t="s">
        <v>461</v>
      </c>
      <c r="C296" s="478" t="s">
        <v>458</v>
      </c>
      <c r="D296" s="478" t="s">
        <v>164</v>
      </c>
      <c r="E296" s="478">
        <v>10</v>
      </c>
      <c r="F296" s="478">
        <v>3</v>
      </c>
      <c r="G296" s="487">
        <v>1287</v>
      </c>
      <c r="H296" s="500">
        <v>883</v>
      </c>
      <c r="I296" s="479">
        <v>0</v>
      </c>
      <c r="J296" s="480">
        <v>1</v>
      </c>
      <c r="K296" s="488">
        <f t="shared" si="130"/>
        <v>1060</v>
      </c>
      <c r="L296" s="489">
        <f t="shared" si="131"/>
        <v>1060</v>
      </c>
      <c r="M296" s="490">
        <f t="shared" si="132"/>
        <v>0</v>
      </c>
      <c r="N296" s="401">
        <f t="shared" si="133"/>
        <v>0</v>
      </c>
      <c r="O296" s="401">
        <f t="shared" si="134"/>
        <v>177</v>
      </c>
      <c r="P296" s="401">
        <f t="shared" si="135"/>
        <v>177</v>
      </c>
      <c r="Q296" s="491">
        <f t="shared" si="136"/>
        <v>2124</v>
      </c>
      <c r="R296" s="491">
        <f t="shared" si="137"/>
        <v>511.67160000000001</v>
      </c>
      <c r="S296" s="492">
        <f t="shared" si="138"/>
        <v>2635.6716000000001</v>
      </c>
    </row>
    <row r="297" spans="2:19" ht="15" x14ac:dyDescent="0.25">
      <c r="B297" s="477" t="s">
        <v>461</v>
      </c>
      <c r="C297" s="478" t="s">
        <v>458</v>
      </c>
      <c r="D297" s="478" t="s">
        <v>164</v>
      </c>
      <c r="E297" s="478">
        <v>10</v>
      </c>
      <c r="F297" s="478">
        <v>3</v>
      </c>
      <c r="G297" s="487">
        <v>1287</v>
      </c>
      <c r="H297" s="500">
        <v>878</v>
      </c>
      <c r="I297" s="479">
        <v>0</v>
      </c>
      <c r="J297" s="480">
        <v>1</v>
      </c>
      <c r="K297" s="488">
        <f t="shared" si="130"/>
        <v>1054</v>
      </c>
      <c r="L297" s="489">
        <f t="shared" si="131"/>
        <v>1054</v>
      </c>
      <c r="M297" s="490">
        <f t="shared" si="132"/>
        <v>0</v>
      </c>
      <c r="N297" s="401">
        <f t="shared" si="133"/>
        <v>0</v>
      </c>
      <c r="O297" s="401">
        <f t="shared" si="134"/>
        <v>176</v>
      </c>
      <c r="P297" s="401">
        <f t="shared" si="135"/>
        <v>176</v>
      </c>
      <c r="Q297" s="491">
        <f t="shared" si="136"/>
        <v>2112</v>
      </c>
      <c r="R297" s="491">
        <f t="shared" si="137"/>
        <v>508.7808</v>
      </c>
      <c r="S297" s="492">
        <f t="shared" si="138"/>
        <v>2620.7808</v>
      </c>
    </row>
    <row r="298" spans="2:19" ht="15" x14ac:dyDescent="0.25">
      <c r="B298" s="477" t="s">
        <v>36</v>
      </c>
      <c r="C298" s="478" t="s">
        <v>458</v>
      </c>
      <c r="D298" s="478" t="s">
        <v>67</v>
      </c>
      <c r="E298" s="478">
        <v>12</v>
      </c>
      <c r="F298" s="478">
        <v>3</v>
      </c>
      <c r="G298" s="487">
        <v>1647</v>
      </c>
      <c r="H298" s="500">
        <v>1273</v>
      </c>
      <c r="I298" s="479">
        <v>0</v>
      </c>
      <c r="J298" s="480">
        <v>1</v>
      </c>
      <c r="K298" s="488">
        <f t="shared" si="130"/>
        <v>1528</v>
      </c>
      <c r="L298" s="489">
        <f t="shared" si="131"/>
        <v>1528</v>
      </c>
      <c r="M298" s="490">
        <f t="shared" si="132"/>
        <v>0</v>
      </c>
      <c r="N298" s="401">
        <f t="shared" si="133"/>
        <v>0</v>
      </c>
      <c r="O298" s="401">
        <f t="shared" si="134"/>
        <v>255</v>
      </c>
      <c r="P298" s="401">
        <f t="shared" si="135"/>
        <v>255</v>
      </c>
      <c r="Q298" s="491">
        <f t="shared" si="136"/>
        <v>3060</v>
      </c>
      <c r="R298" s="491">
        <f t="shared" si="137"/>
        <v>737.154</v>
      </c>
      <c r="S298" s="492">
        <f t="shared" si="138"/>
        <v>3797.154</v>
      </c>
    </row>
    <row r="299" spans="2:19" ht="15" x14ac:dyDescent="0.25">
      <c r="B299" s="477" t="s">
        <v>459</v>
      </c>
      <c r="C299" s="478" t="s">
        <v>458</v>
      </c>
      <c r="D299" s="478" t="s">
        <v>49</v>
      </c>
      <c r="E299" s="478">
        <v>11</v>
      </c>
      <c r="F299" s="478">
        <v>3</v>
      </c>
      <c r="G299" s="487">
        <v>1382</v>
      </c>
      <c r="H299" s="500">
        <v>1010</v>
      </c>
      <c r="I299" s="479">
        <v>0</v>
      </c>
      <c r="J299" s="480">
        <v>1</v>
      </c>
      <c r="K299" s="488">
        <f t="shared" si="130"/>
        <v>1212</v>
      </c>
      <c r="L299" s="489">
        <f t="shared" si="131"/>
        <v>1212</v>
      </c>
      <c r="M299" s="490">
        <f t="shared" si="132"/>
        <v>0</v>
      </c>
      <c r="N299" s="401">
        <f t="shared" si="133"/>
        <v>0</v>
      </c>
      <c r="O299" s="401">
        <f t="shared" si="134"/>
        <v>202</v>
      </c>
      <c r="P299" s="401">
        <f t="shared" si="135"/>
        <v>202</v>
      </c>
      <c r="Q299" s="491">
        <f t="shared" si="136"/>
        <v>2424</v>
      </c>
      <c r="R299" s="491">
        <f t="shared" si="137"/>
        <v>583.94159999999999</v>
      </c>
      <c r="S299" s="492">
        <f t="shared" si="138"/>
        <v>3007.9416000000001</v>
      </c>
    </row>
    <row r="300" spans="2:19" ht="15" x14ac:dyDescent="0.25">
      <c r="B300" s="477" t="s">
        <v>459</v>
      </c>
      <c r="C300" s="478" t="s">
        <v>458</v>
      </c>
      <c r="D300" s="478" t="s">
        <v>49</v>
      </c>
      <c r="E300" s="478">
        <v>11</v>
      </c>
      <c r="F300" s="478">
        <v>3</v>
      </c>
      <c r="G300" s="487">
        <v>1382</v>
      </c>
      <c r="H300" s="500">
        <v>1010</v>
      </c>
      <c r="I300" s="479">
        <v>0</v>
      </c>
      <c r="J300" s="480">
        <v>1</v>
      </c>
      <c r="K300" s="488">
        <f t="shared" si="130"/>
        <v>1212</v>
      </c>
      <c r="L300" s="489">
        <f t="shared" si="131"/>
        <v>1212</v>
      </c>
      <c r="M300" s="490">
        <f t="shared" si="132"/>
        <v>0</v>
      </c>
      <c r="N300" s="401">
        <f t="shared" si="133"/>
        <v>0</v>
      </c>
      <c r="O300" s="401">
        <f t="shared" si="134"/>
        <v>202</v>
      </c>
      <c r="P300" s="401">
        <f t="shared" si="135"/>
        <v>202</v>
      </c>
      <c r="Q300" s="491">
        <f t="shared" si="136"/>
        <v>2424</v>
      </c>
      <c r="R300" s="491">
        <f t="shared" si="137"/>
        <v>583.94159999999999</v>
      </c>
      <c r="S300" s="492">
        <f t="shared" si="138"/>
        <v>3007.9416000000001</v>
      </c>
    </row>
    <row r="301" spans="2:19" ht="15" x14ac:dyDescent="0.25">
      <c r="B301" s="477" t="s">
        <v>461</v>
      </c>
      <c r="C301" s="478" t="s">
        <v>458</v>
      </c>
      <c r="D301" s="478" t="s">
        <v>164</v>
      </c>
      <c r="E301" s="478">
        <v>10</v>
      </c>
      <c r="F301" s="478">
        <v>3</v>
      </c>
      <c r="G301" s="487">
        <v>1287</v>
      </c>
      <c r="H301" s="500">
        <v>830</v>
      </c>
      <c r="I301" s="479">
        <v>0</v>
      </c>
      <c r="J301" s="480">
        <v>1</v>
      </c>
      <c r="K301" s="488">
        <f t="shared" si="130"/>
        <v>996</v>
      </c>
      <c r="L301" s="489">
        <f t="shared" si="131"/>
        <v>996</v>
      </c>
      <c r="M301" s="490">
        <f t="shared" si="132"/>
        <v>0</v>
      </c>
      <c r="N301" s="401">
        <f t="shared" si="133"/>
        <v>0</v>
      </c>
      <c r="O301" s="401">
        <f t="shared" si="134"/>
        <v>166</v>
      </c>
      <c r="P301" s="401">
        <f t="shared" si="135"/>
        <v>166</v>
      </c>
      <c r="Q301" s="491">
        <f t="shared" si="136"/>
        <v>1992</v>
      </c>
      <c r="R301" s="491">
        <f t="shared" si="137"/>
        <v>479.87279999999998</v>
      </c>
      <c r="S301" s="492">
        <f t="shared" si="138"/>
        <v>2471.8728000000001</v>
      </c>
    </row>
    <row r="302" spans="2:19" ht="15" x14ac:dyDescent="0.25">
      <c r="B302" s="477" t="s">
        <v>461</v>
      </c>
      <c r="C302" s="478" t="s">
        <v>458</v>
      </c>
      <c r="D302" s="478" t="s">
        <v>164</v>
      </c>
      <c r="E302" s="478">
        <v>10</v>
      </c>
      <c r="F302" s="478">
        <v>2</v>
      </c>
      <c r="G302" s="487">
        <v>1115</v>
      </c>
      <c r="H302" s="500">
        <v>709</v>
      </c>
      <c r="I302" s="479">
        <v>0</v>
      </c>
      <c r="J302" s="480">
        <v>1</v>
      </c>
      <c r="K302" s="488">
        <f t="shared" si="130"/>
        <v>851</v>
      </c>
      <c r="L302" s="489">
        <f t="shared" si="131"/>
        <v>851</v>
      </c>
      <c r="M302" s="490">
        <f t="shared" si="132"/>
        <v>0</v>
      </c>
      <c r="N302" s="401">
        <f t="shared" si="133"/>
        <v>0</v>
      </c>
      <c r="O302" s="401">
        <f t="shared" si="134"/>
        <v>142</v>
      </c>
      <c r="P302" s="401">
        <f t="shared" si="135"/>
        <v>142</v>
      </c>
      <c r="Q302" s="491">
        <f t="shared" si="136"/>
        <v>1704</v>
      </c>
      <c r="R302" s="491">
        <f t="shared" si="137"/>
        <v>410.49360000000001</v>
      </c>
      <c r="S302" s="492">
        <f t="shared" si="138"/>
        <v>2114.4935999999998</v>
      </c>
    </row>
    <row r="303" spans="2:19" ht="15" x14ac:dyDescent="0.25">
      <c r="B303" s="477" t="s">
        <v>461</v>
      </c>
      <c r="C303" s="478" t="s">
        <v>458</v>
      </c>
      <c r="D303" s="478" t="s">
        <v>164</v>
      </c>
      <c r="E303" s="478">
        <v>10</v>
      </c>
      <c r="F303" s="478">
        <v>1</v>
      </c>
      <c r="G303" s="487">
        <v>940</v>
      </c>
      <c r="H303" s="500">
        <v>680</v>
      </c>
      <c r="I303" s="479">
        <v>0</v>
      </c>
      <c r="J303" s="480">
        <v>1</v>
      </c>
      <c r="K303" s="488">
        <f t="shared" si="130"/>
        <v>816</v>
      </c>
      <c r="L303" s="489">
        <f t="shared" si="131"/>
        <v>816</v>
      </c>
      <c r="M303" s="490">
        <f t="shared" si="132"/>
        <v>0</v>
      </c>
      <c r="N303" s="401">
        <f t="shared" si="133"/>
        <v>0</v>
      </c>
      <c r="O303" s="401">
        <f t="shared" si="134"/>
        <v>136</v>
      </c>
      <c r="P303" s="401">
        <f t="shared" si="135"/>
        <v>136</v>
      </c>
      <c r="Q303" s="491">
        <f t="shared" si="136"/>
        <v>1632</v>
      </c>
      <c r="R303" s="491">
        <f t="shared" si="137"/>
        <v>393.14879999999999</v>
      </c>
      <c r="S303" s="492">
        <f t="shared" si="138"/>
        <v>2025.1487999999999</v>
      </c>
    </row>
    <row r="304" spans="2:19" ht="15" x14ac:dyDescent="0.25">
      <c r="B304" s="477" t="s">
        <v>36</v>
      </c>
      <c r="C304" s="478" t="s">
        <v>458</v>
      </c>
      <c r="D304" s="478" t="s">
        <v>67</v>
      </c>
      <c r="E304" s="478">
        <v>12</v>
      </c>
      <c r="F304" s="478">
        <v>3</v>
      </c>
      <c r="G304" s="487">
        <v>1647</v>
      </c>
      <c r="H304" s="500">
        <v>1600</v>
      </c>
      <c r="I304" s="479">
        <v>0</v>
      </c>
      <c r="J304" s="480">
        <v>1</v>
      </c>
      <c r="K304" s="488">
        <f t="shared" si="130"/>
        <v>1920</v>
      </c>
      <c r="L304" s="489">
        <f t="shared" si="131"/>
        <v>1647</v>
      </c>
      <c r="M304" s="490">
        <f t="shared" si="132"/>
        <v>0</v>
      </c>
      <c r="N304" s="401">
        <f t="shared" si="133"/>
        <v>0</v>
      </c>
      <c r="O304" s="401">
        <f t="shared" si="134"/>
        <v>47</v>
      </c>
      <c r="P304" s="401">
        <f t="shared" si="135"/>
        <v>47</v>
      </c>
      <c r="Q304" s="491">
        <f t="shared" si="136"/>
        <v>564</v>
      </c>
      <c r="R304" s="491">
        <f t="shared" si="137"/>
        <v>135.86760000000001</v>
      </c>
      <c r="S304" s="492">
        <f t="shared" si="138"/>
        <v>699.86760000000004</v>
      </c>
    </row>
    <row r="305" spans="2:19" ht="15" x14ac:dyDescent="0.25">
      <c r="B305" s="477" t="s">
        <v>463</v>
      </c>
      <c r="C305" s="478" t="s">
        <v>454</v>
      </c>
      <c r="D305" s="478" t="s">
        <v>14</v>
      </c>
      <c r="E305" s="478">
        <v>10</v>
      </c>
      <c r="F305" s="478">
        <v>3</v>
      </c>
      <c r="G305" s="487">
        <v>1287</v>
      </c>
      <c r="H305" s="500">
        <v>932</v>
      </c>
      <c r="I305" s="479">
        <v>0</v>
      </c>
      <c r="J305" s="480">
        <v>1</v>
      </c>
      <c r="K305" s="488">
        <f t="shared" si="130"/>
        <v>1118</v>
      </c>
      <c r="L305" s="489">
        <f t="shared" si="131"/>
        <v>1118</v>
      </c>
      <c r="M305" s="490">
        <f t="shared" si="132"/>
        <v>0</v>
      </c>
      <c r="N305" s="401">
        <f t="shared" si="133"/>
        <v>0</v>
      </c>
      <c r="O305" s="401">
        <f t="shared" si="134"/>
        <v>186</v>
      </c>
      <c r="P305" s="401">
        <f t="shared" si="135"/>
        <v>186</v>
      </c>
      <c r="Q305" s="491">
        <f t="shared" si="136"/>
        <v>2232</v>
      </c>
      <c r="R305" s="491">
        <f t="shared" si="137"/>
        <v>537.68880000000001</v>
      </c>
      <c r="S305" s="492">
        <f t="shared" si="138"/>
        <v>2769.6887999999999</v>
      </c>
    </row>
    <row r="306" spans="2:19" ht="15" x14ac:dyDescent="0.25">
      <c r="B306" s="477" t="s">
        <v>36</v>
      </c>
      <c r="C306" s="478" t="s">
        <v>454</v>
      </c>
      <c r="D306" s="478" t="s">
        <v>35</v>
      </c>
      <c r="E306" s="478">
        <v>11</v>
      </c>
      <c r="F306" s="478">
        <v>3</v>
      </c>
      <c r="G306" s="487">
        <v>1382</v>
      </c>
      <c r="H306" s="500">
        <v>1300</v>
      </c>
      <c r="I306" s="479">
        <v>0</v>
      </c>
      <c r="J306" s="480">
        <v>1</v>
      </c>
      <c r="K306" s="488">
        <f t="shared" si="130"/>
        <v>1560</v>
      </c>
      <c r="L306" s="489">
        <f t="shared" si="131"/>
        <v>1382</v>
      </c>
      <c r="M306" s="490">
        <f t="shared" si="132"/>
        <v>0</v>
      </c>
      <c r="N306" s="401">
        <f t="shared" si="133"/>
        <v>0</v>
      </c>
      <c r="O306" s="401">
        <f t="shared" si="134"/>
        <v>82</v>
      </c>
      <c r="P306" s="401">
        <f t="shared" si="135"/>
        <v>82</v>
      </c>
      <c r="Q306" s="491">
        <f t="shared" si="136"/>
        <v>984</v>
      </c>
      <c r="R306" s="491">
        <f t="shared" si="137"/>
        <v>237.04560000000001</v>
      </c>
      <c r="S306" s="492">
        <f t="shared" si="138"/>
        <v>1221.0455999999999</v>
      </c>
    </row>
    <row r="307" spans="2:19" ht="15" x14ac:dyDescent="0.25">
      <c r="B307" s="477" t="s">
        <v>463</v>
      </c>
      <c r="C307" s="478" t="s">
        <v>454</v>
      </c>
      <c r="D307" s="478" t="s">
        <v>45</v>
      </c>
      <c r="E307" s="478">
        <v>9</v>
      </c>
      <c r="F307" s="478">
        <v>3</v>
      </c>
      <c r="G307" s="487">
        <v>1190</v>
      </c>
      <c r="H307" s="500">
        <v>932</v>
      </c>
      <c r="I307" s="479">
        <v>0</v>
      </c>
      <c r="J307" s="480">
        <v>1</v>
      </c>
      <c r="K307" s="488">
        <f t="shared" si="130"/>
        <v>1118</v>
      </c>
      <c r="L307" s="489">
        <f t="shared" si="131"/>
        <v>1118</v>
      </c>
      <c r="M307" s="490">
        <f t="shared" si="132"/>
        <v>0</v>
      </c>
      <c r="N307" s="401">
        <f t="shared" si="133"/>
        <v>0</v>
      </c>
      <c r="O307" s="401">
        <f t="shared" si="134"/>
        <v>186</v>
      </c>
      <c r="P307" s="401">
        <f t="shared" si="135"/>
        <v>186</v>
      </c>
      <c r="Q307" s="491">
        <f t="shared" si="136"/>
        <v>2232</v>
      </c>
      <c r="R307" s="491">
        <f t="shared" si="137"/>
        <v>537.68880000000001</v>
      </c>
      <c r="S307" s="492">
        <f t="shared" si="138"/>
        <v>2769.6887999999999</v>
      </c>
    </row>
    <row r="308" spans="2:19" ht="15" x14ac:dyDescent="0.25">
      <c r="B308" s="477" t="s">
        <v>463</v>
      </c>
      <c r="C308" s="478" t="s">
        <v>454</v>
      </c>
      <c r="D308" s="478" t="s">
        <v>45</v>
      </c>
      <c r="E308" s="478">
        <v>9</v>
      </c>
      <c r="F308" s="478">
        <v>3</v>
      </c>
      <c r="G308" s="487">
        <v>1190</v>
      </c>
      <c r="H308" s="500">
        <v>932</v>
      </c>
      <c r="I308" s="479">
        <v>0</v>
      </c>
      <c r="J308" s="480">
        <v>1</v>
      </c>
      <c r="K308" s="488">
        <f t="shared" si="130"/>
        <v>1118</v>
      </c>
      <c r="L308" s="489">
        <f t="shared" si="131"/>
        <v>1118</v>
      </c>
      <c r="M308" s="490">
        <f t="shared" si="132"/>
        <v>0</v>
      </c>
      <c r="N308" s="401">
        <f t="shared" si="133"/>
        <v>0</v>
      </c>
      <c r="O308" s="401">
        <f t="shared" si="134"/>
        <v>186</v>
      </c>
      <c r="P308" s="401">
        <f t="shared" si="135"/>
        <v>186</v>
      </c>
      <c r="Q308" s="491">
        <f t="shared" si="136"/>
        <v>2232</v>
      </c>
      <c r="R308" s="491">
        <f t="shared" si="137"/>
        <v>537.68880000000001</v>
      </c>
      <c r="S308" s="492">
        <f t="shared" si="138"/>
        <v>2769.6887999999999</v>
      </c>
    </row>
    <row r="309" spans="2:19" ht="15" x14ac:dyDescent="0.25">
      <c r="B309" s="477" t="s">
        <v>464</v>
      </c>
      <c r="C309" s="478" t="s">
        <v>454</v>
      </c>
      <c r="D309" s="478" t="s">
        <v>313</v>
      </c>
      <c r="E309" s="478">
        <v>7</v>
      </c>
      <c r="F309" s="478">
        <v>3</v>
      </c>
      <c r="G309" s="487">
        <v>996</v>
      </c>
      <c r="H309" s="500">
        <v>793</v>
      </c>
      <c r="I309" s="479">
        <v>0</v>
      </c>
      <c r="J309" s="480">
        <v>1</v>
      </c>
      <c r="K309" s="488">
        <f t="shared" si="130"/>
        <v>952</v>
      </c>
      <c r="L309" s="489">
        <f t="shared" si="131"/>
        <v>952</v>
      </c>
      <c r="M309" s="490">
        <f t="shared" si="132"/>
        <v>0</v>
      </c>
      <c r="N309" s="401">
        <f t="shared" si="133"/>
        <v>0</v>
      </c>
      <c r="O309" s="401">
        <f t="shared" si="134"/>
        <v>159</v>
      </c>
      <c r="P309" s="401">
        <f t="shared" si="135"/>
        <v>159</v>
      </c>
      <c r="Q309" s="491">
        <f t="shared" si="136"/>
        <v>1908</v>
      </c>
      <c r="R309" s="491">
        <f t="shared" si="137"/>
        <v>459.63720000000001</v>
      </c>
      <c r="S309" s="492">
        <f t="shared" si="138"/>
        <v>2367.6372000000001</v>
      </c>
    </row>
    <row r="310" spans="2:19" ht="15" x14ac:dyDescent="0.25">
      <c r="B310" s="477" t="s">
        <v>464</v>
      </c>
      <c r="C310" s="478" t="s">
        <v>454</v>
      </c>
      <c r="D310" s="478" t="s">
        <v>313</v>
      </c>
      <c r="E310" s="478">
        <v>7</v>
      </c>
      <c r="F310" s="478">
        <v>3</v>
      </c>
      <c r="G310" s="487">
        <v>996</v>
      </c>
      <c r="H310" s="500">
        <v>793</v>
      </c>
      <c r="I310" s="479">
        <v>0</v>
      </c>
      <c r="J310" s="480">
        <v>1</v>
      </c>
      <c r="K310" s="488">
        <f t="shared" si="130"/>
        <v>952</v>
      </c>
      <c r="L310" s="489">
        <f t="shared" si="131"/>
        <v>952</v>
      </c>
      <c r="M310" s="490">
        <f t="shared" si="132"/>
        <v>0</v>
      </c>
      <c r="N310" s="401">
        <f t="shared" si="133"/>
        <v>0</v>
      </c>
      <c r="O310" s="401">
        <f t="shared" si="134"/>
        <v>159</v>
      </c>
      <c r="P310" s="401">
        <f t="shared" si="135"/>
        <v>159</v>
      </c>
      <c r="Q310" s="491">
        <f t="shared" si="136"/>
        <v>1908</v>
      </c>
      <c r="R310" s="491">
        <f t="shared" si="137"/>
        <v>459.63720000000001</v>
      </c>
      <c r="S310" s="492">
        <f t="shared" si="138"/>
        <v>2367.6372000000001</v>
      </c>
    </row>
    <row r="311" spans="2:19" ht="15" x14ac:dyDescent="0.25">
      <c r="B311" s="477" t="s">
        <v>464</v>
      </c>
      <c r="C311" s="478" t="s">
        <v>454</v>
      </c>
      <c r="D311" s="478" t="s">
        <v>313</v>
      </c>
      <c r="E311" s="478">
        <v>7</v>
      </c>
      <c r="F311" s="478">
        <v>3</v>
      </c>
      <c r="G311" s="487">
        <v>996</v>
      </c>
      <c r="H311" s="500">
        <v>793</v>
      </c>
      <c r="I311" s="479">
        <v>0</v>
      </c>
      <c r="J311" s="480">
        <v>1</v>
      </c>
      <c r="K311" s="488">
        <f t="shared" si="130"/>
        <v>952</v>
      </c>
      <c r="L311" s="489">
        <f t="shared" si="131"/>
        <v>952</v>
      </c>
      <c r="M311" s="490">
        <f t="shared" si="132"/>
        <v>0</v>
      </c>
      <c r="N311" s="401">
        <f t="shared" si="133"/>
        <v>0</v>
      </c>
      <c r="O311" s="401">
        <f t="shared" si="134"/>
        <v>159</v>
      </c>
      <c r="P311" s="401">
        <f t="shared" si="135"/>
        <v>159</v>
      </c>
      <c r="Q311" s="491">
        <f t="shared" si="136"/>
        <v>1908</v>
      </c>
      <c r="R311" s="491">
        <f t="shared" si="137"/>
        <v>459.63720000000001</v>
      </c>
      <c r="S311" s="492">
        <f t="shared" si="138"/>
        <v>2367.6372000000001</v>
      </c>
    </row>
    <row r="312" spans="2:19" ht="15" x14ac:dyDescent="0.25">
      <c r="B312" s="477" t="s">
        <v>465</v>
      </c>
      <c r="C312" s="478" t="s">
        <v>458</v>
      </c>
      <c r="D312" s="478" t="s">
        <v>353</v>
      </c>
      <c r="E312" s="478">
        <v>14</v>
      </c>
      <c r="F312" s="478">
        <v>3</v>
      </c>
      <c r="G312" s="487">
        <v>2264</v>
      </c>
      <c r="H312" s="500">
        <v>1652</v>
      </c>
      <c r="I312" s="479">
        <v>0</v>
      </c>
      <c r="J312" s="480">
        <v>1</v>
      </c>
      <c r="K312" s="488">
        <f t="shared" si="130"/>
        <v>1982</v>
      </c>
      <c r="L312" s="489">
        <f t="shared" si="131"/>
        <v>1982</v>
      </c>
      <c r="M312" s="490">
        <f t="shared" si="132"/>
        <v>0</v>
      </c>
      <c r="N312" s="401">
        <f t="shared" si="133"/>
        <v>0</v>
      </c>
      <c r="O312" s="401">
        <f t="shared" si="134"/>
        <v>330</v>
      </c>
      <c r="P312" s="401">
        <f t="shared" si="135"/>
        <v>330</v>
      </c>
      <c r="Q312" s="491">
        <f t="shared" si="136"/>
        <v>3960</v>
      </c>
      <c r="R312" s="491">
        <f t="shared" si="137"/>
        <v>953.96400000000006</v>
      </c>
      <c r="S312" s="492">
        <f t="shared" si="138"/>
        <v>4913.9639999999999</v>
      </c>
    </row>
    <row r="313" spans="2:19" ht="15" x14ac:dyDescent="0.25">
      <c r="B313" s="477" t="s">
        <v>463</v>
      </c>
      <c r="C313" s="478" t="s">
        <v>454</v>
      </c>
      <c r="D313" s="478" t="s">
        <v>14</v>
      </c>
      <c r="E313" s="478">
        <v>10</v>
      </c>
      <c r="F313" s="478">
        <v>3</v>
      </c>
      <c r="G313" s="487">
        <v>1287</v>
      </c>
      <c r="H313" s="500">
        <v>932</v>
      </c>
      <c r="I313" s="479">
        <v>0</v>
      </c>
      <c r="J313" s="480">
        <v>1</v>
      </c>
      <c r="K313" s="488">
        <f t="shared" si="130"/>
        <v>1118</v>
      </c>
      <c r="L313" s="489">
        <f t="shared" si="131"/>
        <v>1118</v>
      </c>
      <c r="M313" s="490">
        <f t="shared" si="132"/>
        <v>0</v>
      </c>
      <c r="N313" s="401">
        <f t="shared" si="133"/>
        <v>0</v>
      </c>
      <c r="O313" s="401">
        <f t="shared" si="134"/>
        <v>186</v>
      </c>
      <c r="P313" s="401">
        <f t="shared" si="135"/>
        <v>186</v>
      </c>
      <c r="Q313" s="491">
        <f t="shared" si="136"/>
        <v>2232</v>
      </c>
      <c r="R313" s="491">
        <f t="shared" si="137"/>
        <v>537.68880000000001</v>
      </c>
      <c r="S313" s="492">
        <f t="shared" si="138"/>
        <v>2769.6887999999999</v>
      </c>
    </row>
    <row r="314" spans="2:19" ht="15" x14ac:dyDescent="0.25">
      <c r="B314" s="477" t="s">
        <v>463</v>
      </c>
      <c r="C314" s="478" t="s">
        <v>454</v>
      </c>
      <c r="D314" s="478" t="s">
        <v>14</v>
      </c>
      <c r="E314" s="478">
        <v>10</v>
      </c>
      <c r="F314" s="478">
        <v>3</v>
      </c>
      <c r="G314" s="487">
        <v>1287</v>
      </c>
      <c r="H314" s="500">
        <v>900</v>
      </c>
      <c r="I314" s="479">
        <v>0</v>
      </c>
      <c r="J314" s="480">
        <v>1</v>
      </c>
      <c r="K314" s="488">
        <f t="shared" si="130"/>
        <v>1080</v>
      </c>
      <c r="L314" s="489">
        <f t="shared" si="131"/>
        <v>1080</v>
      </c>
      <c r="M314" s="490">
        <f t="shared" si="132"/>
        <v>0</v>
      </c>
      <c r="N314" s="401">
        <f t="shared" si="133"/>
        <v>0</v>
      </c>
      <c r="O314" s="401">
        <f t="shared" si="134"/>
        <v>180</v>
      </c>
      <c r="P314" s="401">
        <f t="shared" si="135"/>
        <v>180</v>
      </c>
      <c r="Q314" s="491">
        <f t="shared" si="136"/>
        <v>2160</v>
      </c>
      <c r="R314" s="491">
        <f t="shared" si="137"/>
        <v>520.34400000000005</v>
      </c>
      <c r="S314" s="492">
        <f t="shared" si="138"/>
        <v>2680.3440000000001</v>
      </c>
    </row>
    <row r="315" spans="2:19" ht="15" x14ac:dyDescent="0.25">
      <c r="B315" s="477" t="s">
        <v>463</v>
      </c>
      <c r="C315" s="478" t="s">
        <v>454</v>
      </c>
      <c r="D315" s="478" t="s">
        <v>14</v>
      </c>
      <c r="E315" s="478">
        <v>10</v>
      </c>
      <c r="F315" s="478">
        <v>3</v>
      </c>
      <c r="G315" s="487">
        <v>1287</v>
      </c>
      <c r="H315" s="500">
        <v>900</v>
      </c>
      <c r="I315" s="479">
        <v>0</v>
      </c>
      <c r="J315" s="480">
        <v>1</v>
      </c>
      <c r="K315" s="488">
        <f t="shared" si="130"/>
        <v>1080</v>
      </c>
      <c r="L315" s="489">
        <f t="shared" si="131"/>
        <v>1080</v>
      </c>
      <c r="M315" s="490">
        <f t="shared" si="132"/>
        <v>0</v>
      </c>
      <c r="N315" s="401">
        <f t="shared" si="133"/>
        <v>0</v>
      </c>
      <c r="O315" s="401">
        <f t="shared" si="134"/>
        <v>180</v>
      </c>
      <c r="P315" s="401">
        <f t="shared" si="135"/>
        <v>180</v>
      </c>
      <c r="Q315" s="491">
        <f t="shared" si="136"/>
        <v>2160</v>
      </c>
      <c r="R315" s="491">
        <f t="shared" si="137"/>
        <v>520.34400000000005</v>
      </c>
      <c r="S315" s="492">
        <f t="shared" si="138"/>
        <v>2680.3440000000001</v>
      </c>
    </row>
    <row r="316" spans="2:19" ht="15" x14ac:dyDescent="0.25">
      <c r="B316" s="477" t="s">
        <v>463</v>
      </c>
      <c r="C316" s="478" t="s">
        <v>454</v>
      </c>
      <c r="D316" s="478" t="s">
        <v>14</v>
      </c>
      <c r="E316" s="478">
        <v>10</v>
      </c>
      <c r="F316" s="478">
        <v>1</v>
      </c>
      <c r="G316" s="487">
        <v>940</v>
      </c>
      <c r="H316" s="500">
        <v>700</v>
      </c>
      <c r="I316" s="479">
        <v>0</v>
      </c>
      <c r="J316" s="480">
        <v>1</v>
      </c>
      <c r="K316" s="488">
        <f t="shared" si="130"/>
        <v>840</v>
      </c>
      <c r="L316" s="489">
        <f t="shared" si="131"/>
        <v>840</v>
      </c>
      <c r="M316" s="490">
        <f t="shared" si="132"/>
        <v>0</v>
      </c>
      <c r="N316" s="401">
        <f t="shared" si="133"/>
        <v>0</v>
      </c>
      <c r="O316" s="401">
        <f t="shared" si="134"/>
        <v>140</v>
      </c>
      <c r="P316" s="401">
        <f t="shared" si="135"/>
        <v>140</v>
      </c>
      <c r="Q316" s="491">
        <f t="shared" si="136"/>
        <v>1680</v>
      </c>
      <c r="R316" s="491">
        <f t="shared" si="137"/>
        <v>404.71199999999999</v>
      </c>
      <c r="S316" s="492">
        <f t="shared" si="138"/>
        <v>2084.712</v>
      </c>
    </row>
    <row r="317" spans="2:19" ht="15" x14ac:dyDescent="0.25">
      <c r="B317" s="477" t="s">
        <v>36</v>
      </c>
      <c r="C317" s="478" t="s">
        <v>458</v>
      </c>
      <c r="D317" s="478" t="s">
        <v>67</v>
      </c>
      <c r="E317" s="478">
        <v>12</v>
      </c>
      <c r="F317" s="478">
        <v>3</v>
      </c>
      <c r="G317" s="487">
        <v>1647</v>
      </c>
      <c r="H317" s="500">
        <v>1300</v>
      </c>
      <c r="I317" s="479">
        <v>0</v>
      </c>
      <c r="J317" s="480">
        <v>1</v>
      </c>
      <c r="K317" s="488">
        <f t="shared" si="130"/>
        <v>1560</v>
      </c>
      <c r="L317" s="489">
        <f t="shared" si="131"/>
        <v>1560</v>
      </c>
      <c r="M317" s="490">
        <f t="shared" si="132"/>
        <v>0</v>
      </c>
      <c r="N317" s="401">
        <f t="shared" si="133"/>
        <v>0</v>
      </c>
      <c r="O317" s="401">
        <f t="shared" si="134"/>
        <v>260</v>
      </c>
      <c r="P317" s="401">
        <f t="shared" si="135"/>
        <v>260</v>
      </c>
      <c r="Q317" s="491">
        <f t="shared" si="136"/>
        <v>3120</v>
      </c>
      <c r="R317" s="491">
        <f t="shared" si="137"/>
        <v>751.60800000000006</v>
      </c>
      <c r="S317" s="492">
        <f t="shared" si="138"/>
        <v>3871.6080000000002</v>
      </c>
    </row>
    <row r="318" spans="2:19" ht="15" x14ac:dyDescent="0.25">
      <c r="B318" s="477" t="s">
        <v>459</v>
      </c>
      <c r="C318" s="478" t="s">
        <v>458</v>
      </c>
      <c r="D318" s="478" t="s">
        <v>49</v>
      </c>
      <c r="E318" s="478">
        <v>11</v>
      </c>
      <c r="F318" s="478">
        <v>3</v>
      </c>
      <c r="G318" s="487">
        <v>1382</v>
      </c>
      <c r="H318" s="500">
        <v>1073</v>
      </c>
      <c r="I318" s="479">
        <v>0</v>
      </c>
      <c r="J318" s="480">
        <v>1</v>
      </c>
      <c r="K318" s="488">
        <f t="shared" si="130"/>
        <v>1288</v>
      </c>
      <c r="L318" s="489">
        <f t="shared" si="131"/>
        <v>1288</v>
      </c>
      <c r="M318" s="490">
        <f t="shared" si="132"/>
        <v>0</v>
      </c>
      <c r="N318" s="401">
        <f t="shared" si="133"/>
        <v>0</v>
      </c>
      <c r="O318" s="401">
        <f t="shared" si="134"/>
        <v>215</v>
      </c>
      <c r="P318" s="401">
        <f t="shared" si="135"/>
        <v>215</v>
      </c>
      <c r="Q318" s="491">
        <f t="shared" si="136"/>
        <v>2580</v>
      </c>
      <c r="R318" s="491">
        <f t="shared" si="137"/>
        <v>621.52200000000005</v>
      </c>
      <c r="S318" s="492">
        <f t="shared" si="138"/>
        <v>3201.5219999999999</v>
      </c>
    </row>
    <row r="319" spans="2:19" ht="15" x14ac:dyDescent="0.25">
      <c r="B319" s="477" t="s">
        <v>459</v>
      </c>
      <c r="C319" s="478" t="s">
        <v>458</v>
      </c>
      <c r="D319" s="478" t="s">
        <v>49</v>
      </c>
      <c r="E319" s="478">
        <v>11</v>
      </c>
      <c r="F319" s="478">
        <v>3</v>
      </c>
      <c r="G319" s="487">
        <v>1382</v>
      </c>
      <c r="H319" s="500">
        <v>1073</v>
      </c>
      <c r="I319" s="479">
        <v>0</v>
      </c>
      <c r="J319" s="480">
        <v>1</v>
      </c>
      <c r="K319" s="488">
        <f t="shared" si="130"/>
        <v>1288</v>
      </c>
      <c r="L319" s="489">
        <f t="shared" si="131"/>
        <v>1288</v>
      </c>
      <c r="M319" s="490">
        <f t="shared" si="132"/>
        <v>0</v>
      </c>
      <c r="N319" s="401">
        <f t="shared" si="133"/>
        <v>0</v>
      </c>
      <c r="O319" s="401">
        <f t="shared" si="134"/>
        <v>215</v>
      </c>
      <c r="P319" s="401">
        <f t="shared" si="135"/>
        <v>215</v>
      </c>
      <c r="Q319" s="491">
        <f t="shared" si="136"/>
        <v>2580</v>
      </c>
      <c r="R319" s="491">
        <f t="shared" si="137"/>
        <v>621.52200000000005</v>
      </c>
      <c r="S319" s="492">
        <f t="shared" si="138"/>
        <v>3201.5219999999999</v>
      </c>
    </row>
    <row r="320" spans="2:19" ht="15" x14ac:dyDescent="0.25">
      <c r="B320" s="477" t="s">
        <v>459</v>
      </c>
      <c r="C320" s="478" t="s">
        <v>458</v>
      </c>
      <c r="D320" s="478" t="s">
        <v>49</v>
      </c>
      <c r="E320" s="478">
        <v>11</v>
      </c>
      <c r="F320" s="478">
        <v>3</v>
      </c>
      <c r="G320" s="487">
        <v>1382</v>
      </c>
      <c r="H320" s="500">
        <v>1073</v>
      </c>
      <c r="I320" s="479">
        <v>0</v>
      </c>
      <c r="J320" s="480">
        <v>1</v>
      </c>
      <c r="K320" s="488">
        <f t="shared" ref="K320:K359" si="139">ROUND(H320*1.2,0)</f>
        <v>1288</v>
      </c>
      <c r="L320" s="489">
        <f t="shared" ref="L320:L359" si="140">IF(K320&lt;=G320,K320,G320)</f>
        <v>1288</v>
      </c>
      <c r="M320" s="490">
        <f t="shared" ref="M320:M360" si="141">N320-I320</f>
        <v>0</v>
      </c>
      <c r="N320" s="401">
        <f t="shared" ref="N320:N360" si="142">I320/H320*L320</f>
        <v>0</v>
      </c>
      <c r="O320" s="401">
        <f t="shared" ref="O320:O360" si="143">L320-H320+M320</f>
        <v>215</v>
      </c>
      <c r="P320" s="401">
        <f t="shared" ref="P320:P360" si="144">O320*J320</f>
        <v>215</v>
      </c>
      <c r="Q320" s="491">
        <f t="shared" ref="Q320:Q360" si="145">P320*12</f>
        <v>2580</v>
      </c>
      <c r="R320" s="491">
        <f t="shared" ref="R320:R360" si="146">Q320*0.2409</f>
        <v>621.52200000000005</v>
      </c>
      <c r="S320" s="492">
        <f t="shared" ref="S320:S360" si="147">Q320+R320</f>
        <v>3201.5219999999999</v>
      </c>
    </row>
    <row r="321" spans="2:19" ht="15" x14ac:dyDescent="0.25">
      <c r="B321" s="477" t="s">
        <v>461</v>
      </c>
      <c r="C321" s="478" t="s">
        <v>458</v>
      </c>
      <c r="D321" s="478" t="s">
        <v>164</v>
      </c>
      <c r="E321" s="478">
        <v>10</v>
      </c>
      <c r="F321" s="478">
        <v>3</v>
      </c>
      <c r="G321" s="487">
        <v>1287</v>
      </c>
      <c r="H321" s="500">
        <v>878</v>
      </c>
      <c r="I321" s="479">
        <v>0</v>
      </c>
      <c r="J321" s="480">
        <v>1</v>
      </c>
      <c r="K321" s="488">
        <f t="shared" si="139"/>
        <v>1054</v>
      </c>
      <c r="L321" s="489">
        <f t="shared" si="140"/>
        <v>1054</v>
      </c>
      <c r="M321" s="490">
        <f t="shared" si="141"/>
        <v>0</v>
      </c>
      <c r="N321" s="401">
        <f t="shared" si="142"/>
        <v>0</v>
      </c>
      <c r="O321" s="401">
        <f t="shared" si="143"/>
        <v>176</v>
      </c>
      <c r="P321" s="401">
        <f t="shared" si="144"/>
        <v>176</v>
      </c>
      <c r="Q321" s="491">
        <f t="shared" si="145"/>
        <v>2112</v>
      </c>
      <c r="R321" s="491">
        <f t="shared" si="146"/>
        <v>508.7808</v>
      </c>
      <c r="S321" s="492">
        <f t="shared" si="147"/>
        <v>2620.7808</v>
      </c>
    </row>
    <row r="322" spans="2:19" ht="15" x14ac:dyDescent="0.25">
      <c r="B322" s="477" t="s">
        <v>461</v>
      </c>
      <c r="C322" s="478" t="s">
        <v>458</v>
      </c>
      <c r="D322" s="478" t="s">
        <v>164</v>
      </c>
      <c r="E322" s="478">
        <v>10</v>
      </c>
      <c r="F322" s="478">
        <v>3</v>
      </c>
      <c r="G322" s="487">
        <v>1287</v>
      </c>
      <c r="H322" s="500">
        <v>878</v>
      </c>
      <c r="I322" s="479">
        <v>0</v>
      </c>
      <c r="J322" s="480">
        <v>1</v>
      </c>
      <c r="K322" s="488">
        <f t="shared" si="139"/>
        <v>1054</v>
      </c>
      <c r="L322" s="489">
        <f t="shared" si="140"/>
        <v>1054</v>
      </c>
      <c r="M322" s="490">
        <f t="shared" si="141"/>
        <v>0</v>
      </c>
      <c r="N322" s="401">
        <f t="shared" si="142"/>
        <v>0</v>
      </c>
      <c r="O322" s="401">
        <f t="shared" si="143"/>
        <v>176</v>
      </c>
      <c r="P322" s="401">
        <f t="shared" si="144"/>
        <v>176</v>
      </c>
      <c r="Q322" s="491">
        <f t="shared" si="145"/>
        <v>2112</v>
      </c>
      <c r="R322" s="491">
        <f t="shared" si="146"/>
        <v>508.7808</v>
      </c>
      <c r="S322" s="492">
        <f t="shared" si="147"/>
        <v>2620.7808</v>
      </c>
    </row>
    <row r="323" spans="2:19" ht="15" x14ac:dyDescent="0.25">
      <c r="B323" s="477" t="s">
        <v>461</v>
      </c>
      <c r="C323" s="478" t="s">
        <v>458</v>
      </c>
      <c r="D323" s="478" t="s">
        <v>164</v>
      </c>
      <c r="E323" s="478">
        <v>10</v>
      </c>
      <c r="F323" s="478">
        <v>3</v>
      </c>
      <c r="G323" s="487">
        <v>1287</v>
      </c>
      <c r="H323" s="500">
        <v>878</v>
      </c>
      <c r="I323" s="479">
        <v>0</v>
      </c>
      <c r="J323" s="480">
        <v>1</v>
      </c>
      <c r="K323" s="488">
        <f t="shared" si="139"/>
        <v>1054</v>
      </c>
      <c r="L323" s="489">
        <f t="shared" si="140"/>
        <v>1054</v>
      </c>
      <c r="M323" s="490">
        <f t="shared" si="141"/>
        <v>0</v>
      </c>
      <c r="N323" s="401">
        <f t="shared" si="142"/>
        <v>0</v>
      </c>
      <c r="O323" s="401">
        <f t="shared" si="143"/>
        <v>176</v>
      </c>
      <c r="P323" s="401">
        <f t="shared" si="144"/>
        <v>176</v>
      </c>
      <c r="Q323" s="491">
        <f t="shared" si="145"/>
        <v>2112</v>
      </c>
      <c r="R323" s="491">
        <f t="shared" si="146"/>
        <v>508.7808</v>
      </c>
      <c r="S323" s="492">
        <f t="shared" si="147"/>
        <v>2620.7808</v>
      </c>
    </row>
    <row r="324" spans="2:19" ht="15" x14ac:dyDescent="0.25">
      <c r="B324" s="477" t="s">
        <v>461</v>
      </c>
      <c r="C324" s="478" t="s">
        <v>458</v>
      </c>
      <c r="D324" s="478" t="s">
        <v>164</v>
      </c>
      <c r="E324" s="478">
        <v>10</v>
      </c>
      <c r="F324" s="478">
        <v>1</v>
      </c>
      <c r="G324" s="487">
        <v>940</v>
      </c>
      <c r="H324" s="500">
        <v>700</v>
      </c>
      <c r="I324" s="479">
        <v>0</v>
      </c>
      <c r="J324" s="480">
        <v>1</v>
      </c>
      <c r="K324" s="488">
        <f t="shared" si="139"/>
        <v>840</v>
      </c>
      <c r="L324" s="489">
        <f t="shared" si="140"/>
        <v>840</v>
      </c>
      <c r="M324" s="490">
        <f t="shared" si="141"/>
        <v>0</v>
      </c>
      <c r="N324" s="401">
        <f t="shared" si="142"/>
        <v>0</v>
      </c>
      <c r="O324" s="401">
        <f t="shared" si="143"/>
        <v>140</v>
      </c>
      <c r="P324" s="401">
        <f t="shared" si="144"/>
        <v>140</v>
      </c>
      <c r="Q324" s="491">
        <f t="shared" si="145"/>
        <v>1680</v>
      </c>
      <c r="R324" s="491">
        <f t="shared" si="146"/>
        <v>404.71199999999999</v>
      </c>
      <c r="S324" s="492">
        <f t="shared" si="147"/>
        <v>2084.712</v>
      </c>
    </row>
    <row r="325" spans="2:19" ht="15" x14ac:dyDescent="0.25">
      <c r="B325" s="477" t="s">
        <v>36</v>
      </c>
      <c r="C325" s="478" t="s">
        <v>454</v>
      </c>
      <c r="D325" s="478" t="s">
        <v>35</v>
      </c>
      <c r="E325" s="478">
        <v>11</v>
      </c>
      <c r="F325" s="478">
        <v>3</v>
      </c>
      <c r="G325" s="487">
        <v>1382</v>
      </c>
      <c r="H325" s="500">
        <v>1382</v>
      </c>
      <c r="I325" s="479">
        <v>0</v>
      </c>
      <c r="J325" s="480">
        <v>1</v>
      </c>
      <c r="K325" s="488">
        <f t="shared" si="139"/>
        <v>1658</v>
      </c>
      <c r="L325" s="489">
        <f t="shared" si="140"/>
        <v>1382</v>
      </c>
      <c r="M325" s="490">
        <f t="shared" si="141"/>
        <v>0</v>
      </c>
      <c r="N325" s="401">
        <f t="shared" si="142"/>
        <v>0</v>
      </c>
      <c r="O325" s="401">
        <f t="shared" si="143"/>
        <v>0</v>
      </c>
      <c r="P325" s="401">
        <f t="shared" si="144"/>
        <v>0</v>
      </c>
      <c r="Q325" s="491">
        <f t="shared" si="145"/>
        <v>0</v>
      </c>
      <c r="R325" s="491">
        <f t="shared" si="146"/>
        <v>0</v>
      </c>
      <c r="S325" s="492">
        <f t="shared" si="147"/>
        <v>0</v>
      </c>
    </row>
    <row r="326" spans="2:19" ht="15" x14ac:dyDescent="0.25">
      <c r="B326" s="477" t="s">
        <v>466</v>
      </c>
      <c r="C326" s="478" t="s">
        <v>454</v>
      </c>
      <c r="D326" s="478" t="s">
        <v>45</v>
      </c>
      <c r="E326" s="478">
        <v>9</v>
      </c>
      <c r="F326" s="478">
        <v>1</v>
      </c>
      <c r="G326" s="487">
        <v>835</v>
      </c>
      <c r="H326" s="500">
        <v>700</v>
      </c>
      <c r="I326" s="479">
        <v>0</v>
      </c>
      <c r="J326" s="480">
        <v>1</v>
      </c>
      <c r="K326" s="488">
        <f t="shared" si="139"/>
        <v>840</v>
      </c>
      <c r="L326" s="489">
        <f t="shared" si="140"/>
        <v>835</v>
      </c>
      <c r="M326" s="490">
        <f t="shared" si="141"/>
        <v>0</v>
      </c>
      <c r="N326" s="401">
        <f t="shared" si="142"/>
        <v>0</v>
      </c>
      <c r="O326" s="401">
        <f t="shared" si="143"/>
        <v>135</v>
      </c>
      <c r="P326" s="401">
        <f t="shared" si="144"/>
        <v>135</v>
      </c>
      <c r="Q326" s="491">
        <f t="shared" si="145"/>
        <v>1620</v>
      </c>
      <c r="R326" s="491">
        <f t="shared" si="146"/>
        <v>390.25799999999998</v>
      </c>
      <c r="S326" s="492">
        <f t="shared" si="147"/>
        <v>2010.258</v>
      </c>
    </row>
    <row r="327" spans="2:19" ht="15" x14ac:dyDescent="0.25">
      <c r="B327" s="477" t="s">
        <v>466</v>
      </c>
      <c r="C327" s="478" t="s">
        <v>454</v>
      </c>
      <c r="D327" s="478" t="s">
        <v>45</v>
      </c>
      <c r="E327" s="478">
        <v>9</v>
      </c>
      <c r="F327" s="478">
        <v>3</v>
      </c>
      <c r="G327" s="487">
        <v>1190</v>
      </c>
      <c r="H327" s="500">
        <v>890</v>
      </c>
      <c r="I327" s="479">
        <v>0</v>
      </c>
      <c r="J327" s="480">
        <v>1</v>
      </c>
      <c r="K327" s="488">
        <f t="shared" si="139"/>
        <v>1068</v>
      </c>
      <c r="L327" s="489">
        <f t="shared" si="140"/>
        <v>1068</v>
      </c>
      <c r="M327" s="490">
        <f t="shared" si="141"/>
        <v>0</v>
      </c>
      <c r="N327" s="401">
        <f t="shared" si="142"/>
        <v>0</v>
      </c>
      <c r="O327" s="401">
        <f t="shared" si="143"/>
        <v>178</v>
      </c>
      <c r="P327" s="401">
        <f t="shared" si="144"/>
        <v>178</v>
      </c>
      <c r="Q327" s="491">
        <f t="shared" si="145"/>
        <v>2136</v>
      </c>
      <c r="R327" s="491">
        <f t="shared" si="146"/>
        <v>514.56240000000003</v>
      </c>
      <c r="S327" s="492">
        <f t="shared" si="147"/>
        <v>2650.5623999999998</v>
      </c>
    </row>
    <row r="328" spans="2:19" ht="30" x14ac:dyDescent="0.25">
      <c r="B328" s="477" t="s">
        <v>467</v>
      </c>
      <c r="C328" s="478" t="s">
        <v>454</v>
      </c>
      <c r="D328" s="478" t="s">
        <v>14</v>
      </c>
      <c r="E328" s="478">
        <v>10</v>
      </c>
      <c r="F328" s="478">
        <v>3</v>
      </c>
      <c r="G328" s="487">
        <v>1287</v>
      </c>
      <c r="H328" s="500">
        <v>950</v>
      </c>
      <c r="I328" s="479">
        <v>0</v>
      </c>
      <c r="J328" s="480">
        <v>1</v>
      </c>
      <c r="K328" s="488">
        <f t="shared" si="139"/>
        <v>1140</v>
      </c>
      <c r="L328" s="489">
        <f t="shared" si="140"/>
        <v>1140</v>
      </c>
      <c r="M328" s="490">
        <f t="shared" si="141"/>
        <v>0</v>
      </c>
      <c r="N328" s="401">
        <f t="shared" si="142"/>
        <v>0</v>
      </c>
      <c r="O328" s="401">
        <f t="shared" si="143"/>
        <v>190</v>
      </c>
      <c r="P328" s="401">
        <f t="shared" si="144"/>
        <v>190</v>
      </c>
      <c r="Q328" s="491">
        <f t="shared" si="145"/>
        <v>2280</v>
      </c>
      <c r="R328" s="491">
        <f t="shared" si="146"/>
        <v>549.25199999999995</v>
      </c>
      <c r="S328" s="492">
        <f t="shared" si="147"/>
        <v>2829.252</v>
      </c>
    </row>
    <row r="329" spans="2:19" ht="15" x14ac:dyDescent="0.25">
      <c r="B329" s="477" t="s">
        <v>468</v>
      </c>
      <c r="C329" s="478" t="s">
        <v>454</v>
      </c>
      <c r="D329" s="478" t="s">
        <v>45</v>
      </c>
      <c r="E329" s="478">
        <v>9</v>
      </c>
      <c r="F329" s="478">
        <v>3</v>
      </c>
      <c r="G329" s="487">
        <v>1190</v>
      </c>
      <c r="H329" s="500">
        <v>890</v>
      </c>
      <c r="I329" s="479">
        <v>0</v>
      </c>
      <c r="J329" s="480">
        <v>1</v>
      </c>
      <c r="K329" s="488">
        <f t="shared" si="139"/>
        <v>1068</v>
      </c>
      <c r="L329" s="489">
        <f t="shared" si="140"/>
        <v>1068</v>
      </c>
      <c r="M329" s="490">
        <f t="shared" si="141"/>
        <v>0</v>
      </c>
      <c r="N329" s="401">
        <f t="shared" si="142"/>
        <v>0</v>
      </c>
      <c r="O329" s="401">
        <f t="shared" si="143"/>
        <v>178</v>
      </c>
      <c r="P329" s="401">
        <f t="shared" si="144"/>
        <v>178</v>
      </c>
      <c r="Q329" s="491">
        <f t="shared" si="145"/>
        <v>2136</v>
      </c>
      <c r="R329" s="491">
        <f t="shared" si="146"/>
        <v>514.56240000000003</v>
      </c>
      <c r="S329" s="492">
        <f t="shared" si="147"/>
        <v>2650.5623999999998</v>
      </c>
    </row>
    <row r="330" spans="2:19" ht="30" x14ac:dyDescent="0.25">
      <c r="B330" s="477" t="s">
        <v>469</v>
      </c>
      <c r="C330" s="478" t="s">
        <v>454</v>
      </c>
      <c r="D330" s="478" t="s">
        <v>14</v>
      </c>
      <c r="E330" s="478">
        <v>10</v>
      </c>
      <c r="F330" s="478">
        <v>3</v>
      </c>
      <c r="G330" s="487">
        <v>1287</v>
      </c>
      <c r="H330" s="500">
        <v>1025</v>
      </c>
      <c r="I330" s="479">
        <v>0</v>
      </c>
      <c r="J330" s="480">
        <v>1</v>
      </c>
      <c r="K330" s="488">
        <f t="shared" si="139"/>
        <v>1230</v>
      </c>
      <c r="L330" s="489">
        <f t="shared" si="140"/>
        <v>1230</v>
      </c>
      <c r="M330" s="490">
        <f t="shared" si="141"/>
        <v>0</v>
      </c>
      <c r="N330" s="401">
        <f t="shared" si="142"/>
        <v>0</v>
      </c>
      <c r="O330" s="401">
        <f t="shared" si="143"/>
        <v>205</v>
      </c>
      <c r="P330" s="401">
        <f t="shared" si="144"/>
        <v>205</v>
      </c>
      <c r="Q330" s="491">
        <f t="shared" si="145"/>
        <v>2460</v>
      </c>
      <c r="R330" s="491">
        <f t="shared" si="146"/>
        <v>592.61400000000003</v>
      </c>
      <c r="S330" s="492">
        <f t="shared" si="147"/>
        <v>3052.614</v>
      </c>
    </row>
    <row r="331" spans="2:19" ht="15" x14ac:dyDescent="0.25">
      <c r="B331" s="477" t="s">
        <v>457</v>
      </c>
      <c r="C331" s="478" t="s">
        <v>278</v>
      </c>
      <c r="D331" s="478" t="s">
        <v>14</v>
      </c>
      <c r="E331" s="478">
        <v>10</v>
      </c>
      <c r="F331" s="478">
        <v>3</v>
      </c>
      <c r="G331" s="487">
        <v>1287</v>
      </c>
      <c r="H331" s="500">
        <v>950</v>
      </c>
      <c r="I331" s="479">
        <v>0</v>
      </c>
      <c r="J331" s="480">
        <v>1</v>
      </c>
      <c r="K331" s="488">
        <f t="shared" si="139"/>
        <v>1140</v>
      </c>
      <c r="L331" s="489">
        <f t="shared" si="140"/>
        <v>1140</v>
      </c>
      <c r="M331" s="490">
        <f t="shared" si="141"/>
        <v>0</v>
      </c>
      <c r="N331" s="401">
        <f t="shared" si="142"/>
        <v>0</v>
      </c>
      <c r="O331" s="401">
        <f t="shared" si="143"/>
        <v>190</v>
      </c>
      <c r="P331" s="401">
        <f t="shared" si="144"/>
        <v>190</v>
      </c>
      <c r="Q331" s="491">
        <f t="shared" si="145"/>
        <v>2280</v>
      </c>
      <c r="R331" s="491">
        <f t="shared" si="146"/>
        <v>549.25199999999995</v>
      </c>
      <c r="S331" s="492">
        <f t="shared" si="147"/>
        <v>2829.252</v>
      </c>
    </row>
    <row r="332" spans="2:19" ht="15" x14ac:dyDescent="0.25">
      <c r="B332" s="477" t="s">
        <v>36</v>
      </c>
      <c r="C332" s="478" t="s">
        <v>458</v>
      </c>
      <c r="D332" s="478" t="s">
        <v>67</v>
      </c>
      <c r="E332" s="478">
        <v>12</v>
      </c>
      <c r="F332" s="478">
        <v>3</v>
      </c>
      <c r="G332" s="487">
        <v>1647</v>
      </c>
      <c r="H332" s="500">
        <v>1382</v>
      </c>
      <c r="I332" s="479">
        <v>0</v>
      </c>
      <c r="J332" s="480">
        <v>1</v>
      </c>
      <c r="K332" s="488">
        <f t="shared" si="139"/>
        <v>1658</v>
      </c>
      <c r="L332" s="489">
        <f t="shared" si="140"/>
        <v>1647</v>
      </c>
      <c r="M332" s="490">
        <f t="shared" si="141"/>
        <v>0</v>
      </c>
      <c r="N332" s="401">
        <f t="shared" si="142"/>
        <v>0</v>
      </c>
      <c r="O332" s="401">
        <f t="shared" si="143"/>
        <v>265</v>
      </c>
      <c r="P332" s="401">
        <f t="shared" si="144"/>
        <v>265</v>
      </c>
      <c r="Q332" s="491">
        <f t="shared" si="145"/>
        <v>3180</v>
      </c>
      <c r="R332" s="491">
        <f t="shared" si="146"/>
        <v>766.06200000000001</v>
      </c>
      <c r="S332" s="492">
        <f t="shared" si="147"/>
        <v>3946.0619999999999</v>
      </c>
    </row>
    <row r="333" spans="2:19" ht="15" x14ac:dyDescent="0.25">
      <c r="B333" s="477" t="s">
        <v>459</v>
      </c>
      <c r="C333" s="478" t="s">
        <v>458</v>
      </c>
      <c r="D333" s="478" t="s">
        <v>49</v>
      </c>
      <c r="E333" s="478">
        <v>11</v>
      </c>
      <c r="F333" s="478">
        <v>3</v>
      </c>
      <c r="G333" s="487">
        <v>1382</v>
      </c>
      <c r="H333" s="500">
        <v>1010</v>
      </c>
      <c r="I333" s="479">
        <v>0</v>
      </c>
      <c r="J333" s="480">
        <v>1</v>
      </c>
      <c r="K333" s="488">
        <f t="shared" si="139"/>
        <v>1212</v>
      </c>
      <c r="L333" s="489">
        <f t="shared" si="140"/>
        <v>1212</v>
      </c>
      <c r="M333" s="490">
        <f t="shared" si="141"/>
        <v>0</v>
      </c>
      <c r="N333" s="401">
        <f t="shared" si="142"/>
        <v>0</v>
      </c>
      <c r="O333" s="401">
        <f t="shared" si="143"/>
        <v>202</v>
      </c>
      <c r="P333" s="401">
        <f t="shared" si="144"/>
        <v>202</v>
      </c>
      <c r="Q333" s="491">
        <f t="shared" si="145"/>
        <v>2424</v>
      </c>
      <c r="R333" s="491">
        <f t="shared" si="146"/>
        <v>583.94159999999999</v>
      </c>
      <c r="S333" s="492">
        <f t="shared" si="147"/>
        <v>3007.9416000000001</v>
      </c>
    </row>
    <row r="334" spans="2:19" ht="15" x14ac:dyDescent="0.25">
      <c r="B334" s="477" t="s">
        <v>459</v>
      </c>
      <c r="C334" s="478" t="s">
        <v>458</v>
      </c>
      <c r="D334" s="478" t="s">
        <v>49</v>
      </c>
      <c r="E334" s="478">
        <v>11</v>
      </c>
      <c r="F334" s="478">
        <v>3</v>
      </c>
      <c r="G334" s="487">
        <v>1382</v>
      </c>
      <c r="H334" s="500">
        <v>1010</v>
      </c>
      <c r="I334" s="479">
        <v>0</v>
      </c>
      <c r="J334" s="480">
        <v>1</v>
      </c>
      <c r="K334" s="488">
        <f t="shared" si="139"/>
        <v>1212</v>
      </c>
      <c r="L334" s="489">
        <f t="shared" si="140"/>
        <v>1212</v>
      </c>
      <c r="M334" s="490">
        <f t="shared" si="141"/>
        <v>0</v>
      </c>
      <c r="N334" s="401">
        <f t="shared" si="142"/>
        <v>0</v>
      </c>
      <c r="O334" s="401">
        <f t="shared" si="143"/>
        <v>202</v>
      </c>
      <c r="P334" s="401">
        <f t="shared" si="144"/>
        <v>202</v>
      </c>
      <c r="Q334" s="491">
        <f t="shared" si="145"/>
        <v>2424</v>
      </c>
      <c r="R334" s="491">
        <f t="shared" si="146"/>
        <v>583.94159999999999</v>
      </c>
      <c r="S334" s="492">
        <f t="shared" si="147"/>
        <v>3007.9416000000001</v>
      </c>
    </row>
    <row r="335" spans="2:19" ht="15" x14ac:dyDescent="0.25">
      <c r="B335" s="477" t="s">
        <v>461</v>
      </c>
      <c r="C335" s="478" t="s">
        <v>458</v>
      </c>
      <c r="D335" s="478" t="s">
        <v>164</v>
      </c>
      <c r="E335" s="478">
        <v>10</v>
      </c>
      <c r="F335" s="478">
        <v>3</v>
      </c>
      <c r="G335" s="487">
        <v>1287</v>
      </c>
      <c r="H335" s="500">
        <v>800</v>
      </c>
      <c r="I335" s="479">
        <v>0</v>
      </c>
      <c r="J335" s="480">
        <v>1</v>
      </c>
      <c r="K335" s="488">
        <f t="shared" si="139"/>
        <v>960</v>
      </c>
      <c r="L335" s="489">
        <f t="shared" si="140"/>
        <v>960</v>
      </c>
      <c r="M335" s="490">
        <f t="shared" si="141"/>
        <v>0</v>
      </c>
      <c r="N335" s="401">
        <f t="shared" si="142"/>
        <v>0</v>
      </c>
      <c r="O335" s="401">
        <f t="shared" si="143"/>
        <v>160</v>
      </c>
      <c r="P335" s="401">
        <f t="shared" si="144"/>
        <v>160</v>
      </c>
      <c r="Q335" s="491">
        <f t="shared" si="145"/>
        <v>1920</v>
      </c>
      <c r="R335" s="491">
        <f t="shared" si="146"/>
        <v>462.52800000000002</v>
      </c>
      <c r="S335" s="492">
        <f t="shared" si="147"/>
        <v>2382.5280000000002</v>
      </c>
    </row>
    <row r="336" spans="2:19" ht="15" x14ac:dyDescent="0.25">
      <c r="B336" s="477" t="s">
        <v>461</v>
      </c>
      <c r="C336" s="478" t="s">
        <v>458</v>
      </c>
      <c r="D336" s="478" t="s">
        <v>164</v>
      </c>
      <c r="E336" s="478">
        <v>10</v>
      </c>
      <c r="F336" s="478">
        <v>3</v>
      </c>
      <c r="G336" s="487">
        <v>1287</v>
      </c>
      <c r="H336" s="500">
        <v>800</v>
      </c>
      <c r="I336" s="479">
        <v>0</v>
      </c>
      <c r="J336" s="480">
        <v>1</v>
      </c>
      <c r="K336" s="488">
        <f t="shared" si="139"/>
        <v>960</v>
      </c>
      <c r="L336" s="489">
        <f t="shared" si="140"/>
        <v>960</v>
      </c>
      <c r="M336" s="490">
        <f t="shared" si="141"/>
        <v>0</v>
      </c>
      <c r="N336" s="401">
        <f t="shared" si="142"/>
        <v>0</v>
      </c>
      <c r="O336" s="401">
        <f t="shared" si="143"/>
        <v>160</v>
      </c>
      <c r="P336" s="401">
        <f t="shared" si="144"/>
        <v>160</v>
      </c>
      <c r="Q336" s="491">
        <f t="shared" si="145"/>
        <v>1920</v>
      </c>
      <c r="R336" s="491">
        <f t="shared" si="146"/>
        <v>462.52800000000002</v>
      </c>
      <c r="S336" s="492">
        <f t="shared" si="147"/>
        <v>2382.5280000000002</v>
      </c>
    </row>
    <row r="337" spans="2:19" ht="15" x14ac:dyDescent="0.25">
      <c r="B337" s="477" t="s">
        <v>461</v>
      </c>
      <c r="C337" s="478" t="s">
        <v>458</v>
      </c>
      <c r="D337" s="478" t="s">
        <v>164</v>
      </c>
      <c r="E337" s="478">
        <v>10</v>
      </c>
      <c r="F337" s="478">
        <v>2</v>
      </c>
      <c r="G337" s="487">
        <v>1115</v>
      </c>
      <c r="H337" s="500">
        <v>750</v>
      </c>
      <c r="I337" s="479">
        <v>0</v>
      </c>
      <c r="J337" s="480">
        <v>1</v>
      </c>
      <c r="K337" s="488">
        <f t="shared" si="139"/>
        <v>900</v>
      </c>
      <c r="L337" s="489">
        <f t="shared" si="140"/>
        <v>900</v>
      </c>
      <c r="M337" s="490">
        <f t="shared" si="141"/>
        <v>0</v>
      </c>
      <c r="N337" s="401">
        <f t="shared" si="142"/>
        <v>0</v>
      </c>
      <c r="O337" s="401">
        <f t="shared" si="143"/>
        <v>150</v>
      </c>
      <c r="P337" s="401">
        <f t="shared" si="144"/>
        <v>150</v>
      </c>
      <c r="Q337" s="491">
        <f t="shared" si="145"/>
        <v>1800</v>
      </c>
      <c r="R337" s="491">
        <f t="shared" si="146"/>
        <v>433.62</v>
      </c>
      <c r="S337" s="492">
        <f t="shared" si="147"/>
        <v>2233.62</v>
      </c>
    </row>
    <row r="338" spans="2:19" ht="15" x14ac:dyDescent="0.25">
      <c r="B338" s="477" t="s">
        <v>461</v>
      </c>
      <c r="C338" s="478" t="s">
        <v>458</v>
      </c>
      <c r="D338" s="478" t="s">
        <v>164</v>
      </c>
      <c r="E338" s="478">
        <v>10</v>
      </c>
      <c r="F338" s="478">
        <v>2</v>
      </c>
      <c r="G338" s="487">
        <v>1115</v>
      </c>
      <c r="H338" s="500">
        <v>750</v>
      </c>
      <c r="I338" s="479">
        <v>0</v>
      </c>
      <c r="J338" s="480">
        <v>1</v>
      </c>
      <c r="K338" s="488">
        <f t="shared" si="139"/>
        <v>900</v>
      </c>
      <c r="L338" s="489">
        <f t="shared" si="140"/>
        <v>900</v>
      </c>
      <c r="M338" s="490">
        <f t="shared" si="141"/>
        <v>0</v>
      </c>
      <c r="N338" s="401">
        <f t="shared" si="142"/>
        <v>0</v>
      </c>
      <c r="O338" s="401">
        <f t="shared" si="143"/>
        <v>150</v>
      </c>
      <c r="P338" s="401">
        <f t="shared" si="144"/>
        <v>150</v>
      </c>
      <c r="Q338" s="491">
        <f t="shared" si="145"/>
        <v>1800</v>
      </c>
      <c r="R338" s="491">
        <f t="shared" si="146"/>
        <v>433.62</v>
      </c>
      <c r="S338" s="492">
        <f t="shared" si="147"/>
        <v>2233.62</v>
      </c>
    </row>
    <row r="339" spans="2:19" ht="15" x14ac:dyDescent="0.25">
      <c r="B339" s="477" t="s">
        <v>461</v>
      </c>
      <c r="C339" s="478" t="s">
        <v>458</v>
      </c>
      <c r="D339" s="478" t="s">
        <v>164</v>
      </c>
      <c r="E339" s="478">
        <v>10</v>
      </c>
      <c r="F339" s="478">
        <v>1</v>
      </c>
      <c r="G339" s="487">
        <v>940</v>
      </c>
      <c r="H339" s="500">
        <v>700</v>
      </c>
      <c r="I339" s="479">
        <v>0</v>
      </c>
      <c r="J339" s="480">
        <v>1</v>
      </c>
      <c r="K339" s="488">
        <f t="shared" si="139"/>
        <v>840</v>
      </c>
      <c r="L339" s="489">
        <f t="shared" si="140"/>
        <v>840</v>
      </c>
      <c r="M339" s="490">
        <f t="shared" si="141"/>
        <v>0</v>
      </c>
      <c r="N339" s="401">
        <f t="shared" si="142"/>
        <v>0</v>
      </c>
      <c r="O339" s="401">
        <f t="shared" si="143"/>
        <v>140</v>
      </c>
      <c r="P339" s="401">
        <f t="shared" si="144"/>
        <v>140</v>
      </c>
      <c r="Q339" s="491">
        <f t="shared" si="145"/>
        <v>1680</v>
      </c>
      <c r="R339" s="491">
        <f t="shared" si="146"/>
        <v>404.71199999999999</v>
      </c>
      <c r="S339" s="492">
        <f t="shared" si="147"/>
        <v>2084.712</v>
      </c>
    </row>
    <row r="340" spans="2:19" ht="15" x14ac:dyDescent="0.25">
      <c r="B340" s="477" t="s">
        <v>461</v>
      </c>
      <c r="C340" s="478" t="s">
        <v>458</v>
      </c>
      <c r="D340" s="478" t="s">
        <v>164</v>
      </c>
      <c r="E340" s="478">
        <v>10</v>
      </c>
      <c r="F340" s="478">
        <v>1</v>
      </c>
      <c r="G340" s="487">
        <v>940</v>
      </c>
      <c r="H340" s="500">
        <v>700</v>
      </c>
      <c r="I340" s="479">
        <v>0</v>
      </c>
      <c r="J340" s="480">
        <v>1</v>
      </c>
      <c r="K340" s="488">
        <f t="shared" si="139"/>
        <v>840</v>
      </c>
      <c r="L340" s="489">
        <f t="shared" si="140"/>
        <v>840</v>
      </c>
      <c r="M340" s="490">
        <f t="shared" si="141"/>
        <v>0</v>
      </c>
      <c r="N340" s="401">
        <f t="shared" si="142"/>
        <v>0</v>
      </c>
      <c r="O340" s="401">
        <f t="shared" si="143"/>
        <v>140</v>
      </c>
      <c r="P340" s="401">
        <f t="shared" si="144"/>
        <v>140</v>
      </c>
      <c r="Q340" s="491">
        <f t="shared" si="145"/>
        <v>1680</v>
      </c>
      <c r="R340" s="491">
        <f t="shared" si="146"/>
        <v>404.71199999999999</v>
      </c>
      <c r="S340" s="492">
        <f t="shared" si="147"/>
        <v>2084.712</v>
      </c>
    </row>
    <row r="341" spans="2:19" ht="30" x14ac:dyDescent="0.25">
      <c r="B341" s="477" t="s">
        <v>470</v>
      </c>
      <c r="C341" s="478" t="s">
        <v>458</v>
      </c>
      <c r="D341" s="478" t="s">
        <v>49</v>
      </c>
      <c r="E341" s="478">
        <v>11</v>
      </c>
      <c r="F341" s="478">
        <v>3</v>
      </c>
      <c r="G341" s="487">
        <v>1382</v>
      </c>
      <c r="H341" s="500">
        <v>1000</v>
      </c>
      <c r="I341" s="479">
        <v>0</v>
      </c>
      <c r="J341" s="480">
        <v>1</v>
      </c>
      <c r="K341" s="488">
        <f t="shared" si="139"/>
        <v>1200</v>
      </c>
      <c r="L341" s="489">
        <f t="shared" si="140"/>
        <v>1200</v>
      </c>
      <c r="M341" s="490">
        <f t="shared" si="141"/>
        <v>0</v>
      </c>
      <c r="N341" s="401">
        <f t="shared" si="142"/>
        <v>0</v>
      </c>
      <c r="O341" s="401">
        <f t="shared" si="143"/>
        <v>200</v>
      </c>
      <c r="P341" s="401">
        <f t="shared" si="144"/>
        <v>200</v>
      </c>
      <c r="Q341" s="491">
        <f t="shared" si="145"/>
        <v>2400</v>
      </c>
      <c r="R341" s="491">
        <f t="shared" si="146"/>
        <v>578.16</v>
      </c>
      <c r="S341" s="492">
        <f t="shared" si="147"/>
        <v>2978.16</v>
      </c>
    </row>
    <row r="342" spans="2:19" ht="30" x14ac:dyDescent="0.25">
      <c r="B342" s="477" t="s">
        <v>471</v>
      </c>
      <c r="C342" s="478" t="s">
        <v>458</v>
      </c>
      <c r="D342" s="478" t="s">
        <v>164</v>
      </c>
      <c r="E342" s="478">
        <v>10</v>
      </c>
      <c r="F342" s="478">
        <v>3</v>
      </c>
      <c r="G342" s="487">
        <v>1287</v>
      </c>
      <c r="H342" s="500">
        <v>800</v>
      </c>
      <c r="I342" s="479">
        <v>0</v>
      </c>
      <c r="J342" s="480">
        <v>1</v>
      </c>
      <c r="K342" s="488">
        <f t="shared" si="139"/>
        <v>960</v>
      </c>
      <c r="L342" s="489">
        <f t="shared" si="140"/>
        <v>960</v>
      </c>
      <c r="M342" s="490">
        <f t="shared" si="141"/>
        <v>0</v>
      </c>
      <c r="N342" s="401">
        <f t="shared" si="142"/>
        <v>0</v>
      </c>
      <c r="O342" s="401">
        <f t="shared" si="143"/>
        <v>160</v>
      </c>
      <c r="P342" s="401">
        <f t="shared" si="144"/>
        <v>160</v>
      </c>
      <c r="Q342" s="491">
        <f t="shared" si="145"/>
        <v>1920</v>
      </c>
      <c r="R342" s="491">
        <f t="shared" si="146"/>
        <v>462.52800000000002</v>
      </c>
      <c r="S342" s="492">
        <f t="shared" si="147"/>
        <v>2382.5280000000002</v>
      </c>
    </row>
    <row r="343" spans="2:19" ht="30" x14ac:dyDescent="0.25">
      <c r="B343" s="477" t="s">
        <v>471</v>
      </c>
      <c r="C343" s="478" t="s">
        <v>458</v>
      </c>
      <c r="D343" s="478" t="s">
        <v>164</v>
      </c>
      <c r="E343" s="478">
        <v>10</v>
      </c>
      <c r="F343" s="478">
        <v>3</v>
      </c>
      <c r="G343" s="487">
        <v>1287</v>
      </c>
      <c r="H343" s="500">
        <v>800</v>
      </c>
      <c r="I343" s="479">
        <v>0</v>
      </c>
      <c r="J343" s="480">
        <v>1</v>
      </c>
      <c r="K343" s="488">
        <f t="shared" si="139"/>
        <v>960</v>
      </c>
      <c r="L343" s="489">
        <f t="shared" si="140"/>
        <v>960</v>
      </c>
      <c r="M343" s="490">
        <f t="shared" si="141"/>
        <v>0</v>
      </c>
      <c r="N343" s="401">
        <f t="shared" si="142"/>
        <v>0</v>
      </c>
      <c r="O343" s="401">
        <f t="shared" si="143"/>
        <v>160</v>
      </c>
      <c r="P343" s="401">
        <f t="shared" si="144"/>
        <v>160</v>
      </c>
      <c r="Q343" s="491">
        <f t="shared" si="145"/>
        <v>1920</v>
      </c>
      <c r="R343" s="491">
        <f t="shared" si="146"/>
        <v>462.52800000000002</v>
      </c>
      <c r="S343" s="492">
        <f t="shared" si="147"/>
        <v>2382.5280000000002</v>
      </c>
    </row>
    <row r="344" spans="2:19" ht="30" x14ac:dyDescent="0.25">
      <c r="B344" s="477" t="s">
        <v>471</v>
      </c>
      <c r="C344" s="478" t="s">
        <v>458</v>
      </c>
      <c r="D344" s="478" t="s">
        <v>164</v>
      </c>
      <c r="E344" s="478">
        <v>10</v>
      </c>
      <c r="F344" s="478">
        <v>3</v>
      </c>
      <c r="G344" s="487">
        <v>1287</v>
      </c>
      <c r="H344" s="500">
        <v>800</v>
      </c>
      <c r="I344" s="479">
        <v>0</v>
      </c>
      <c r="J344" s="480">
        <v>1</v>
      </c>
      <c r="K344" s="488">
        <f t="shared" si="139"/>
        <v>960</v>
      </c>
      <c r="L344" s="489">
        <f t="shared" si="140"/>
        <v>960</v>
      </c>
      <c r="M344" s="490">
        <f t="shared" si="141"/>
        <v>0</v>
      </c>
      <c r="N344" s="401">
        <f t="shared" si="142"/>
        <v>0</v>
      </c>
      <c r="O344" s="401">
        <f t="shared" si="143"/>
        <v>160</v>
      </c>
      <c r="P344" s="401">
        <f t="shared" si="144"/>
        <v>160</v>
      </c>
      <c r="Q344" s="491">
        <f t="shared" si="145"/>
        <v>1920</v>
      </c>
      <c r="R344" s="491">
        <f t="shared" si="146"/>
        <v>462.52800000000002</v>
      </c>
      <c r="S344" s="492">
        <f t="shared" si="147"/>
        <v>2382.5280000000002</v>
      </c>
    </row>
    <row r="345" spans="2:19" ht="30" x14ac:dyDescent="0.25">
      <c r="B345" s="477" t="s">
        <v>470</v>
      </c>
      <c r="C345" s="478" t="s">
        <v>458</v>
      </c>
      <c r="D345" s="478" t="s">
        <v>49</v>
      </c>
      <c r="E345" s="478">
        <v>11</v>
      </c>
      <c r="F345" s="478">
        <v>3</v>
      </c>
      <c r="G345" s="487">
        <v>1382</v>
      </c>
      <c r="H345" s="500">
        <v>1000</v>
      </c>
      <c r="I345" s="479">
        <v>0</v>
      </c>
      <c r="J345" s="480">
        <v>1</v>
      </c>
      <c r="K345" s="488">
        <f t="shared" si="139"/>
        <v>1200</v>
      </c>
      <c r="L345" s="489">
        <f t="shared" si="140"/>
        <v>1200</v>
      </c>
      <c r="M345" s="490">
        <f t="shared" si="141"/>
        <v>0</v>
      </c>
      <c r="N345" s="401">
        <f t="shared" si="142"/>
        <v>0</v>
      </c>
      <c r="O345" s="401">
        <f t="shared" si="143"/>
        <v>200</v>
      </c>
      <c r="P345" s="401">
        <f t="shared" si="144"/>
        <v>200</v>
      </c>
      <c r="Q345" s="491">
        <f t="shared" si="145"/>
        <v>2400</v>
      </c>
      <c r="R345" s="491">
        <f t="shared" si="146"/>
        <v>578.16</v>
      </c>
      <c r="S345" s="492">
        <f t="shared" si="147"/>
        <v>2978.16</v>
      </c>
    </row>
    <row r="346" spans="2:19" ht="30" x14ac:dyDescent="0.25">
      <c r="B346" s="477" t="s">
        <v>471</v>
      </c>
      <c r="C346" s="478" t="s">
        <v>458</v>
      </c>
      <c r="D346" s="478" t="s">
        <v>164</v>
      </c>
      <c r="E346" s="478">
        <v>10</v>
      </c>
      <c r="F346" s="478">
        <v>3</v>
      </c>
      <c r="G346" s="487">
        <v>1287</v>
      </c>
      <c r="H346" s="500">
        <v>800</v>
      </c>
      <c r="I346" s="479">
        <v>0</v>
      </c>
      <c r="J346" s="480">
        <v>1</v>
      </c>
      <c r="K346" s="488">
        <f t="shared" si="139"/>
        <v>960</v>
      </c>
      <c r="L346" s="489">
        <f t="shared" si="140"/>
        <v>960</v>
      </c>
      <c r="M346" s="490">
        <f t="shared" si="141"/>
        <v>0</v>
      </c>
      <c r="N346" s="401">
        <f t="shared" si="142"/>
        <v>0</v>
      </c>
      <c r="O346" s="401">
        <f t="shared" si="143"/>
        <v>160</v>
      </c>
      <c r="P346" s="401">
        <f t="shared" si="144"/>
        <v>160</v>
      </c>
      <c r="Q346" s="491">
        <f t="shared" si="145"/>
        <v>1920</v>
      </c>
      <c r="R346" s="491">
        <f t="shared" si="146"/>
        <v>462.52800000000002</v>
      </c>
      <c r="S346" s="492">
        <f t="shared" si="147"/>
        <v>2382.5280000000002</v>
      </c>
    </row>
    <row r="347" spans="2:19" ht="30" x14ac:dyDescent="0.25">
      <c r="B347" s="477" t="s">
        <v>471</v>
      </c>
      <c r="C347" s="478" t="s">
        <v>458</v>
      </c>
      <c r="D347" s="478" t="s">
        <v>164</v>
      </c>
      <c r="E347" s="478">
        <v>10</v>
      </c>
      <c r="F347" s="478">
        <v>3</v>
      </c>
      <c r="G347" s="487">
        <v>1287</v>
      </c>
      <c r="H347" s="500">
        <v>800</v>
      </c>
      <c r="I347" s="479">
        <v>0</v>
      </c>
      <c r="J347" s="480">
        <v>1</v>
      </c>
      <c r="K347" s="488">
        <f t="shared" si="139"/>
        <v>960</v>
      </c>
      <c r="L347" s="489">
        <f t="shared" si="140"/>
        <v>960</v>
      </c>
      <c r="M347" s="490">
        <f t="shared" si="141"/>
        <v>0</v>
      </c>
      <c r="N347" s="401">
        <f t="shared" si="142"/>
        <v>0</v>
      </c>
      <c r="O347" s="401">
        <f t="shared" si="143"/>
        <v>160</v>
      </c>
      <c r="P347" s="401">
        <f t="shared" si="144"/>
        <v>160</v>
      </c>
      <c r="Q347" s="491">
        <f t="shared" si="145"/>
        <v>1920</v>
      </c>
      <c r="R347" s="491">
        <f t="shared" si="146"/>
        <v>462.52800000000002</v>
      </c>
      <c r="S347" s="492">
        <f t="shared" si="147"/>
        <v>2382.5280000000002</v>
      </c>
    </row>
    <row r="348" spans="2:19" ht="30" x14ac:dyDescent="0.25">
      <c r="B348" s="477" t="s">
        <v>471</v>
      </c>
      <c r="C348" s="478" t="s">
        <v>458</v>
      </c>
      <c r="D348" s="478" t="s">
        <v>164</v>
      </c>
      <c r="E348" s="478">
        <v>10</v>
      </c>
      <c r="F348" s="478">
        <v>3</v>
      </c>
      <c r="G348" s="487">
        <v>1287</v>
      </c>
      <c r="H348" s="500">
        <v>800</v>
      </c>
      <c r="I348" s="479">
        <v>0</v>
      </c>
      <c r="J348" s="480">
        <v>1</v>
      </c>
      <c r="K348" s="488">
        <f t="shared" si="139"/>
        <v>960</v>
      </c>
      <c r="L348" s="489">
        <f t="shared" si="140"/>
        <v>960</v>
      </c>
      <c r="M348" s="490">
        <f t="shared" si="141"/>
        <v>0</v>
      </c>
      <c r="N348" s="401">
        <f t="shared" si="142"/>
        <v>0</v>
      </c>
      <c r="O348" s="401">
        <f t="shared" si="143"/>
        <v>160</v>
      </c>
      <c r="P348" s="401">
        <f t="shared" si="144"/>
        <v>160</v>
      </c>
      <c r="Q348" s="491">
        <f t="shared" si="145"/>
        <v>1920</v>
      </c>
      <c r="R348" s="491">
        <f t="shared" si="146"/>
        <v>462.52800000000002</v>
      </c>
      <c r="S348" s="492">
        <f t="shared" si="147"/>
        <v>2382.5280000000002</v>
      </c>
    </row>
    <row r="349" spans="2:19" ht="15" x14ac:dyDescent="0.25">
      <c r="B349" s="477" t="s">
        <v>468</v>
      </c>
      <c r="C349" s="478" t="s">
        <v>278</v>
      </c>
      <c r="D349" s="478" t="s">
        <v>14</v>
      </c>
      <c r="E349" s="478">
        <v>10</v>
      </c>
      <c r="F349" s="478">
        <v>3</v>
      </c>
      <c r="G349" s="487">
        <v>1287</v>
      </c>
      <c r="H349" s="500">
        <v>700</v>
      </c>
      <c r="I349" s="479">
        <v>0</v>
      </c>
      <c r="J349" s="480">
        <v>1</v>
      </c>
      <c r="K349" s="488">
        <f t="shared" si="139"/>
        <v>840</v>
      </c>
      <c r="L349" s="489">
        <f t="shared" si="140"/>
        <v>840</v>
      </c>
      <c r="M349" s="490">
        <f t="shared" si="141"/>
        <v>0</v>
      </c>
      <c r="N349" s="401">
        <f t="shared" si="142"/>
        <v>0</v>
      </c>
      <c r="O349" s="401">
        <f t="shared" si="143"/>
        <v>140</v>
      </c>
      <c r="P349" s="401">
        <f t="shared" si="144"/>
        <v>140</v>
      </c>
      <c r="Q349" s="491">
        <f t="shared" si="145"/>
        <v>1680</v>
      </c>
      <c r="R349" s="491">
        <f t="shared" si="146"/>
        <v>404.71199999999999</v>
      </c>
      <c r="S349" s="492">
        <f t="shared" si="147"/>
        <v>2084.712</v>
      </c>
    </row>
    <row r="350" spans="2:19" ht="15" x14ac:dyDescent="0.25">
      <c r="B350" s="477" t="s">
        <v>468</v>
      </c>
      <c r="C350" s="478" t="s">
        <v>278</v>
      </c>
      <c r="D350" s="478" t="s">
        <v>14</v>
      </c>
      <c r="E350" s="478" t="s">
        <v>124</v>
      </c>
      <c r="F350" s="478">
        <v>3</v>
      </c>
      <c r="G350" s="487">
        <v>1287</v>
      </c>
      <c r="H350" s="500">
        <v>700</v>
      </c>
      <c r="I350" s="479">
        <v>0</v>
      </c>
      <c r="J350" s="480">
        <v>1</v>
      </c>
      <c r="K350" s="488">
        <f t="shared" si="139"/>
        <v>840</v>
      </c>
      <c r="L350" s="489">
        <f t="shared" si="140"/>
        <v>840</v>
      </c>
      <c r="M350" s="490">
        <f t="shared" si="141"/>
        <v>0</v>
      </c>
      <c r="N350" s="401">
        <f t="shared" si="142"/>
        <v>0</v>
      </c>
      <c r="O350" s="401">
        <f t="shared" si="143"/>
        <v>140</v>
      </c>
      <c r="P350" s="401">
        <f t="shared" si="144"/>
        <v>140</v>
      </c>
      <c r="Q350" s="491">
        <f t="shared" si="145"/>
        <v>1680</v>
      </c>
      <c r="R350" s="491">
        <f t="shared" si="146"/>
        <v>404.71199999999999</v>
      </c>
      <c r="S350" s="492">
        <f t="shared" si="147"/>
        <v>2084.712</v>
      </c>
    </row>
    <row r="351" spans="2:19" ht="15" x14ac:dyDescent="0.25">
      <c r="B351" s="477" t="s">
        <v>468</v>
      </c>
      <c r="C351" s="478" t="s">
        <v>278</v>
      </c>
      <c r="D351" s="478" t="s">
        <v>14</v>
      </c>
      <c r="E351" s="478" t="s">
        <v>124</v>
      </c>
      <c r="F351" s="478">
        <v>3</v>
      </c>
      <c r="G351" s="487">
        <v>1287</v>
      </c>
      <c r="H351" s="500">
        <v>746</v>
      </c>
      <c r="I351" s="479">
        <v>0</v>
      </c>
      <c r="J351" s="480">
        <v>1</v>
      </c>
      <c r="K351" s="488">
        <f t="shared" si="139"/>
        <v>895</v>
      </c>
      <c r="L351" s="489">
        <f t="shared" si="140"/>
        <v>895</v>
      </c>
      <c r="M351" s="490">
        <f t="shared" si="141"/>
        <v>0</v>
      </c>
      <c r="N351" s="401">
        <f t="shared" si="142"/>
        <v>0</v>
      </c>
      <c r="O351" s="401">
        <f t="shared" si="143"/>
        <v>149</v>
      </c>
      <c r="P351" s="401">
        <f t="shared" si="144"/>
        <v>149</v>
      </c>
      <c r="Q351" s="491">
        <f t="shared" si="145"/>
        <v>1788</v>
      </c>
      <c r="R351" s="491">
        <f t="shared" si="146"/>
        <v>430.72919999999999</v>
      </c>
      <c r="S351" s="492">
        <f t="shared" si="147"/>
        <v>2218.7291999999998</v>
      </c>
    </row>
    <row r="352" spans="2:19" ht="30" x14ac:dyDescent="0.25">
      <c r="B352" s="477" t="s">
        <v>471</v>
      </c>
      <c r="C352" s="478" t="s">
        <v>458</v>
      </c>
      <c r="D352" s="478" t="s">
        <v>164</v>
      </c>
      <c r="E352" s="478">
        <v>10</v>
      </c>
      <c r="F352" s="478">
        <v>3</v>
      </c>
      <c r="G352" s="487">
        <v>1287</v>
      </c>
      <c r="H352" s="500">
        <v>800</v>
      </c>
      <c r="I352" s="479">
        <v>0</v>
      </c>
      <c r="J352" s="480">
        <v>1</v>
      </c>
      <c r="K352" s="488">
        <f t="shared" si="139"/>
        <v>960</v>
      </c>
      <c r="L352" s="489">
        <f t="shared" si="140"/>
        <v>960</v>
      </c>
      <c r="M352" s="490">
        <f t="shared" si="141"/>
        <v>0</v>
      </c>
      <c r="N352" s="401">
        <f t="shared" si="142"/>
        <v>0</v>
      </c>
      <c r="O352" s="401">
        <f t="shared" si="143"/>
        <v>160</v>
      </c>
      <c r="P352" s="401">
        <f t="shared" si="144"/>
        <v>160</v>
      </c>
      <c r="Q352" s="491">
        <f t="shared" si="145"/>
        <v>1920</v>
      </c>
      <c r="R352" s="491">
        <f t="shared" si="146"/>
        <v>462.52800000000002</v>
      </c>
      <c r="S352" s="492">
        <f t="shared" si="147"/>
        <v>2382.5280000000002</v>
      </c>
    </row>
    <row r="353" spans="2:19" ht="30" x14ac:dyDescent="0.25">
      <c r="B353" s="477" t="s">
        <v>470</v>
      </c>
      <c r="C353" s="478" t="s">
        <v>458</v>
      </c>
      <c r="D353" s="478" t="s">
        <v>49</v>
      </c>
      <c r="E353" s="478">
        <v>11</v>
      </c>
      <c r="F353" s="478">
        <v>3</v>
      </c>
      <c r="G353" s="487">
        <v>1382</v>
      </c>
      <c r="H353" s="500">
        <v>1000</v>
      </c>
      <c r="I353" s="479">
        <v>0</v>
      </c>
      <c r="J353" s="480">
        <v>1</v>
      </c>
      <c r="K353" s="488">
        <f>ROUND(H353*1.2,0)</f>
        <v>1200</v>
      </c>
      <c r="L353" s="489">
        <f t="shared" si="140"/>
        <v>1200</v>
      </c>
      <c r="M353" s="490">
        <f t="shared" si="141"/>
        <v>0</v>
      </c>
      <c r="N353" s="401">
        <f t="shared" si="142"/>
        <v>0</v>
      </c>
      <c r="O353" s="401">
        <f t="shared" si="143"/>
        <v>200</v>
      </c>
      <c r="P353" s="401">
        <f t="shared" si="144"/>
        <v>200</v>
      </c>
      <c r="Q353" s="491">
        <f t="shared" si="145"/>
        <v>2400</v>
      </c>
      <c r="R353" s="491">
        <f t="shared" si="146"/>
        <v>578.16</v>
      </c>
      <c r="S353" s="492">
        <f t="shared" si="147"/>
        <v>2978.16</v>
      </c>
    </row>
    <row r="354" spans="2:19" ht="30" x14ac:dyDescent="0.25">
      <c r="B354" s="477" t="s">
        <v>471</v>
      </c>
      <c r="C354" s="478" t="s">
        <v>458</v>
      </c>
      <c r="D354" s="478" t="s">
        <v>164</v>
      </c>
      <c r="E354" s="478">
        <v>10</v>
      </c>
      <c r="F354" s="478">
        <v>3</v>
      </c>
      <c r="G354" s="487">
        <v>1287</v>
      </c>
      <c r="H354" s="500">
        <v>800</v>
      </c>
      <c r="I354" s="479">
        <v>0</v>
      </c>
      <c r="J354" s="480">
        <v>1</v>
      </c>
      <c r="K354" s="488">
        <f t="shared" si="139"/>
        <v>960</v>
      </c>
      <c r="L354" s="489">
        <f t="shared" si="140"/>
        <v>960</v>
      </c>
      <c r="M354" s="490">
        <f t="shared" si="141"/>
        <v>0</v>
      </c>
      <c r="N354" s="401">
        <f t="shared" si="142"/>
        <v>0</v>
      </c>
      <c r="O354" s="401">
        <f t="shared" si="143"/>
        <v>160</v>
      </c>
      <c r="P354" s="401">
        <f t="shared" si="144"/>
        <v>160</v>
      </c>
      <c r="Q354" s="491">
        <f t="shared" si="145"/>
        <v>1920</v>
      </c>
      <c r="R354" s="491">
        <f t="shared" si="146"/>
        <v>462.52800000000002</v>
      </c>
      <c r="S354" s="492">
        <f t="shared" si="147"/>
        <v>2382.5280000000002</v>
      </c>
    </row>
    <row r="355" spans="2:19" ht="30" x14ac:dyDescent="0.25">
      <c r="B355" s="477" t="s">
        <v>471</v>
      </c>
      <c r="C355" s="478" t="s">
        <v>458</v>
      </c>
      <c r="D355" s="478" t="s">
        <v>164</v>
      </c>
      <c r="E355" s="478">
        <v>10</v>
      </c>
      <c r="F355" s="478">
        <v>3</v>
      </c>
      <c r="G355" s="487">
        <v>1287</v>
      </c>
      <c r="H355" s="500">
        <v>800</v>
      </c>
      <c r="I355" s="479">
        <v>0</v>
      </c>
      <c r="J355" s="480">
        <v>1</v>
      </c>
      <c r="K355" s="488">
        <f t="shared" si="139"/>
        <v>960</v>
      </c>
      <c r="L355" s="489">
        <f t="shared" si="140"/>
        <v>960</v>
      </c>
      <c r="M355" s="490">
        <f t="shared" si="141"/>
        <v>0</v>
      </c>
      <c r="N355" s="401">
        <f t="shared" si="142"/>
        <v>0</v>
      </c>
      <c r="O355" s="401">
        <f t="shared" si="143"/>
        <v>160</v>
      </c>
      <c r="P355" s="401">
        <f t="shared" si="144"/>
        <v>160</v>
      </c>
      <c r="Q355" s="491">
        <f t="shared" si="145"/>
        <v>1920</v>
      </c>
      <c r="R355" s="491">
        <f t="shared" si="146"/>
        <v>462.52800000000002</v>
      </c>
      <c r="S355" s="492">
        <f t="shared" si="147"/>
        <v>2382.5280000000002</v>
      </c>
    </row>
    <row r="356" spans="2:19" ht="15" x14ac:dyDescent="0.25">
      <c r="B356" s="477" t="s">
        <v>468</v>
      </c>
      <c r="C356" s="478" t="s">
        <v>278</v>
      </c>
      <c r="D356" s="478" t="s">
        <v>14</v>
      </c>
      <c r="E356" s="478" t="s">
        <v>124</v>
      </c>
      <c r="F356" s="478">
        <v>3</v>
      </c>
      <c r="G356" s="487">
        <v>1287</v>
      </c>
      <c r="H356" s="500">
        <v>800</v>
      </c>
      <c r="I356" s="479">
        <v>0</v>
      </c>
      <c r="J356" s="480">
        <v>1</v>
      </c>
      <c r="K356" s="488">
        <f t="shared" si="139"/>
        <v>960</v>
      </c>
      <c r="L356" s="489">
        <f t="shared" si="140"/>
        <v>960</v>
      </c>
      <c r="M356" s="490">
        <f t="shared" si="141"/>
        <v>0</v>
      </c>
      <c r="N356" s="401">
        <f t="shared" si="142"/>
        <v>0</v>
      </c>
      <c r="O356" s="401">
        <f t="shared" si="143"/>
        <v>160</v>
      </c>
      <c r="P356" s="401">
        <f t="shared" si="144"/>
        <v>160</v>
      </c>
      <c r="Q356" s="491">
        <f t="shared" si="145"/>
        <v>1920</v>
      </c>
      <c r="R356" s="491">
        <f t="shared" si="146"/>
        <v>462.52800000000002</v>
      </c>
      <c r="S356" s="492">
        <f t="shared" si="147"/>
        <v>2382.5280000000002</v>
      </c>
    </row>
    <row r="357" spans="2:19" ht="15" x14ac:dyDescent="0.25">
      <c r="B357" s="477" t="s">
        <v>468</v>
      </c>
      <c r="C357" s="478" t="s">
        <v>278</v>
      </c>
      <c r="D357" s="478" t="s">
        <v>14</v>
      </c>
      <c r="E357" s="478" t="s">
        <v>124</v>
      </c>
      <c r="F357" s="478" t="s">
        <v>75</v>
      </c>
      <c r="G357" s="487">
        <v>1287</v>
      </c>
      <c r="H357" s="500">
        <v>800</v>
      </c>
      <c r="I357" s="479">
        <v>0</v>
      </c>
      <c r="J357" s="480">
        <v>1</v>
      </c>
      <c r="K357" s="488">
        <f t="shared" si="139"/>
        <v>960</v>
      </c>
      <c r="L357" s="489">
        <f t="shared" si="140"/>
        <v>960</v>
      </c>
      <c r="M357" s="490">
        <f t="shared" si="141"/>
        <v>0</v>
      </c>
      <c r="N357" s="401">
        <f t="shared" si="142"/>
        <v>0</v>
      </c>
      <c r="O357" s="401">
        <f t="shared" si="143"/>
        <v>160</v>
      </c>
      <c r="P357" s="401">
        <f t="shared" si="144"/>
        <v>160</v>
      </c>
      <c r="Q357" s="491">
        <f t="shared" si="145"/>
        <v>1920</v>
      </c>
      <c r="R357" s="491">
        <f t="shared" si="146"/>
        <v>462.52800000000002</v>
      </c>
      <c r="S357" s="492">
        <f t="shared" si="147"/>
        <v>2382.5280000000002</v>
      </c>
    </row>
    <row r="358" spans="2:19" ht="15" x14ac:dyDescent="0.25">
      <c r="B358" s="477" t="s">
        <v>468</v>
      </c>
      <c r="C358" s="478" t="s">
        <v>278</v>
      </c>
      <c r="D358" s="478" t="s">
        <v>14</v>
      </c>
      <c r="E358" s="478" t="s">
        <v>124</v>
      </c>
      <c r="F358" s="478">
        <v>3</v>
      </c>
      <c r="G358" s="487">
        <v>1287</v>
      </c>
      <c r="H358" s="500">
        <v>751</v>
      </c>
      <c r="I358" s="479">
        <v>0</v>
      </c>
      <c r="J358" s="480">
        <v>1</v>
      </c>
      <c r="K358" s="488">
        <f t="shared" si="139"/>
        <v>901</v>
      </c>
      <c r="L358" s="489">
        <f t="shared" si="140"/>
        <v>901</v>
      </c>
      <c r="M358" s="490">
        <f t="shared" si="141"/>
        <v>0</v>
      </c>
      <c r="N358" s="401">
        <f t="shared" si="142"/>
        <v>0</v>
      </c>
      <c r="O358" s="401">
        <f t="shared" si="143"/>
        <v>150</v>
      </c>
      <c r="P358" s="401">
        <f t="shared" si="144"/>
        <v>150</v>
      </c>
      <c r="Q358" s="491">
        <f t="shared" si="145"/>
        <v>1800</v>
      </c>
      <c r="R358" s="491">
        <f t="shared" si="146"/>
        <v>433.62</v>
      </c>
      <c r="S358" s="492">
        <f t="shared" si="147"/>
        <v>2233.62</v>
      </c>
    </row>
    <row r="359" spans="2:19" ht="30" x14ac:dyDescent="0.25">
      <c r="B359" s="477" t="s">
        <v>470</v>
      </c>
      <c r="C359" s="478" t="s">
        <v>458</v>
      </c>
      <c r="D359" s="478" t="s">
        <v>49</v>
      </c>
      <c r="E359" s="478">
        <v>11</v>
      </c>
      <c r="F359" s="478">
        <v>3</v>
      </c>
      <c r="G359" s="487">
        <v>1382</v>
      </c>
      <c r="H359" s="500">
        <v>1000</v>
      </c>
      <c r="I359" s="479">
        <v>0</v>
      </c>
      <c r="J359" s="480">
        <v>1</v>
      </c>
      <c r="K359" s="488">
        <f t="shared" si="139"/>
        <v>1200</v>
      </c>
      <c r="L359" s="489">
        <f t="shared" si="140"/>
        <v>1200</v>
      </c>
      <c r="M359" s="490">
        <f t="shared" si="141"/>
        <v>0</v>
      </c>
      <c r="N359" s="401">
        <f t="shared" si="142"/>
        <v>0</v>
      </c>
      <c r="O359" s="401">
        <f t="shared" si="143"/>
        <v>200</v>
      </c>
      <c r="P359" s="401">
        <f t="shared" si="144"/>
        <v>200</v>
      </c>
      <c r="Q359" s="491">
        <f t="shared" si="145"/>
        <v>2400</v>
      </c>
      <c r="R359" s="491">
        <f t="shared" si="146"/>
        <v>578.16</v>
      </c>
      <c r="S359" s="492">
        <f t="shared" si="147"/>
        <v>2978.16</v>
      </c>
    </row>
    <row r="360" spans="2:19" ht="30" x14ac:dyDescent="0.25">
      <c r="B360" s="477" t="s">
        <v>471</v>
      </c>
      <c r="C360" s="478" t="s">
        <v>458</v>
      </c>
      <c r="D360" s="478" t="s">
        <v>164</v>
      </c>
      <c r="E360" s="478">
        <v>10</v>
      </c>
      <c r="F360" s="478">
        <v>3</v>
      </c>
      <c r="G360" s="487">
        <v>1287</v>
      </c>
      <c r="H360" s="500">
        <v>800</v>
      </c>
      <c r="I360" s="479">
        <v>0</v>
      </c>
      <c r="J360" s="480">
        <v>1</v>
      </c>
      <c r="K360" s="488">
        <f>ROUND(H360*1.2,0)</f>
        <v>960</v>
      </c>
      <c r="L360" s="489">
        <f>IF(K360&lt;=G360,K360,G360)</f>
        <v>960</v>
      </c>
      <c r="M360" s="490">
        <f t="shared" si="141"/>
        <v>0</v>
      </c>
      <c r="N360" s="401">
        <f t="shared" si="142"/>
        <v>0</v>
      </c>
      <c r="O360" s="401">
        <f t="shared" si="143"/>
        <v>160</v>
      </c>
      <c r="P360" s="401">
        <f t="shared" si="144"/>
        <v>160</v>
      </c>
      <c r="Q360" s="491">
        <f t="shared" si="145"/>
        <v>1920</v>
      </c>
      <c r="R360" s="491">
        <f t="shared" si="146"/>
        <v>462.52800000000002</v>
      </c>
      <c r="S360" s="492">
        <f t="shared" si="147"/>
        <v>2382.5280000000002</v>
      </c>
    </row>
    <row r="361" spans="2:19" ht="14.25" x14ac:dyDescent="0.25">
      <c r="B361" s="423" t="s">
        <v>472</v>
      </c>
      <c r="C361" s="424"/>
      <c r="D361" s="424"/>
      <c r="E361" s="424"/>
      <c r="F361" s="424"/>
      <c r="G361" s="425"/>
      <c r="H361" s="426"/>
      <c r="I361" s="427"/>
      <c r="J361" s="428">
        <f>SUM(J256:J360)</f>
        <v>140</v>
      </c>
      <c r="K361" s="501"/>
      <c r="L361" s="502"/>
      <c r="M361" s="503"/>
      <c r="N361" s="427"/>
      <c r="O361" s="502"/>
      <c r="P361" s="427"/>
      <c r="Q361" s="504">
        <f>SUM(Q256:Q360)</f>
        <v>272736</v>
      </c>
      <c r="R361" s="504">
        <f t="shared" ref="R361:S361" si="148">SUM(R256:R360)</f>
        <v>65702.102399999989</v>
      </c>
      <c r="S361" s="505">
        <f t="shared" si="148"/>
        <v>338438.1023999998</v>
      </c>
    </row>
    <row r="362" spans="2:19" ht="15" x14ac:dyDescent="0.25">
      <c r="B362" s="386" t="s">
        <v>10</v>
      </c>
      <c r="C362" s="429"/>
      <c r="D362" s="429"/>
      <c r="E362" s="429"/>
      <c r="F362" s="429"/>
      <c r="G362" s="430"/>
      <c r="H362" s="431"/>
      <c r="I362" s="387"/>
      <c r="J362" s="432"/>
      <c r="K362" s="506"/>
      <c r="L362" s="387"/>
      <c r="M362" s="507"/>
      <c r="N362" s="387"/>
      <c r="O362" s="387"/>
      <c r="P362" s="387"/>
      <c r="Q362" s="508"/>
      <c r="R362" s="508"/>
      <c r="S362" s="509"/>
    </row>
    <row r="363" spans="2:19" ht="30" x14ac:dyDescent="0.25">
      <c r="B363" s="477" t="s">
        <v>473</v>
      </c>
      <c r="C363" s="478" t="s">
        <v>458</v>
      </c>
      <c r="D363" s="478" t="s">
        <v>353</v>
      </c>
      <c r="E363" s="478">
        <v>14</v>
      </c>
      <c r="F363" s="478">
        <v>3</v>
      </c>
      <c r="G363" s="487">
        <v>2264</v>
      </c>
      <c r="H363" s="584">
        <v>1950</v>
      </c>
      <c r="I363" s="479">
        <v>0</v>
      </c>
      <c r="J363" s="480">
        <v>1</v>
      </c>
      <c r="K363" s="488">
        <f t="shared" ref="K363:K372" si="149">ROUND(H363*1.2,0)</f>
        <v>2340</v>
      </c>
      <c r="L363" s="489">
        <f t="shared" ref="L363:L374" si="150">IF(K363&lt;=G363,K363,G363)</f>
        <v>2264</v>
      </c>
      <c r="M363" s="510">
        <f>N363-I363</f>
        <v>0</v>
      </c>
      <c r="N363" s="401">
        <f>I363/H363*L363</f>
        <v>0</v>
      </c>
      <c r="O363" s="511">
        <f>L363-H363+M363</f>
        <v>314</v>
      </c>
      <c r="P363" s="401">
        <f>O363*J363</f>
        <v>314</v>
      </c>
      <c r="Q363" s="491">
        <f t="shared" ref="Q363:Q374" si="151">P363*12</f>
        <v>3768</v>
      </c>
      <c r="R363" s="491">
        <f t="shared" ref="R363:R374" si="152">Q363*0.2409</f>
        <v>907.71119999999996</v>
      </c>
      <c r="S363" s="492">
        <f t="shared" ref="S363:S374" si="153">Q363+R363</f>
        <v>4675.7111999999997</v>
      </c>
    </row>
    <row r="364" spans="2:19" ht="15" x14ac:dyDescent="0.25">
      <c r="B364" s="477" t="s">
        <v>311</v>
      </c>
      <c r="C364" s="478" t="s">
        <v>278</v>
      </c>
      <c r="D364" s="478" t="s">
        <v>45</v>
      </c>
      <c r="E364" s="478">
        <v>9</v>
      </c>
      <c r="F364" s="478">
        <v>3</v>
      </c>
      <c r="G364" s="487">
        <v>1190</v>
      </c>
      <c r="H364" s="584">
        <v>890</v>
      </c>
      <c r="I364" s="479">
        <v>0</v>
      </c>
      <c r="J364" s="480">
        <v>3</v>
      </c>
      <c r="K364" s="488">
        <f t="shared" si="149"/>
        <v>1068</v>
      </c>
      <c r="L364" s="489">
        <f t="shared" si="150"/>
        <v>1068</v>
      </c>
      <c r="M364" s="512">
        <f t="shared" ref="M364:M374" si="154">N364-I364</f>
        <v>0</v>
      </c>
      <c r="N364" s="489">
        <f t="shared" ref="N364:N374" si="155">I364/H364*L364</f>
        <v>0</v>
      </c>
      <c r="O364" s="489">
        <f t="shared" ref="O364:O374" si="156">L364-H364+M364</f>
        <v>178</v>
      </c>
      <c r="P364" s="489">
        <f t="shared" ref="P364:P374" si="157">O364*J364</f>
        <v>534</v>
      </c>
      <c r="Q364" s="491">
        <f t="shared" si="151"/>
        <v>6408</v>
      </c>
      <c r="R364" s="491">
        <f t="shared" si="152"/>
        <v>1543.6872000000001</v>
      </c>
      <c r="S364" s="492">
        <f t="shared" si="153"/>
        <v>7951.6872000000003</v>
      </c>
    </row>
    <row r="365" spans="2:19" ht="15" x14ac:dyDescent="0.25">
      <c r="B365" s="477" t="s">
        <v>311</v>
      </c>
      <c r="C365" s="478" t="s">
        <v>278</v>
      </c>
      <c r="D365" s="478" t="s">
        <v>45</v>
      </c>
      <c r="E365" s="478">
        <v>9</v>
      </c>
      <c r="F365" s="478">
        <v>3</v>
      </c>
      <c r="G365" s="487">
        <v>1190</v>
      </c>
      <c r="H365" s="584">
        <v>890</v>
      </c>
      <c r="I365" s="479">
        <v>0</v>
      </c>
      <c r="J365" s="480">
        <v>1</v>
      </c>
      <c r="K365" s="488">
        <f t="shared" si="149"/>
        <v>1068</v>
      </c>
      <c r="L365" s="489">
        <f t="shared" si="150"/>
        <v>1068</v>
      </c>
      <c r="M365" s="512">
        <f t="shared" si="154"/>
        <v>0</v>
      </c>
      <c r="N365" s="489">
        <f t="shared" si="155"/>
        <v>0</v>
      </c>
      <c r="O365" s="489">
        <f t="shared" si="156"/>
        <v>178</v>
      </c>
      <c r="P365" s="489">
        <f t="shared" si="157"/>
        <v>178</v>
      </c>
      <c r="Q365" s="491">
        <f t="shared" si="151"/>
        <v>2136</v>
      </c>
      <c r="R365" s="491">
        <f t="shared" si="152"/>
        <v>514.56240000000003</v>
      </c>
      <c r="S365" s="492">
        <f t="shared" si="153"/>
        <v>2650.5623999999998</v>
      </c>
    </row>
    <row r="366" spans="2:19" ht="15" x14ac:dyDescent="0.25">
      <c r="B366" s="477" t="s">
        <v>311</v>
      </c>
      <c r="C366" s="478" t="s">
        <v>278</v>
      </c>
      <c r="D366" s="478" t="s">
        <v>45</v>
      </c>
      <c r="E366" s="478">
        <v>9</v>
      </c>
      <c r="F366" s="478">
        <v>3</v>
      </c>
      <c r="G366" s="487">
        <v>1190</v>
      </c>
      <c r="H366" s="584">
        <v>890</v>
      </c>
      <c r="I366" s="479">
        <v>0</v>
      </c>
      <c r="J366" s="480">
        <v>1</v>
      </c>
      <c r="K366" s="488">
        <f t="shared" si="149"/>
        <v>1068</v>
      </c>
      <c r="L366" s="489">
        <f t="shared" si="150"/>
        <v>1068</v>
      </c>
      <c r="M366" s="512">
        <f t="shared" si="154"/>
        <v>0</v>
      </c>
      <c r="N366" s="489">
        <f t="shared" si="155"/>
        <v>0</v>
      </c>
      <c r="O366" s="489">
        <f t="shared" si="156"/>
        <v>178</v>
      </c>
      <c r="P366" s="489">
        <f t="shared" si="157"/>
        <v>178</v>
      </c>
      <c r="Q366" s="491">
        <f t="shared" si="151"/>
        <v>2136</v>
      </c>
      <c r="R366" s="491">
        <f t="shared" si="152"/>
        <v>514.56240000000003</v>
      </c>
      <c r="S366" s="492">
        <f t="shared" si="153"/>
        <v>2650.5623999999998</v>
      </c>
    </row>
    <row r="367" spans="2:19" ht="15" x14ac:dyDescent="0.25">
      <c r="B367" s="477" t="s">
        <v>311</v>
      </c>
      <c r="C367" s="478" t="s">
        <v>278</v>
      </c>
      <c r="D367" s="478" t="s">
        <v>45</v>
      </c>
      <c r="E367" s="478">
        <v>9</v>
      </c>
      <c r="F367" s="478">
        <v>3</v>
      </c>
      <c r="G367" s="487">
        <v>1190</v>
      </c>
      <c r="H367" s="584">
        <v>890</v>
      </c>
      <c r="I367" s="479">
        <v>0</v>
      </c>
      <c r="J367" s="480">
        <v>1</v>
      </c>
      <c r="K367" s="488">
        <f>ROUND(H367*1.2,0)</f>
        <v>1068</v>
      </c>
      <c r="L367" s="489">
        <f t="shared" si="150"/>
        <v>1068</v>
      </c>
      <c r="M367" s="512">
        <f t="shared" si="154"/>
        <v>0</v>
      </c>
      <c r="N367" s="489">
        <f t="shared" si="155"/>
        <v>0</v>
      </c>
      <c r="O367" s="489">
        <f t="shared" si="156"/>
        <v>178</v>
      </c>
      <c r="P367" s="489">
        <f t="shared" si="157"/>
        <v>178</v>
      </c>
      <c r="Q367" s="491">
        <f t="shared" si="151"/>
        <v>2136</v>
      </c>
      <c r="R367" s="491">
        <f t="shared" si="152"/>
        <v>514.56240000000003</v>
      </c>
      <c r="S367" s="492">
        <f t="shared" si="153"/>
        <v>2650.5623999999998</v>
      </c>
    </row>
    <row r="368" spans="2:19" ht="15" x14ac:dyDescent="0.25">
      <c r="B368" s="477" t="s">
        <v>311</v>
      </c>
      <c r="C368" s="478" t="s">
        <v>278</v>
      </c>
      <c r="D368" s="478" t="s">
        <v>45</v>
      </c>
      <c r="E368" s="478">
        <v>9</v>
      </c>
      <c r="F368" s="478">
        <v>3</v>
      </c>
      <c r="G368" s="487">
        <v>1190</v>
      </c>
      <c r="H368" s="584">
        <v>890</v>
      </c>
      <c r="I368" s="479">
        <v>0</v>
      </c>
      <c r="J368" s="480">
        <v>1</v>
      </c>
      <c r="K368" s="488">
        <f t="shared" si="149"/>
        <v>1068</v>
      </c>
      <c r="L368" s="489">
        <f t="shared" si="150"/>
        <v>1068</v>
      </c>
      <c r="M368" s="512">
        <f t="shared" si="154"/>
        <v>0</v>
      </c>
      <c r="N368" s="489">
        <f t="shared" si="155"/>
        <v>0</v>
      </c>
      <c r="O368" s="489">
        <f t="shared" si="156"/>
        <v>178</v>
      </c>
      <c r="P368" s="489">
        <f t="shared" si="157"/>
        <v>178</v>
      </c>
      <c r="Q368" s="491">
        <f t="shared" si="151"/>
        <v>2136</v>
      </c>
      <c r="R368" s="491">
        <f t="shared" si="152"/>
        <v>514.56240000000003</v>
      </c>
      <c r="S368" s="492">
        <f t="shared" si="153"/>
        <v>2650.5623999999998</v>
      </c>
    </row>
    <row r="369" spans="2:29" ht="15" x14ac:dyDescent="0.25">
      <c r="B369" s="477" t="s">
        <v>311</v>
      </c>
      <c r="C369" s="478" t="s">
        <v>278</v>
      </c>
      <c r="D369" s="478" t="s">
        <v>45</v>
      </c>
      <c r="E369" s="478">
        <v>9</v>
      </c>
      <c r="F369" s="478">
        <v>3</v>
      </c>
      <c r="G369" s="487">
        <v>1190</v>
      </c>
      <c r="H369" s="584">
        <v>890</v>
      </c>
      <c r="I369" s="479">
        <v>0</v>
      </c>
      <c r="J369" s="480">
        <v>1</v>
      </c>
      <c r="K369" s="488">
        <f t="shared" si="149"/>
        <v>1068</v>
      </c>
      <c r="L369" s="489">
        <f t="shared" si="150"/>
        <v>1068</v>
      </c>
      <c r="M369" s="512">
        <f t="shared" si="154"/>
        <v>0</v>
      </c>
      <c r="N369" s="489">
        <f t="shared" si="155"/>
        <v>0</v>
      </c>
      <c r="O369" s="489">
        <f t="shared" si="156"/>
        <v>178</v>
      </c>
      <c r="P369" s="489">
        <f t="shared" si="157"/>
        <v>178</v>
      </c>
      <c r="Q369" s="491">
        <f t="shared" si="151"/>
        <v>2136</v>
      </c>
      <c r="R369" s="491">
        <f t="shared" si="152"/>
        <v>514.56240000000003</v>
      </c>
      <c r="S369" s="492">
        <f t="shared" si="153"/>
        <v>2650.5623999999998</v>
      </c>
    </row>
    <row r="370" spans="2:29" ht="15" x14ac:dyDescent="0.25">
      <c r="B370" s="477" t="s">
        <v>311</v>
      </c>
      <c r="C370" s="478" t="s">
        <v>278</v>
      </c>
      <c r="D370" s="478" t="s">
        <v>45</v>
      </c>
      <c r="E370" s="478">
        <v>9</v>
      </c>
      <c r="F370" s="478">
        <v>3</v>
      </c>
      <c r="G370" s="487">
        <v>1190</v>
      </c>
      <c r="H370" s="584">
        <v>890</v>
      </c>
      <c r="I370" s="479">
        <v>0</v>
      </c>
      <c r="J370" s="480">
        <v>1</v>
      </c>
      <c r="K370" s="488">
        <f t="shared" si="149"/>
        <v>1068</v>
      </c>
      <c r="L370" s="489">
        <f t="shared" si="150"/>
        <v>1068</v>
      </c>
      <c r="M370" s="512">
        <f t="shared" si="154"/>
        <v>0</v>
      </c>
      <c r="N370" s="489">
        <f t="shared" si="155"/>
        <v>0</v>
      </c>
      <c r="O370" s="489">
        <f t="shared" si="156"/>
        <v>178</v>
      </c>
      <c r="P370" s="489">
        <f t="shared" si="157"/>
        <v>178</v>
      </c>
      <c r="Q370" s="491">
        <f t="shared" si="151"/>
        <v>2136</v>
      </c>
      <c r="R370" s="491">
        <f t="shared" si="152"/>
        <v>514.56240000000003</v>
      </c>
      <c r="S370" s="492">
        <f t="shared" si="153"/>
        <v>2650.5623999999998</v>
      </c>
    </row>
    <row r="371" spans="2:29" ht="15" x14ac:dyDescent="0.25">
      <c r="B371" s="477" t="s">
        <v>474</v>
      </c>
      <c r="C371" s="478" t="s">
        <v>278</v>
      </c>
      <c r="D371" s="478" t="s">
        <v>45</v>
      </c>
      <c r="E371" s="478">
        <v>9</v>
      </c>
      <c r="F371" s="478">
        <v>2</v>
      </c>
      <c r="G371" s="487">
        <v>1015</v>
      </c>
      <c r="H371" s="584">
        <v>760</v>
      </c>
      <c r="I371" s="479">
        <v>0</v>
      </c>
      <c r="J371" s="480">
        <v>1</v>
      </c>
      <c r="K371" s="488">
        <f t="shared" si="149"/>
        <v>912</v>
      </c>
      <c r="L371" s="489">
        <f t="shared" si="150"/>
        <v>912</v>
      </c>
      <c r="M371" s="512">
        <f t="shared" si="154"/>
        <v>0</v>
      </c>
      <c r="N371" s="489">
        <f t="shared" si="155"/>
        <v>0</v>
      </c>
      <c r="O371" s="489">
        <f t="shared" si="156"/>
        <v>152</v>
      </c>
      <c r="P371" s="489">
        <f t="shared" si="157"/>
        <v>152</v>
      </c>
      <c r="Q371" s="491">
        <f t="shared" si="151"/>
        <v>1824</v>
      </c>
      <c r="R371" s="491">
        <f t="shared" si="152"/>
        <v>439.40160000000003</v>
      </c>
      <c r="S371" s="492">
        <f t="shared" si="153"/>
        <v>2263.4016000000001</v>
      </c>
    </row>
    <row r="372" spans="2:29" ht="15" x14ac:dyDescent="0.25">
      <c r="B372" s="477" t="s">
        <v>474</v>
      </c>
      <c r="C372" s="478" t="s">
        <v>278</v>
      </c>
      <c r="D372" s="478" t="s">
        <v>45</v>
      </c>
      <c r="E372" s="478">
        <v>9</v>
      </c>
      <c r="F372" s="478">
        <v>2</v>
      </c>
      <c r="G372" s="487">
        <v>1015</v>
      </c>
      <c r="H372" s="584">
        <v>760</v>
      </c>
      <c r="I372" s="479">
        <v>0</v>
      </c>
      <c r="J372" s="480">
        <v>1</v>
      </c>
      <c r="K372" s="488">
        <f t="shared" si="149"/>
        <v>912</v>
      </c>
      <c r="L372" s="489">
        <f t="shared" si="150"/>
        <v>912</v>
      </c>
      <c r="M372" s="512">
        <f t="shared" si="154"/>
        <v>0</v>
      </c>
      <c r="N372" s="489">
        <f t="shared" si="155"/>
        <v>0</v>
      </c>
      <c r="O372" s="489">
        <f t="shared" si="156"/>
        <v>152</v>
      </c>
      <c r="P372" s="489">
        <f t="shared" si="157"/>
        <v>152</v>
      </c>
      <c r="Q372" s="491">
        <f t="shared" si="151"/>
        <v>1824</v>
      </c>
      <c r="R372" s="491">
        <f t="shared" si="152"/>
        <v>439.40160000000003</v>
      </c>
      <c r="S372" s="492">
        <f t="shared" si="153"/>
        <v>2263.4016000000001</v>
      </c>
    </row>
    <row r="373" spans="2:29" ht="15" x14ac:dyDescent="0.25">
      <c r="B373" s="477" t="s">
        <v>474</v>
      </c>
      <c r="C373" s="478" t="s">
        <v>278</v>
      </c>
      <c r="D373" s="478" t="s">
        <v>45</v>
      </c>
      <c r="E373" s="478">
        <v>9</v>
      </c>
      <c r="F373" s="478">
        <v>1</v>
      </c>
      <c r="G373" s="487">
        <v>835</v>
      </c>
      <c r="H373" s="584">
        <v>625</v>
      </c>
      <c r="I373" s="479">
        <v>0</v>
      </c>
      <c r="J373" s="480">
        <v>1</v>
      </c>
      <c r="K373" s="488">
        <f>ROUND(H373*1.2,0)</f>
        <v>750</v>
      </c>
      <c r="L373" s="489">
        <f t="shared" si="150"/>
        <v>750</v>
      </c>
      <c r="M373" s="512">
        <f t="shared" si="154"/>
        <v>0</v>
      </c>
      <c r="N373" s="489">
        <f t="shared" si="155"/>
        <v>0</v>
      </c>
      <c r="O373" s="489">
        <f t="shared" si="156"/>
        <v>125</v>
      </c>
      <c r="P373" s="489">
        <f t="shared" si="157"/>
        <v>125</v>
      </c>
      <c r="Q373" s="491">
        <f t="shared" si="151"/>
        <v>1500</v>
      </c>
      <c r="R373" s="491">
        <f t="shared" si="152"/>
        <v>361.35</v>
      </c>
      <c r="S373" s="492">
        <f t="shared" si="153"/>
        <v>1861.35</v>
      </c>
    </row>
    <row r="374" spans="2:29" ht="15" x14ac:dyDescent="0.25">
      <c r="B374" s="477" t="s">
        <v>475</v>
      </c>
      <c r="C374" s="478" t="s">
        <v>278</v>
      </c>
      <c r="D374" s="478" t="s">
        <v>476</v>
      </c>
      <c r="E374" s="478">
        <v>9</v>
      </c>
      <c r="F374" s="478">
        <v>3</v>
      </c>
      <c r="G374" s="487">
        <v>1190</v>
      </c>
      <c r="H374" s="584">
        <v>890</v>
      </c>
      <c r="I374" s="479">
        <v>0</v>
      </c>
      <c r="J374" s="480">
        <v>3</v>
      </c>
      <c r="K374" s="488">
        <f>ROUND(H374*1.2,0)</f>
        <v>1068</v>
      </c>
      <c r="L374" s="489">
        <f t="shared" si="150"/>
        <v>1068</v>
      </c>
      <c r="M374" s="512">
        <f t="shared" si="154"/>
        <v>0</v>
      </c>
      <c r="N374" s="489">
        <f t="shared" si="155"/>
        <v>0</v>
      </c>
      <c r="O374" s="489">
        <f t="shared" si="156"/>
        <v>178</v>
      </c>
      <c r="P374" s="489">
        <f t="shared" si="157"/>
        <v>534</v>
      </c>
      <c r="Q374" s="491">
        <f t="shared" si="151"/>
        <v>6408</v>
      </c>
      <c r="R374" s="491">
        <f t="shared" si="152"/>
        <v>1543.6872000000001</v>
      </c>
      <c r="S374" s="492">
        <f t="shared" si="153"/>
        <v>7951.6872000000003</v>
      </c>
    </row>
    <row r="375" spans="2:29" ht="14.25" x14ac:dyDescent="0.25">
      <c r="B375" s="423" t="s">
        <v>472</v>
      </c>
      <c r="C375" s="424"/>
      <c r="D375" s="424"/>
      <c r="E375" s="424"/>
      <c r="F375" s="424"/>
      <c r="G375" s="425"/>
      <c r="H375" s="426"/>
      <c r="I375" s="427"/>
      <c r="J375" s="428">
        <f>SUM(J363:J374)</f>
        <v>16</v>
      </c>
      <c r="K375" s="501"/>
      <c r="L375" s="502"/>
      <c r="M375" s="503"/>
      <c r="N375" s="427"/>
      <c r="O375" s="502"/>
      <c r="P375" s="427"/>
      <c r="Q375" s="504">
        <f>SUM(Q363:Q374)</f>
        <v>34548</v>
      </c>
      <c r="R375" s="504">
        <f t="shared" ref="R375" si="158">SUM(R363:R374)</f>
        <v>8322.6131999999998</v>
      </c>
      <c r="S375" s="505">
        <f>SUM(S363:S374)</f>
        <v>42870.613199999993</v>
      </c>
    </row>
    <row r="376" spans="2:29" ht="15" thickBot="1" x14ac:dyDescent="0.3">
      <c r="B376" s="513" t="s">
        <v>315</v>
      </c>
      <c r="C376" s="472"/>
      <c r="D376" s="472"/>
      <c r="E376" s="472"/>
      <c r="F376" s="472"/>
      <c r="G376" s="473"/>
      <c r="H376" s="474"/>
      <c r="I376" s="472"/>
      <c r="J376" s="476">
        <f>J361+J375</f>
        <v>156</v>
      </c>
      <c r="K376" s="514"/>
      <c r="L376" s="472"/>
      <c r="M376" s="472"/>
      <c r="N376" s="472"/>
      <c r="O376" s="472"/>
      <c r="P376" s="472"/>
      <c r="Q376" s="515">
        <f>Q375+Q361</f>
        <v>307284</v>
      </c>
      <c r="R376" s="515">
        <f>R375+R361</f>
        <v>74024.715599999996</v>
      </c>
      <c r="S376" s="516">
        <f>S375+S361</f>
        <v>381308.71559999976</v>
      </c>
    </row>
    <row r="377" spans="2:29" ht="15.75" thickBot="1" x14ac:dyDescent="0.3">
      <c r="B377" s="936" t="s">
        <v>477</v>
      </c>
      <c r="C377" s="937"/>
      <c r="D377" s="937"/>
      <c r="E377" s="937"/>
      <c r="F377" s="937"/>
      <c r="G377" s="937"/>
      <c r="H377" s="937"/>
      <c r="I377" s="937"/>
      <c r="J377" s="937"/>
      <c r="K377" s="937"/>
      <c r="L377" s="937"/>
      <c r="M377" s="937"/>
      <c r="N377" s="937"/>
      <c r="O377" s="937"/>
      <c r="P377" s="937"/>
      <c r="Q377" s="937"/>
      <c r="R377" s="937"/>
      <c r="S377" s="938"/>
    </row>
    <row r="378" spans="2:29" x14ac:dyDescent="0.25">
      <c r="B378" s="599" t="s">
        <v>20</v>
      </c>
      <c r="C378" s="553"/>
      <c r="D378" s="553"/>
      <c r="E378" s="553"/>
      <c r="F378" s="553"/>
      <c r="G378" s="615"/>
      <c r="H378" s="558"/>
      <c r="I378" s="553"/>
      <c r="J378" s="559"/>
      <c r="K378" s="616"/>
      <c r="L378" s="553"/>
      <c r="M378" s="617"/>
      <c r="N378" s="553"/>
      <c r="O378" s="553"/>
      <c r="P378" s="553"/>
      <c r="Q378" s="604"/>
      <c r="R378" s="604"/>
      <c r="S378" s="605"/>
    </row>
    <row r="379" spans="2:29" ht="25.5" x14ac:dyDescent="0.25">
      <c r="B379" s="633" t="s">
        <v>478</v>
      </c>
      <c r="C379" s="13">
        <v>35</v>
      </c>
      <c r="D379" s="13" t="s">
        <v>39</v>
      </c>
      <c r="E379" s="13">
        <v>12</v>
      </c>
      <c r="F379" s="634" t="s">
        <v>75</v>
      </c>
      <c r="G379" s="635">
        <v>1647</v>
      </c>
      <c r="H379" s="585">
        <v>1647</v>
      </c>
      <c r="I379" s="586">
        <v>0</v>
      </c>
      <c r="J379" s="563">
        <v>1</v>
      </c>
      <c r="K379" s="488">
        <f t="shared" ref="K379:K402" si="159">ROUND(H379*1.2,0)</f>
        <v>1976</v>
      </c>
      <c r="L379" s="489">
        <f t="shared" ref="L379:L402" si="160">IF(K379&lt;=G379,K379,G379)</f>
        <v>1647</v>
      </c>
      <c r="M379" s="512">
        <f t="shared" ref="M379:M402" si="161">N379-I379</f>
        <v>0</v>
      </c>
      <c r="N379" s="489">
        <f t="shared" ref="N379:N402" si="162">I379/H379*L379</f>
        <v>0</v>
      </c>
      <c r="O379" s="489">
        <f t="shared" ref="O379:O402" si="163">L379-H379+M379</f>
        <v>0</v>
      </c>
      <c r="P379" s="489">
        <f t="shared" ref="P379:P402" si="164">O379*J379</f>
        <v>0</v>
      </c>
      <c r="Q379" s="491">
        <f t="shared" ref="Q379:Q402" si="165">P379*12</f>
        <v>0</v>
      </c>
      <c r="R379" s="491">
        <f t="shared" ref="R379:R402" si="166">Q379*0.2409</f>
        <v>0</v>
      </c>
      <c r="S379" s="492">
        <f t="shared" ref="S379:S402" si="167">Q379+R379</f>
        <v>0</v>
      </c>
    </row>
    <row r="380" spans="2:29" ht="25.5" x14ac:dyDescent="0.25">
      <c r="B380" s="633" t="s">
        <v>479</v>
      </c>
      <c r="C380" s="13">
        <v>35</v>
      </c>
      <c r="D380" s="13" t="s">
        <v>35</v>
      </c>
      <c r="E380" s="13">
        <v>11</v>
      </c>
      <c r="F380" s="634" t="s">
        <v>75</v>
      </c>
      <c r="G380" s="635">
        <v>1382</v>
      </c>
      <c r="H380" s="585">
        <v>1382</v>
      </c>
      <c r="I380" s="586">
        <v>0</v>
      </c>
      <c r="J380" s="563">
        <v>1</v>
      </c>
      <c r="K380" s="488">
        <f t="shared" si="159"/>
        <v>1658</v>
      </c>
      <c r="L380" s="489">
        <f t="shared" si="160"/>
        <v>1382</v>
      </c>
      <c r="M380" s="512">
        <f t="shared" si="161"/>
        <v>0</v>
      </c>
      <c r="N380" s="489">
        <f t="shared" si="162"/>
        <v>0</v>
      </c>
      <c r="O380" s="489">
        <f t="shared" si="163"/>
        <v>0</v>
      </c>
      <c r="P380" s="489">
        <f t="shared" si="164"/>
        <v>0</v>
      </c>
      <c r="Q380" s="491">
        <f t="shared" si="165"/>
        <v>0</v>
      </c>
      <c r="R380" s="491">
        <f t="shared" si="166"/>
        <v>0</v>
      </c>
      <c r="S380" s="492">
        <f t="shared" si="167"/>
        <v>0</v>
      </c>
    </row>
    <row r="381" spans="2:29" ht="38.25" x14ac:dyDescent="0.25">
      <c r="B381" s="633" t="s">
        <v>480</v>
      </c>
      <c r="C381" s="13">
        <v>35</v>
      </c>
      <c r="D381" s="13" t="s">
        <v>35</v>
      </c>
      <c r="E381" s="13">
        <v>11</v>
      </c>
      <c r="F381" s="634" t="s">
        <v>75</v>
      </c>
      <c r="G381" s="635">
        <v>1382</v>
      </c>
      <c r="H381" s="585">
        <v>1362</v>
      </c>
      <c r="I381" s="586">
        <v>0</v>
      </c>
      <c r="J381" s="563">
        <v>1</v>
      </c>
      <c r="K381" s="488">
        <f t="shared" si="159"/>
        <v>1634</v>
      </c>
      <c r="L381" s="489">
        <f t="shared" si="160"/>
        <v>1382</v>
      </c>
      <c r="M381" s="512">
        <f t="shared" si="161"/>
        <v>0</v>
      </c>
      <c r="N381" s="489">
        <f t="shared" si="162"/>
        <v>0</v>
      </c>
      <c r="O381" s="489">
        <f t="shared" si="163"/>
        <v>20</v>
      </c>
      <c r="P381" s="489">
        <f t="shared" si="164"/>
        <v>20</v>
      </c>
      <c r="Q381" s="491">
        <f t="shared" si="165"/>
        <v>240</v>
      </c>
      <c r="R381" s="491">
        <f t="shared" si="166"/>
        <v>57.816000000000003</v>
      </c>
      <c r="S381" s="492">
        <f t="shared" si="167"/>
        <v>297.81600000000003</v>
      </c>
    </row>
    <row r="382" spans="2:29" ht="15.75" customHeight="1" x14ac:dyDescent="0.25">
      <c r="B382" s="633" t="s">
        <v>481</v>
      </c>
      <c r="C382" s="13">
        <v>35</v>
      </c>
      <c r="D382" s="13" t="s">
        <v>14</v>
      </c>
      <c r="E382" s="13">
        <v>10</v>
      </c>
      <c r="F382" s="634" t="s">
        <v>75</v>
      </c>
      <c r="G382" s="635">
        <v>1287</v>
      </c>
      <c r="H382" s="585">
        <v>994</v>
      </c>
      <c r="I382" s="586">
        <v>0</v>
      </c>
      <c r="J382" s="563">
        <v>2</v>
      </c>
      <c r="K382" s="488">
        <f>ROUND(H382*1.2,0)</f>
        <v>1193</v>
      </c>
      <c r="L382" s="489">
        <f t="shared" si="160"/>
        <v>1193</v>
      </c>
      <c r="M382" s="512">
        <f t="shared" si="161"/>
        <v>0</v>
      </c>
      <c r="N382" s="489">
        <f t="shared" si="162"/>
        <v>0</v>
      </c>
      <c r="O382" s="489">
        <f t="shared" si="163"/>
        <v>199</v>
      </c>
      <c r="P382" s="489">
        <f t="shared" si="164"/>
        <v>398</v>
      </c>
      <c r="Q382" s="491">
        <f t="shared" si="165"/>
        <v>4776</v>
      </c>
      <c r="R382" s="491">
        <f t="shared" si="166"/>
        <v>1150.5383999999999</v>
      </c>
      <c r="S382" s="492">
        <f t="shared" si="167"/>
        <v>5926.5383999999995</v>
      </c>
      <c r="U382" s="748"/>
      <c r="V382" s="748"/>
      <c r="W382" s="748"/>
      <c r="X382" s="748"/>
      <c r="Y382" s="748"/>
      <c r="Z382" s="934"/>
      <c r="AA382" s="934"/>
      <c r="AB382" s="934"/>
      <c r="AC382" s="934"/>
    </row>
    <row r="383" spans="2:29" ht="15" customHeight="1" x14ac:dyDescent="0.25">
      <c r="B383" s="633" t="s">
        <v>482</v>
      </c>
      <c r="C383" s="13">
        <v>35</v>
      </c>
      <c r="D383" s="13" t="s">
        <v>45</v>
      </c>
      <c r="E383" s="13">
        <v>9</v>
      </c>
      <c r="F383" s="634" t="s">
        <v>75</v>
      </c>
      <c r="G383" s="635">
        <v>1190</v>
      </c>
      <c r="H383" s="585">
        <v>1190</v>
      </c>
      <c r="I383" s="587">
        <v>0</v>
      </c>
      <c r="J383" s="563">
        <v>2</v>
      </c>
      <c r="K383" s="488">
        <f t="shared" si="159"/>
        <v>1428</v>
      </c>
      <c r="L383" s="489">
        <f t="shared" si="160"/>
        <v>1190</v>
      </c>
      <c r="M383" s="512">
        <f t="shared" si="161"/>
        <v>0</v>
      </c>
      <c r="N383" s="489">
        <f t="shared" si="162"/>
        <v>0</v>
      </c>
      <c r="O383" s="489">
        <f t="shared" si="163"/>
        <v>0</v>
      </c>
      <c r="P383" s="489">
        <f t="shared" si="164"/>
        <v>0</v>
      </c>
      <c r="Q383" s="491">
        <f t="shared" si="165"/>
        <v>0</v>
      </c>
      <c r="R383" s="491">
        <f t="shared" si="166"/>
        <v>0</v>
      </c>
      <c r="S383" s="492">
        <f t="shared" si="167"/>
        <v>0</v>
      </c>
      <c r="U383" s="748"/>
      <c r="V383" s="748"/>
      <c r="W383" s="748"/>
      <c r="X383" s="748"/>
      <c r="Y383" s="748"/>
      <c r="Z383" s="935"/>
      <c r="AA383" s="935"/>
      <c r="AB383" s="935"/>
      <c r="AC383" s="935"/>
    </row>
    <row r="384" spans="2:29" ht="15" customHeight="1" x14ac:dyDescent="0.25">
      <c r="B384" s="633" t="s">
        <v>482</v>
      </c>
      <c r="C384" s="13">
        <v>35</v>
      </c>
      <c r="D384" s="13" t="s">
        <v>45</v>
      </c>
      <c r="E384" s="13">
        <v>9</v>
      </c>
      <c r="F384" s="634" t="s">
        <v>75</v>
      </c>
      <c r="G384" s="635">
        <v>1190</v>
      </c>
      <c r="H384" s="585">
        <v>994</v>
      </c>
      <c r="I384" s="587">
        <v>0</v>
      </c>
      <c r="J384" s="563">
        <v>3</v>
      </c>
      <c r="K384" s="488">
        <f t="shared" si="159"/>
        <v>1193</v>
      </c>
      <c r="L384" s="489">
        <f t="shared" si="160"/>
        <v>1190</v>
      </c>
      <c r="M384" s="512">
        <f t="shared" si="161"/>
        <v>0</v>
      </c>
      <c r="N384" s="489">
        <f t="shared" si="162"/>
        <v>0</v>
      </c>
      <c r="O384" s="489">
        <f t="shared" si="163"/>
        <v>196</v>
      </c>
      <c r="P384" s="489">
        <f t="shared" si="164"/>
        <v>588</v>
      </c>
      <c r="Q384" s="491">
        <f t="shared" si="165"/>
        <v>7056</v>
      </c>
      <c r="R384" s="491">
        <f t="shared" si="166"/>
        <v>1699.7904000000001</v>
      </c>
      <c r="S384" s="492">
        <f t="shared" si="167"/>
        <v>8755.7903999999999</v>
      </c>
      <c r="U384" s="748"/>
      <c r="V384" s="748"/>
      <c r="W384" s="748"/>
      <c r="X384" s="748"/>
      <c r="Y384" s="748"/>
      <c r="Z384" s="935"/>
      <c r="AA384" s="935"/>
      <c r="AB384" s="935"/>
      <c r="AC384" s="935"/>
    </row>
    <row r="385" spans="2:29" ht="30.75" customHeight="1" x14ac:dyDescent="0.25">
      <c r="B385" s="633" t="s">
        <v>482</v>
      </c>
      <c r="C385" s="13">
        <v>35</v>
      </c>
      <c r="D385" s="13" t="s">
        <v>45</v>
      </c>
      <c r="E385" s="13">
        <v>9</v>
      </c>
      <c r="F385" s="634" t="s">
        <v>75</v>
      </c>
      <c r="G385" s="635">
        <v>1190</v>
      </c>
      <c r="H385" s="585">
        <v>950</v>
      </c>
      <c r="I385" s="587">
        <v>0</v>
      </c>
      <c r="J385" s="563">
        <v>2</v>
      </c>
      <c r="K385" s="488">
        <f t="shared" si="159"/>
        <v>1140</v>
      </c>
      <c r="L385" s="489">
        <f t="shared" si="160"/>
        <v>1140</v>
      </c>
      <c r="M385" s="512">
        <f t="shared" si="161"/>
        <v>0</v>
      </c>
      <c r="N385" s="489">
        <f t="shared" si="162"/>
        <v>0</v>
      </c>
      <c r="O385" s="489">
        <f t="shared" si="163"/>
        <v>190</v>
      </c>
      <c r="P385" s="489">
        <f t="shared" si="164"/>
        <v>380</v>
      </c>
      <c r="Q385" s="491">
        <f t="shared" si="165"/>
        <v>4560</v>
      </c>
      <c r="R385" s="491">
        <f t="shared" si="166"/>
        <v>1098.5039999999999</v>
      </c>
      <c r="S385" s="492">
        <f t="shared" si="167"/>
        <v>5658.5039999999999</v>
      </c>
      <c r="U385" s="748"/>
      <c r="V385" s="748"/>
      <c r="W385" s="748"/>
      <c r="X385" s="748"/>
      <c r="Y385" s="748"/>
      <c r="Z385" s="935"/>
      <c r="AA385" s="935"/>
      <c r="AB385" s="935"/>
      <c r="AC385" s="935"/>
    </row>
    <row r="386" spans="2:29" ht="15" customHeight="1" x14ac:dyDescent="0.25">
      <c r="B386" s="633" t="s">
        <v>482</v>
      </c>
      <c r="C386" s="13">
        <v>35</v>
      </c>
      <c r="D386" s="13" t="s">
        <v>45</v>
      </c>
      <c r="E386" s="13">
        <v>9</v>
      </c>
      <c r="F386" s="634" t="s">
        <v>75</v>
      </c>
      <c r="G386" s="635">
        <v>1190</v>
      </c>
      <c r="H386" s="585">
        <v>800</v>
      </c>
      <c r="I386" s="587">
        <v>0</v>
      </c>
      <c r="J386" s="563">
        <v>1</v>
      </c>
      <c r="K386" s="488">
        <f t="shared" si="159"/>
        <v>960</v>
      </c>
      <c r="L386" s="489">
        <f t="shared" si="160"/>
        <v>960</v>
      </c>
      <c r="M386" s="512">
        <f t="shared" si="161"/>
        <v>0</v>
      </c>
      <c r="N386" s="489">
        <f t="shared" si="162"/>
        <v>0</v>
      </c>
      <c r="O386" s="489">
        <f t="shared" si="163"/>
        <v>160</v>
      </c>
      <c r="P386" s="489">
        <f t="shared" si="164"/>
        <v>160</v>
      </c>
      <c r="Q386" s="491">
        <f t="shared" si="165"/>
        <v>1920</v>
      </c>
      <c r="R386" s="491">
        <f t="shared" si="166"/>
        <v>462.52800000000002</v>
      </c>
      <c r="S386" s="492">
        <f t="shared" si="167"/>
        <v>2382.5280000000002</v>
      </c>
      <c r="U386" s="748"/>
      <c r="V386" s="748"/>
      <c r="W386" s="748"/>
      <c r="X386" s="748"/>
      <c r="Y386" s="748"/>
    </row>
    <row r="387" spans="2:29" ht="15" customHeight="1" x14ac:dyDescent="0.25">
      <c r="B387" s="633" t="s">
        <v>466</v>
      </c>
      <c r="C387" s="13">
        <v>18.600000000000001</v>
      </c>
      <c r="D387" s="13" t="s">
        <v>483</v>
      </c>
      <c r="E387" s="13">
        <v>9</v>
      </c>
      <c r="F387" s="636" t="s">
        <v>75</v>
      </c>
      <c r="G387" s="635">
        <v>1190</v>
      </c>
      <c r="H387" s="585">
        <v>994</v>
      </c>
      <c r="I387" s="587">
        <v>0</v>
      </c>
      <c r="J387" s="563">
        <v>3</v>
      </c>
      <c r="K387" s="488">
        <f t="shared" si="159"/>
        <v>1193</v>
      </c>
      <c r="L387" s="489">
        <f t="shared" si="160"/>
        <v>1190</v>
      </c>
      <c r="M387" s="512">
        <f t="shared" si="161"/>
        <v>0</v>
      </c>
      <c r="N387" s="489">
        <f t="shared" si="162"/>
        <v>0</v>
      </c>
      <c r="O387" s="489">
        <f t="shared" si="163"/>
        <v>196</v>
      </c>
      <c r="P387" s="489">
        <f t="shared" si="164"/>
        <v>588</v>
      </c>
      <c r="Q387" s="491">
        <f t="shared" si="165"/>
        <v>7056</v>
      </c>
      <c r="R387" s="491">
        <f t="shared" si="166"/>
        <v>1699.7904000000001</v>
      </c>
      <c r="S387" s="492">
        <f t="shared" si="167"/>
        <v>8755.7903999999999</v>
      </c>
      <c r="U387" s="748"/>
      <c r="V387" s="748"/>
      <c r="W387" s="748"/>
      <c r="X387" s="748"/>
      <c r="Y387" s="748"/>
    </row>
    <row r="388" spans="2:29" ht="76.5" customHeight="1" x14ac:dyDescent="0.25">
      <c r="B388" s="633" t="s">
        <v>466</v>
      </c>
      <c r="C388" s="13">
        <v>18.600000000000001</v>
      </c>
      <c r="D388" s="13" t="s">
        <v>483</v>
      </c>
      <c r="E388" s="13">
        <v>9</v>
      </c>
      <c r="F388" s="636" t="s">
        <v>79</v>
      </c>
      <c r="G388" s="635">
        <v>1015</v>
      </c>
      <c r="H388" s="585">
        <v>950</v>
      </c>
      <c r="I388" s="587">
        <v>0</v>
      </c>
      <c r="J388" s="563">
        <v>1</v>
      </c>
      <c r="K388" s="488">
        <f t="shared" si="159"/>
        <v>1140</v>
      </c>
      <c r="L388" s="489">
        <f t="shared" si="160"/>
        <v>1015</v>
      </c>
      <c r="M388" s="512">
        <f t="shared" si="161"/>
        <v>0</v>
      </c>
      <c r="N388" s="489">
        <f t="shared" si="162"/>
        <v>0</v>
      </c>
      <c r="O388" s="489">
        <f t="shared" si="163"/>
        <v>65</v>
      </c>
      <c r="P388" s="489">
        <f t="shared" si="164"/>
        <v>65</v>
      </c>
      <c r="Q388" s="491">
        <f t="shared" si="165"/>
        <v>780</v>
      </c>
      <c r="R388" s="491">
        <f t="shared" si="166"/>
        <v>187.90200000000002</v>
      </c>
      <c r="S388" s="492">
        <f t="shared" si="167"/>
        <v>967.90200000000004</v>
      </c>
      <c r="U388" s="748"/>
      <c r="V388" s="748"/>
      <c r="W388" s="748"/>
      <c r="X388" s="748"/>
      <c r="Y388" s="748"/>
    </row>
    <row r="389" spans="2:29" ht="15" x14ac:dyDescent="0.25">
      <c r="B389" s="633" t="s">
        <v>484</v>
      </c>
      <c r="C389" s="13">
        <v>35</v>
      </c>
      <c r="D389" s="13" t="s">
        <v>45</v>
      </c>
      <c r="E389" s="13">
        <v>9</v>
      </c>
      <c r="F389" s="636" t="s">
        <v>75</v>
      </c>
      <c r="G389" s="635">
        <v>1190</v>
      </c>
      <c r="H389" s="585">
        <v>826</v>
      </c>
      <c r="I389" s="587">
        <v>0</v>
      </c>
      <c r="J389" s="563">
        <v>1</v>
      </c>
      <c r="K389" s="488">
        <f t="shared" si="159"/>
        <v>991</v>
      </c>
      <c r="L389" s="489">
        <f t="shared" si="160"/>
        <v>991</v>
      </c>
      <c r="M389" s="512">
        <f t="shared" si="161"/>
        <v>0</v>
      </c>
      <c r="N389" s="489">
        <f t="shared" si="162"/>
        <v>0</v>
      </c>
      <c r="O389" s="489">
        <f t="shared" si="163"/>
        <v>165</v>
      </c>
      <c r="P389" s="489">
        <f t="shared" si="164"/>
        <v>165</v>
      </c>
      <c r="Q389" s="491">
        <f t="shared" si="165"/>
        <v>1980</v>
      </c>
      <c r="R389" s="491">
        <f t="shared" si="166"/>
        <v>476.98200000000003</v>
      </c>
      <c r="S389" s="492">
        <f t="shared" si="167"/>
        <v>2456.982</v>
      </c>
    </row>
    <row r="390" spans="2:29" ht="15" x14ac:dyDescent="0.25">
      <c r="B390" s="633" t="s">
        <v>485</v>
      </c>
      <c r="C390" s="13">
        <v>35</v>
      </c>
      <c r="D390" s="13" t="s">
        <v>313</v>
      </c>
      <c r="E390" s="13">
        <v>7</v>
      </c>
      <c r="F390" s="636" t="s">
        <v>75</v>
      </c>
      <c r="G390" s="635">
        <v>996</v>
      </c>
      <c r="H390" s="585">
        <v>680</v>
      </c>
      <c r="I390" s="587">
        <v>0</v>
      </c>
      <c r="J390" s="563">
        <v>0.25</v>
      </c>
      <c r="K390" s="488">
        <f t="shared" si="159"/>
        <v>816</v>
      </c>
      <c r="L390" s="489">
        <f t="shared" si="160"/>
        <v>816</v>
      </c>
      <c r="M390" s="512">
        <f t="shared" si="161"/>
        <v>0</v>
      </c>
      <c r="N390" s="489">
        <f t="shared" si="162"/>
        <v>0</v>
      </c>
      <c r="O390" s="489">
        <f t="shared" si="163"/>
        <v>136</v>
      </c>
      <c r="P390" s="489">
        <f t="shared" si="164"/>
        <v>34</v>
      </c>
      <c r="Q390" s="491">
        <f t="shared" si="165"/>
        <v>408</v>
      </c>
      <c r="R390" s="491">
        <f t="shared" si="166"/>
        <v>98.287199999999999</v>
      </c>
      <c r="S390" s="492">
        <f t="shared" si="167"/>
        <v>506.28719999999998</v>
      </c>
    </row>
    <row r="391" spans="2:29" ht="15" x14ac:dyDescent="0.25">
      <c r="B391" s="633" t="s">
        <v>486</v>
      </c>
      <c r="C391" s="13">
        <v>18.600000000000001</v>
      </c>
      <c r="D391" s="13" t="s">
        <v>47</v>
      </c>
      <c r="E391" s="13">
        <v>6</v>
      </c>
      <c r="F391" s="636" t="s">
        <v>75</v>
      </c>
      <c r="G391" s="635">
        <v>899</v>
      </c>
      <c r="H391" s="585">
        <v>720</v>
      </c>
      <c r="I391" s="587">
        <v>0</v>
      </c>
      <c r="J391" s="563">
        <v>1</v>
      </c>
      <c r="K391" s="488">
        <f t="shared" si="159"/>
        <v>864</v>
      </c>
      <c r="L391" s="489">
        <f t="shared" si="160"/>
        <v>864</v>
      </c>
      <c r="M391" s="512">
        <f t="shared" si="161"/>
        <v>0</v>
      </c>
      <c r="N391" s="489">
        <f t="shared" si="162"/>
        <v>0</v>
      </c>
      <c r="O391" s="489">
        <f t="shared" si="163"/>
        <v>144</v>
      </c>
      <c r="P391" s="489">
        <f t="shared" si="164"/>
        <v>144</v>
      </c>
      <c r="Q391" s="491">
        <f t="shared" si="165"/>
        <v>1728</v>
      </c>
      <c r="R391" s="491">
        <f t="shared" si="166"/>
        <v>416.27519999999998</v>
      </c>
      <c r="S391" s="492">
        <f t="shared" si="167"/>
        <v>2144.2752</v>
      </c>
    </row>
    <row r="392" spans="2:29" ht="15" x14ac:dyDescent="0.25">
      <c r="B392" s="633" t="s">
        <v>482</v>
      </c>
      <c r="C392" s="13">
        <v>35</v>
      </c>
      <c r="D392" s="13" t="s">
        <v>45</v>
      </c>
      <c r="E392" s="13">
        <v>9</v>
      </c>
      <c r="F392" s="636" t="s">
        <v>75</v>
      </c>
      <c r="G392" s="635">
        <v>1190</v>
      </c>
      <c r="H392" s="585">
        <v>950</v>
      </c>
      <c r="I392" s="587">
        <v>0</v>
      </c>
      <c r="J392" s="563">
        <v>6</v>
      </c>
      <c r="K392" s="488">
        <f t="shared" si="159"/>
        <v>1140</v>
      </c>
      <c r="L392" s="489">
        <f t="shared" si="160"/>
        <v>1140</v>
      </c>
      <c r="M392" s="512">
        <f t="shared" si="161"/>
        <v>0</v>
      </c>
      <c r="N392" s="489">
        <f t="shared" si="162"/>
        <v>0</v>
      </c>
      <c r="O392" s="489">
        <f t="shared" si="163"/>
        <v>190</v>
      </c>
      <c r="P392" s="489">
        <f t="shared" si="164"/>
        <v>1140</v>
      </c>
      <c r="Q392" s="491">
        <f t="shared" si="165"/>
        <v>13680</v>
      </c>
      <c r="R392" s="491">
        <f t="shared" si="166"/>
        <v>3295.5120000000002</v>
      </c>
      <c r="S392" s="492">
        <f t="shared" si="167"/>
        <v>16975.511999999999</v>
      </c>
    </row>
    <row r="393" spans="2:29" ht="15" x14ac:dyDescent="0.25">
      <c r="B393" s="633" t="s">
        <v>482</v>
      </c>
      <c r="C393" s="13">
        <v>35</v>
      </c>
      <c r="D393" s="13" t="s">
        <v>45</v>
      </c>
      <c r="E393" s="13">
        <v>9</v>
      </c>
      <c r="F393" s="636" t="s">
        <v>75</v>
      </c>
      <c r="G393" s="635">
        <v>1190</v>
      </c>
      <c r="H393" s="585">
        <v>930</v>
      </c>
      <c r="I393" s="587">
        <v>0</v>
      </c>
      <c r="J393" s="563">
        <v>5</v>
      </c>
      <c r="K393" s="488">
        <f t="shared" si="159"/>
        <v>1116</v>
      </c>
      <c r="L393" s="489">
        <f t="shared" si="160"/>
        <v>1116</v>
      </c>
      <c r="M393" s="512">
        <f t="shared" si="161"/>
        <v>0</v>
      </c>
      <c r="N393" s="489">
        <f t="shared" si="162"/>
        <v>0</v>
      </c>
      <c r="O393" s="489">
        <f t="shared" si="163"/>
        <v>186</v>
      </c>
      <c r="P393" s="489">
        <f t="shared" si="164"/>
        <v>930</v>
      </c>
      <c r="Q393" s="491">
        <f t="shared" si="165"/>
        <v>11160</v>
      </c>
      <c r="R393" s="491">
        <f t="shared" si="166"/>
        <v>2688.444</v>
      </c>
      <c r="S393" s="492">
        <f t="shared" si="167"/>
        <v>13848.444</v>
      </c>
    </row>
    <row r="394" spans="2:29" ht="15" x14ac:dyDescent="0.25">
      <c r="B394" s="633" t="s">
        <v>482</v>
      </c>
      <c r="C394" s="13">
        <v>35</v>
      </c>
      <c r="D394" s="13" t="s">
        <v>45</v>
      </c>
      <c r="E394" s="13">
        <v>9</v>
      </c>
      <c r="F394" s="636" t="s">
        <v>79</v>
      </c>
      <c r="G394" s="635">
        <v>1015</v>
      </c>
      <c r="H394" s="585">
        <v>800</v>
      </c>
      <c r="I394" s="587">
        <v>0</v>
      </c>
      <c r="J394" s="563">
        <v>1</v>
      </c>
      <c r="K394" s="488">
        <f t="shared" si="159"/>
        <v>960</v>
      </c>
      <c r="L394" s="489">
        <f t="shared" si="160"/>
        <v>960</v>
      </c>
      <c r="M394" s="512">
        <f t="shared" si="161"/>
        <v>0</v>
      </c>
      <c r="N394" s="489">
        <f t="shared" si="162"/>
        <v>0</v>
      </c>
      <c r="O394" s="489">
        <f t="shared" si="163"/>
        <v>160</v>
      </c>
      <c r="P394" s="489">
        <f t="shared" si="164"/>
        <v>160</v>
      </c>
      <c r="Q394" s="491">
        <f t="shared" si="165"/>
        <v>1920</v>
      </c>
      <c r="R394" s="491">
        <f t="shared" si="166"/>
        <v>462.52800000000002</v>
      </c>
      <c r="S394" s="492">
        <f t="shared" si="167"/>
        <v>2382.5280000000002</v>
      </c>
    </row>
    <row r="395" spans="2:29" ht="15" x14ac:dyDescent="0.25">
      <c r="B395" s="633" t="s">
        <v>484</v>
      </c>
      <c r="C395" s="13">
        <v>35</v>
      </c>
      <c r="D395" s="13" t="s">
        <v>313</v>
      </c>
      <c r="E395" s="13">
        <v>7</v>
      </c>
      <c r="F395" s="636" t="s">
        <v>75</v>
      </c>
      <c r="G395" s="635">
        <v>996</v>
      </c>
      <c r="H395" s="585">
        <v>720</v>
      </c>
      <c r="I395" s="587">
        <v>0</v>
      </c>
      <c r="J395" s="563">
        <v>11</v>
      </c>
      <c r="K395" s="488">
        <f t="shared" si="159"/>
        <v>864</v>
      </c>
      <c r="L395" s="489">
        <f t="shared" si="160"/>
        <v>864</v>
      </c>
      <c r="M395" s="512">
        <f t="shared" si="161"/>
        <v>0</v>
      </c>
      <c r="N395" s="489">
        <f t="shared" si="162"/>
        <v>0</v>
      </c>
      <c r="O395" s="489">
        <f t="shared" si="163"/>
        <v>144</v>
      </c>
      <c r="P395" s="489">
        <f t="shared" si="164"/>
        <v>1584</v>
      </c>
      <c r="Q395" s="491">
        <f t="shared" si="165"/>
        <v>19008</v>
      </c>
      <c r="R395" s="491">
        <f t="shared" si="166"/>
        <v>4579.0272000000004</v>
      </c>
      <c r="S395" s="492">
        <f t="shared" si="167"/>
        <v>23587.0272</v>
      </c>
    </row>
    <row r="396" spans="2:29" ht="15" x14ac:dyDescent="0.25">
      <c r="B396" s="633" t="s">
        <v>484</v>
      </c>
      <c r="C396" s="13">
        <v>35</v>
      </c>
      <c r="D396" s="13" t="s">
        <v>313</v>
      </c>
      <c r="E396" s="13">
        <v>7</v>
      </c>
      <c r="F396" s="636" t="s">
        <v>79</v>
      </c>
      <c r="G396" s="635">
        <v>835</v>
      </c>
      <c r="H396" s="585">
        <v>675</v>
      </c>
      <c r="I396" s="587">
        <v>0</v>
      </c>
      <c r="J396" s="563">
        <v>1</v>
      </c>
      <c r="K396" s="488">
        <f t="shared" si="159"/>
        <v>810</v>
      </c>
      <c r="L396" s="489">
        <f t="shared" si="160"/>
        <v>810</v>
      </c>
      <c r="M396" s="512">
        <f t="shared" si="161"/>
        <v>0</v>
      </c>
      <c r="N396" s="489">
        <f t="shared" si="162"/>
        <v>0</v>
      </c>
      <c r="O396" s="489">
        <f t="shared" si="163"/>
        <v>135</v>
      </c>
      <c r="P396" s="489">
        <f t="shared" si="164"/>
        <v>135</v>
      </c>
      <c r="Q396" s="491">
        <f t="shared" si="165"/>
        <v>1620</v>
      </c>
      <c r="R396" s="491">
        <f t="shared" si="166"/>
        <v>390.25799999999998</v>
      </c>
      <c r="S396" s="492">
        <f t="shared" si="167"/>
        <v>2010.258</v>
      </c>
    </row>
    <row r="397" spans="2:29" ht="15" x14ac:dyDescent="0.25">
      <c r="B397" s="633" t="s">
        <v>487</v>
      </c>
      <c r="C397" s="13">
        <v>35</v>
      </c>
      <c r="D397" s="13" t="s">
        <v>45</v>
      </c>
      <c r="E397" s="13">
        <v>9</v>
      </c>
      <c r="F397" s="636" t="s">
        <v>75</v>
      </c>
      <c r="G397" s="635">
        <v>1190</v>
      </c>
      <c r="H397" s="585">
        <v>890</v>
      </c>
      <c r="I397" s="587">
        <v>0</v>
      </c>
      <c r="J397" s="563">
        <v>7</v>
      </c>
      <c r="K397" s="488">
        <f t="shared" si="159"/>
        <v>1068</v>
      </c>
      <c r="L397" s="489">
        <f t="shared" si="160"/>
        <v>1068</v>
      </c>
      <c r="M397" s="512">
        <f t="shared" si="161"/>
        <v>0</v>
      </c>
      <c r="N397" s="489">
        <f t="shared" si="162"/>
        <v>0</v>
      </c>
      <c r="O397" s="489">
        <f t="shared" si="163"/>
        <v>178</v>
      </c>
      <c r="P397" s="489">
        <f t="shared" si="164"/>
        <v>1246</v>
      </c>
      <c r="Q397" s="491">
        <f t="shared" si="165"/>
        <v>14952</v>
      </c>
      <c r="R397" s="491">
        <f t="shared" si="166"/>
        <v>3601.9367999999999</v>
      </c>
      <c r="S397" s="492">
        <f t="shared" si="167"/>
        <v>18553.936799999999</v>
      </c>
    </row>
    <row r="398" spans="2:29" ht="15" x14ac:dyDescent="0.25">
      <c r="B398" s="633" t="s">
        <v>488</v>
      </c>
      <c r="C398" s="13">
        <v>35</v>
      </c>
      <c r="D398" s="13" t="s">
        <v>45</v>
      </c>
      <c r="E398" s="13">
        <v>9</v>
      </c>
      <c r="F398" s="636" t="s">
        <v>75</v>
      </c>
      <c r="G398" s="635">
        <v>1190</v>
      </c>
      <c r="H398" s="585">
        <v>830</v>
      </c>
      <c r="I398" s="587">
        <v>0</v>
      </c>
      <c r="J398" s="563">
        <v>10</v>
      </c>
      <c r="K398" s="488">
        <f t="shared" si="159"/>
        <v>996</v>
      </c>
      <c r="L398" s="489">
        <f t="shared" si="160"/>
        <v>996</v>
      </c>
      <c r="M398" s="512">
        <f t="shared" si="161"/>
        <v>0</v>
      </c>
      <c r="N398" s="489">
        <f t="shared" si="162"/>
        <v>0</v>
      </c>
      <c r="O398" s="489">
        <f t="shared" si="163"/>
        <v>166</v>
      </c>
      <c r="P398" s="489">
        <f t="shared" si="164"/>
        <v>1660</v>
      </c>
      <c r="Q398" s="491">
        <f t="shared" si="165"/>
        <v>19920</v>
      </c>
      <c r="R398" s="491">
        <f t="shared" si="166"/>
        <v>4798.7280000000001</v>
      </c>
      <c r="S398" s="492">
        <f t="shared" si="167"/>
        <v>24718.727999999999</v>
      </c>
    </row>
    <row r="399" spans="2:29" ht="15" x14ac:dyDescent="0.25">
      <c r="B399" s="633" t="s">
        <v>488</v>
      </c>
      <c r="C399" s="13">
        <v>35</v>
      </c>
      <c r="D399" s="13" t="s">
        <v>45</v>
      </c>
      <c r="E399" s="13">
        <v>9</v>
      </c>
      <c r="F399" s="636" t="s">
        <v>75</v>
      </c>
      <c r="G399" s="635">
        <v>1190</v>
      </c>
      <c r="H399" s="585">
        <v>803</v>
      </c>
      <c r="I399" s="587">
        <v>0</v>
      </c>
      <c r="J399" s="563">
        <v>1</v>
      </c>
      <c r="K399" s="488">
        <f t="shared" si="159"/>
        <v>964</v>
      </c>
      <c r="L399" s="489">
        <f t="shared" si="160"/>
        <v>964</v>
      </c>
      <c r="M399" s="512">
        <f t="shared" si="161"/>
        <v>0</v>
      </c>
      <c r="N399" s="489">
        <f t="shared" si="162"/>
        <v>0</v>
      </c>
      <c r="O399" s="489">
        <f t="shared" si="163"/>
        <v>161</v>
      </c>
      <c r="P399" s="489">
        <f t="shared" si="164"/>
        <v>161</v>
      </c>
      <c r="Q399" s="491">
        <f t="shared" si="165"/>
        <v>1932</v>
      </c>
      <c r="R399" s="491">
        <f t="shared" si="166"/>
        <v>465.41880000000003</v>
      </c>
      <c r="S399" s="492">
        <f t="shared" si="167"/>
        <v>2397.4187999999999</v>
      </c>
    </row>
    <row r="400" spans="2:29" ht="25.5" x14ac:dyDescent="0.25">
      <c r="B400" s="633" t="s">
        <v>489</v>
      </c>
      <c r="C400" s="13">
        <v>35</v>
      </c>
      <c r="D400" s="13" t="s">
        <v>313</v>
      </c>
      <c r="E400" s="13">
        <v>7</v>
      </c>
      <c r="F400" s="636" t="s">
        <v>75</v>
      </c>
      <c r="G400" s="635">
        <v>996</v>
      </c>
      <c r="H400" s="585">
        <v>700</v>
      </c>
      <c r="I400" s="587">
        <v>0</v>
      </c>
      <c r="J400" s="563">
        <v>1</v>
      </c>
      <c r="K400" s="488">
        <f t="shared" si="159"/>
        <v>840</v>
      </c>
      <c r="L400" s="489">
        <f t="shared" si="160"/>
        <v>840</v>
      </c>
      <c r="M400" s="512">
        <f t="shared" si="161"/>
        <v>0</v>
      </c>
      <c r="N400" s="489">
        <f t="shared" si="162"/>
        <v>0</v>
      </c>
      <c r="O400" s="489">
        <f t="shared" si="163"/>
        <v>140</v>
      </c>
      <c r="P400" s="489">
        <f t="shared" si="164"/>
        <v>140</v>
      </c>
      <c r="Q400" s="491">
        <f t="shared" si="165"/>
        <v>1680</v>
      </c>
      <c r="R400" s="491">
        <f t="shared" si="166"/>
        <v>404.71199999999999</v>
      </c>
      <c r="S400" s="492">
        <f t="shared" si="167"/>
        <v>2084.712</v>
      </c>
    </row>
    <row r="401" spans="2:19" ht="25.5" x14ac:dyDescent="0.25">
      <c r="B401" s="633" t="s">
        <v>490</v>
      </c>
      <c r="C401" s="13">
        <v>35</v>
      </c>
      <c r="D401" s="13" t="s">
        <v>313</v>
      </c>
      <c r="E401" s="13">
        <v>7</v>
      </c>
      <c r="F401" s="636" t="s">
        <v>75</v>
      </c>
      <c r="G401" s="635">
        <v>996</v>
      </c>
      <c r="H401" s="585">
        <v>700</v>
      </c>
      <c r="I401" s="587">
        <v>0</v>
      </c>
      <c r="J401" s="563">
        <v>11</v>
      </c>
      <c r="K401" s="488">
        <f t="shared" si="159"/>
        <v>840</v>
      </c>
      <c r="L401" s="489">
        <f t="shared" si="160"/>
        <v>840</v>
      </c>
      <c r="M401" s="512">
        <f t="shared" si="161"/>
        <v>0</v>
      </c>
      <c r="N401" s="489">
        <f t="shared" si="162"/>
        <v>0</v>
      </c>
      <c r="O401" s="489">
        <f t="shared" si="163"/>
        <v>140</v>
      </c>
      <c r="P401" s="489">
        <f t="shared" si="164"/>
        <v>1540</v>
      </c>
      <c r="Q401" s="491">
        <f t="shared" si="165"/>
        <v>18480</v>
      </c>
      <c r="R401" s="491">
        <f t="shared" si="166"/>
        <v>4451.8320000000003</v>
      </c>
      <c r="S401" s="492">
        <f t="shared" si="167"/>
        <v>22931.832000000002</v>
      </c>
    </row>
    <row r="402" spans="2:19" ht="25.5" x14ac:dyDescent="0.25">
      <c r="B402" s="633" t="s">
        <v>490</v>
      </c>
      <c r="C402" s="13">
        <v>35</v>
      </c>
      <c r="D402" s="13" t="s">
        <v>313</v>
      </c>
      <c r="E402" s="13">
        <v>7</v>
      </c>
      <c r="F402" s="636" t="s">
        <v>75</v>
      </c>
      <c r="G402" s="635">
        <v>996</v>
      </c>
      <c r="H402" s="585">
        <v>675</v>
      </c>
      <c r="I402" s="587">
        <v>0</v>
      </c>
      <c r="J402" s="563">
        <v>1</v>
      </c>
      <c r="K402" s="488">
        <f t="shared" si="159"/>
        <v>810</v>
      </c>
      <c r="L402" s="489">
        <f t="shared" si="160"/>
        <v>810</v>
      </c>
      <c r="M402" s="512">
        <f t="shared" si="161"/>
        <v>0</v>
      </c>
      <c r="N402" s="489">
        <f t="shared" si="162"/>
        <v>0</v>
      </c>
      <c r="O402" s="489">
        <f t="shared" si="163"/>
        <v>135</v>
      </c>
      <c r="P402" s="489">
        <f t="shared" si="164"/>
        <v>135</v>
      </c>
      <c r="Q402" s="491">
        <f t="shared" si="165"/>
        <v>1620</v>
      </c>
      <c r="R402" s="491">
        <f t="shared" si="166"/>
        <v>390.25799999999998</v>
      </c>
      <c r="S402" s="492">
        <f t="shared" si="167"/>
        <v>2010.258</v>
      </c>
    </row>
    <row r="403" spans="2:19" ht="15" thickBot="1" x14ac:dyDescent="0.3">
      <c r="B403" s="513" t="s">
        <v>315</v>
      </c>
      <c r="C403" s="472"/>
      <c r="D403" s="472"/>
      <c r="E403" s="472"/>
      <c r="F403" s="472"/>
      <c r="G403" s="473"/>
      <c r="H403" s="474"/>
      <c r="I403" s="472"/>
      <c r="J403" s="476">
        <f>SUM(J379:J402)</f>
        <v>74.25</v>
      </c>
      <c r="K403" s="514"/>
      <c r="L403" s="472"/>
      <c r="M403" s="472"/>
      <c r="N403" s="472"/>
      <c r="O403" s="472"/>
      <c r="P403" s="472"/>
      <c r="Q403" s="515">
        <f t="shared" ref="Q403:S403" si="168">SUM(Q379:Q402)</f>
        <v>136476</v>
      </c>
      <c r="R403" s="515">
        <f t="shared" si="168"/>
        <v>32877.068400000004</v>
      </c>
      <c r="S403" s="516">
        <f t="shared" si="168"/>
        <v>169353.06840000002</v>
      </c>
    </row>
    <row r="404" spans="2:19" ht="6" customHeight="1" thickBot="1" x14ac:dyDescent="0.3"/>
    <row r="405" spans="2:19" ht="14.25" x14ac:dyDescent="0.25">
      <c r="B405" s="517" t="s">
        <v>20</v>
      </c>
      <c r="C405" s="518"/>
      <c r="D405" s="518"/>
      <c r="E405" s="518"/>
      <c r="F405" s="518"/>
      <c r="G405" s="519"/>
      <c r="H405" s="520"/>
      <c r="I405" s="521"/>
      <c r="J405" s="522">
        <f>J24+J61+J98+J166+J361+J403</f>
        <v>684</v>
      </c>
      <c r="K405" s="523"/>
      <c r="L405" s="521"/>
      <c r="M405" s="518"/>
      <c r="N405" s="521"/>
      <c r="O405" s="521"/>
      <c r="P405" s="521"/>
      <c r="Q405" s="524">
        <f t="shared" ref="Q405:S405" si="169">Q24+Q61+Q98+Q166+Q361+Q403</f>
        <v>1581785.1671111546</v>
      </c>
      <c r="R405" s="524">
        <f t="shared" si="169"/>
        <v>381052.04675707727</v>
      </c>
      <c r="S405" s="525">
        <f t="shared" si="169"/>
        <v>1962837.2138682303</v>
      </c>
    </row>
    <row r="406" spans="2:19" ht="14.25" x14ac:dyDescent="0.25">
      <c r="B406" s="526" t="s">
        <v>10</v>
      </c>
      <c r="C406" s="527"/>
      <c r="D406" s="527"/>
      <c r="E406" s="527"/>
      <c r="F406" s="527"/>
      <c r="G406" s="528"/>
      <c r="H406" s="529"/>
      <c r="I406" s="530"/>
      <c r="J406" s="531">
        <f>J31+J83+J103+J235+J375</f>
        <v>1825.9</v>
      </c>
      <c r="K406" s="532"/>
      <c r="L406" s="530"/>
      <c r="M406" s="527"/>
      <c r="N406" s="530"/>
      <c r="O406" s="530"/>
      <c r="P406" s="530"/>
      <c r="Q406" s="533">
        <f>Q31+Q83+Q103+Q235+Q375</f>
        <v>4065607.2867998211</v>
      </c>
      <c r="R406" s="533">
        <f>R31+R83+R103+R235+R375</f>
        <v>979404.79539007717</v>
      </c>
      <c r="S406" s="534">
        <f>S31+S83+S103+S235+S375</f>
        <v>5045012.0821898989</v>
      </c>
    </row>
    <row r="407" spans="2:19" ht="14.25" x14ac:dyDescent="0.25">
      <c r="B407" s="526" t="s">
        <v>491</v>
      </c>
      <c r="C407" s="527"/>
      <c r="D407" s="527"/>
      <c r="E407" s="527"/>
      <c r="F407" s="527"/>
      <c r="G407" s="528"/>
      <c r="H407" s="529"/>
      <c r="I407" s="530"/>
      <c r="J407" s="531">
        <f>J46+J92+J107+J240</f>
        <v>249.45</v>
      </c>
      <c r="K407" s="532"/>
      <c r="L407" s="530"/>
      <c r="M407" s="527"/>
      <c r="N407" s="530"/>
      <c r="O407" s="530"/>
      <c r="P407" s="530"/>
      <c r="Q407" s="533">
        <f>Q46+Q92+Q107+Q240</f>
        <v>317109.65604565025</v>
      </c>
      <c r="R407" s="533">
        <f>R46+R92+R107+R240</f>
        <v>76391.716141397133</v>
      </c>
      <c r="S407" s="534">
        <f>S46+S92+S107+S240</f>
        <v>393501.37218704738</v>
      </c>
    </row>
    <row r="408" spans="2:19" ht="14.25" x14ac:dyDescent="0.25">
      <c r="B408" s="526" t="s">
        <v>447</v>
      </c>
      <c r="C408" s="527"/>
      <c r="D408" s="527"/>
      <c r="E408" s="527"/>
      <c r="F408" s="527"/>
      <c r="G408" s="528"/>
      <c r="H408" s="529"/>
      <c r="I408" s="530"/>
      <c r="J408" s="531">
        <f>J251</f>
        <v>891</v>
      </c>
      <c r="K408" s="532"/>
      <c r="L408" s="530"/>
      <c r="M408" s="527"/>
      <c r="N408" s="530"/>
      <c r="O408" s="530"/>
      <c r="P408" s="530"/>
      <c r="Q408" s="533">
        <f>Q251</f>
        <v>1517184.3964980002</v>
      </c>
      <c r="R408" s="533">
        <f>R251</f>
        <v>365489.72111636825</v>
      </c>
      <c r="S408" s="534">
        <f>S251</f>
        <v>1882674.1176143687</v>
      </c>
    </row>
    <row r="409" spans="2:19" ht="15" thickBot="1" x14ac:dyDescent="0.3">
      <c r="B409" s="535" t="s">
        <v>492</v>
      </c>
      <c r="C409" s="536"/>
      <c r="D409" s="536"/>
      <c r="E409" s="536"/>
      <c r="F409" s="536"/>
      <c r="G409" s="537"/>
      <c r="H409" s="538"/>
      <c r="I409" s="536"/>
      <c r="J409" s="539">
        <f>SUM(J405:J408)</f>
        <v>3650.35</v>
      </c>
      <c r="K409" s="540"/>
      <c r="L409" s="536"/>
      <c r="M409" s="536"/>
      <c r="N409" s="536"/>
      <c r="O409" s="536"/>
      <c r="P409" s="536"/>
      <c r="Q409" s="541">
        <f t="shared" ref="Q409:S409" si="170">SUM(Q405:Q408)</f>
        <v>7481686.5064546261</v>
      </c>
      <c r="R409" s="541">
        <f t="shared" si="170"/>
        <v>1802338.2794049198</v>
      </c>
      <c r="S409" s="542">
        <f t="shared" si="170"/>
        <v>9284024.7858595457</v>
      </c>
    </row>
    <row r="412" spans="2:19" x14ac:dyDescent="0.25">
      <c r="B412" s="359"/>
      <c r="C412" s="359"/>
      <c r="D412" s="359"/>
      <c r="E412" s="359"/>
      <c r="F412" s="359"/>
      <c r="G412" s="359"/>
      <c r="H412" s="359"/>
      <c r="I412" s="359"/>
      <c r="J412" s="359"/>
      <c r="K412" s="359"/>
      <c r="L412" s="359"/>
      <c r="M412" s="359"/>
      <c r="N412" s="359"/>
      <c r="O412" s="359"/>
      <c r="P412" s="380"/>
      <c r="Q412" s="380"/>
      <c r="R412" s="380"/>
      <c r="S412" s="380"/>
    </row>
    <row r="425" spans="11:19" x14ac:dyDescent="0.25">
      <c r="K425" s="380"/>
      <c r="L425" s="380"/>
      <c r="M425" s="380"/>
      <c r="N425" s="380"/>
      <c r="O425" s="380"/>
      <c r="P425" s="380"/>
      <c r="Q425" s="380"/>
      <c r="R425" s="380"/>
      <c r="S425" s="380"/>
    </row>
  </sheetData>
  <mergeCells count="15">
    <mergeCell ref="Z382:AC382"/>
    <mergeCell ref="Z383:AC383"/>
    <mergeCell ref="Z384:AC384"/>
    <mergeCell ref="Z385:AC385"/>
    <mergeCell ref="R1:S1"/>
    <mergeCell ref="B95:S95"/>
    <mergeCell ref="B110:S110"/>
    <mergeCell ref="B254:S254"/>
    <mergeCell ref="B377:S377"/>
    <mergeCell ref="I1:J1"/>
    <mergeCell ref="B2:S2"/>
    <mergeCell ref="B4:J4"/>
    <mergeCell ref="K4:S4"/>
    <mergeCell ref="B7:S7"/>
    <mergeCell ref="B49:S49"/>
  </mergeCells>
  <pageMargins left="0.70866141732283472" right="0.70866141732283472" top="0.74803149606299213" bottom="0.74803149606299213" header="0.31496062992125984" footer="0.31496062992125984"/>
  <pageSetup paperSize="9" scale="70"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C2CC-8EFD-4F3A-B9AB-D422E2FACD95}">
  <sheetPr>
    <tabColor theme="6" tint="0.79998168889431442"/>
  </sheetPr>
  <dimension ref="A1:H52"/>
  <sheetViews>
    <sheetView view="pageBreakPreview" topLeftCell="A13" zoomScale="60" zoomScaleNormal="70" workbookViewId="0">
      <selection activeCell="M31" sqref="M31"/>
    </sheetView>
  </sheetViews>
  <sheetFormatPr defaultRowHeight="18.75" x14ac:dyDescent="0.3"/>
  <cols>
    <col min="1" max="1" width="9.140625" style="637"/>
    <col min="2" max="2" width="62" customWidth="1"/>
    <col min="3" max="3" width="14.42578125" customWidth="1"/>
    <col min="4" max="4" width="14.85546875" customWidth="1"/>
    <col min="5" max="5" width="19.5703125" customWidth="1"/>
  </cols>
  <sheetData>
    <row r="1" spans="1:8" ht="18.75" hidden="1" customHeight="1" x14ac:dyDescent="0.3">
      <c r="B1" s="944"/>
      <c r="C1" s="944"/>
      <c r="D1" s="944"/>
      <c r="E1" s="638"/>
      <c r="F1" s="638"/>
      <c r="G1" s="638"/>
      <c r="H1" s="638"/>
    </row>
    <row r="2" spans="1:8" hidden="1" x14ac:dyDescent="0.3">
      <c r="B2" s="944"/>
      <c r="C2" s="944"/>
      <c r="D2" s="944"/>
    </row>
    <row r="3" spans="1:8" ht="39" hidden="1" customHeight="1" x14ac:dyDescent="0.3">
      <c r="B3" s="944"/>
      <c r="C3" s="944"/>
      <c r="D3" s="944"/>
    </row>
    <row r="4" spans="1:8" ht="39" customHeight="1" x14ac:dyDescent="0.3">
      <c r="B4" s="746"/>
      <c r="C4" s="746"/>
      <c r="D4" s="817" t="s">
        <v>631</v>
      </c>
      <c r="E4" s="817"/>
    </row>
    <row r="5" spans="1:8" ht="39" customHeight="1" x14ac:dyDescent="0.3">
      <c r="A5" s="945" t="s">
        <v>630</v>
      </c>
      <c r="B5" s="945"/>
      <c r="C5" s="945"/>
      <c r="D5" s="945"/>
      <c r="E5" s="945"/>
    </row>
    <row r="7" spans="1:8" ht="94.5" customHeight="1" thickBot="1" x14ac:dyDescent="0.3">
      <c r="A7" s="639" t="s">
        <v>494</v>
      </c>
      <c r="B7" s="640" t="s">
        <v>495</v>
      </c>
      <c r="C7" s="641" t="s">
        <v>496</v>
      </c>
      <c r="D7" s="641" t="s">
        <v>497</v>
      </c>
      <c r="E7" s="641" t="s">
        <v>472</v>
      </c>
    </row>
    <row r="8" spans="1:8" ht="19.5" thickTop="1" x14ac:dyDescent="0.3">
      <c r="A8" s="642">
        <v>1</v>
      </c>
      <c r="B8" s="643" t="s">
        <v>347</v>
      </c>
      <c r="C8" s="644">
        <f>ROUND(E8/1.2409,0)</f>
        <v>3965925</v>
      </c>
      <c r="D8" s="644">
        <f>ROUND(E8-C8,0)</f>
        <v>955392</v>
      </c>
      <c r="E8" s="644">
        <f>[1]NMPD!Q15</f>
        <v>4921316.8502722243</v>
      </c>
    </row>
    <row r="9" spans="1:8" x14ac:dyDescent="0.3">
      <c r="A9" s="645">
        <v>2</v>
      </c>
      <c r="B9" s="646" t="s">
        <v>498</v>
      </c>
      <c r="C9" s="647">
        <f t="shared" ref="C9:C46" si="0">ROUND(E9/1.2409,0)</f>
        <v>802115</v>
      </c>
      <c r="D9" s="647">
        <f t="shared" ref="D9:D46" si="1">ROUND(E9-C9,0)</f>
        <v>193229</v>
      </c>
      <c r="E9" s="647">
        <f>[1]BKUS!Q15</f>
        <v>995344.2868798814</v>
      </c>
    </row>
    <row r="10" spans="1:8" x14ac:dyDescent="0.3">
      <c r="A10" s="645">
        <v>3</v>
      </c>
      <c r="B10" s="646" t="s">
        <v>499</v>
      </c>
      <c r="C10" s="647">
        <f t="shared" si="0"/>
        <v>1777508</v>
      </c>
      <c r="D10" s="647">
        <f t="shared" si="1"/>
        <v>428202</v>
      </c>
      <c r="E10" s="647">
        <f>[1]PSKUS!Q15</f>
        <v>2205709.5593618136</v>
      </c>
    </row>
    <row r="11" spans="1:8" x14ac:dyDescent="0.3">
      <c r="A11" s="645">
        <v>4</v>
      </c>
      <c r="B11" s="646" t="s">
        <v>500</v>
      </c>
      <c r="C11" s="647">
        <f t="shared" si="0"/>
        <v>3682187</v>
      </c>
      <c r="D11" s="647">
        <f t="shared" si="1"/>
        <v>887039</v>
      </c>
      <c r="E11" s="647">
        <f>[1]RAKUS!Q15</f>
        <v>4569225.8141474938</v>
      </c>
    </row>
    <row r="12" spans="1:8" x14ac:dyDescent="0.3">
      <c r="A12" s="645">
        <v>5</v>
      </c>
      <c r="B12" s="646" t="s">
        <v>501</v>
      </c>
      <c r="C12" s="647">
        <f t="shared" si="0"/>
        <v>10017</v>
      </c>
      <c r="D12" s="647">
        <f t="shared" si="1"/>
        <v>2414</v>
      </c>
      <c r="E12" s="647">
        <f>[1]JūrmalasS!Q15</f>
        <v>12430.632863920891</v>
      </c>
    </row>
    <row r="13" spans="1:8" x14ac:dyDescent="0.3">
      <c r="A13" s="645">
        <v>6</v>
      </c>
      <c r="B13" s="646" t="s">
        <v>502</v>
      </c>
      <c r="C13" s="647">
        <f t="shared" si="0"/>
        <v>7659</v>
      </c>
      <c r="D13" s="647">
        <f t="shared" si="1"/>
        <v>1845</v>
      </c>
      <c r="E13" s="647">
        <f>[1]OgreRajS!Q15</f>
        <v>9503.6606084633841</v>
      </c>
    </row>
    <row r="14" spans="1:8" x14ac:dyDescent="0.3">
      <c r="A14" s="645">
        <v>7</v>
      </c>
      <c r="B14" s="646" t="s">
        <v>503</v>
      </c>
      <c r="C14" s="647">
        <f t="shared" si="0"/>
        <v>12133</v>
      </c>
      <c r="D14" s="647">
        <f t="shared" si="1"/>
        <v>2923</v>
      </c>
      <c r="E14" s="647">
        <f>[1]TukumS!Q15</f>
        <v>15056.43010795414</v>
      </c>
    </row>
    <row r="15" spans="1:8" x14ac:dyDescent="0.3">
      <c r="A15" s="645">
        <v>8</v>
      </c>
      <c r="B15" s="646" t="s">
        <v>504</v>
      </c>
      <c r="C15" s="647">
        <f t="shared" si="0"/>
        <v>612576</v>
      </c>
      <c r="D15" s="647">
        <f t="shared" si="1"/>
        <v>147570</v>
      </c>
      <c r="E15" s="647">
        <f>[1]LiepājaReS!Q15</f>
        <v>760145.57071927539</v>
      </c>
    </row>
    <row r="16" spans="1:8" x14ac:dyDescent="0.3">
      <c r="A16" s="645">
        <v>9</v>
      </c>
      <c r="B16" s="646" t="s">
        <v>505</v>
      </c>
      <c r="C16" s="647">
        <f t="shared" si="0"/>
        <v>443856</v>
      </c>
      <c r="D16" s="647">
        <f t="shared" si="1"/>
        <v>106925</v>
      </c>
      <c r="E16" s="647">
        <f>[1]ZiemKurR!Q15</f>
        <v>550780.88229534484</v>
      </c>
    </row>
    <row r="17" spans="1:5" x14ac:dyDescent="0.3">
      <c r="A17" s="645">
        <v>10</v>
      </c>
      <c r="B17" s="646" t="s">
        <v>506</v>
      </c>
      <c r="C17" s="647">
        <f t="shared" si="0"/>
        <v>560423</v>
      </c>
      <c r="D17" s="647">
        <f t="shared" si="1"/>
        <v>135006</v>
      </c>
      <c r="E17" s="647">
        <f>[1]KuldīgS!Q15</f>
        <v>695428.77694255346</v>
      </c>
    </row>
    <row r="18" spans="1:5" x14ac:dyDescent="0.3">
      <c r="A18" s="645">
        <v>11</v>
      </c>
      <c r="B18" s="646" t="s">
        <v>507</v>
      </c>
      <c r="C18" s="647">
        <f t="shared" si="0"/>
        <v>629978</v>
      </c>
      <c r="D18" s="647">
        <f t="shared" si="1"/>
        <v>151761</v>
      </c>
      <c r="E18" s="647">
        <f>[1]DaugaReS!Q15</f>
        <v>781739.08789759153</v>
      </c>
    </row>
    <row r="19" spans="1:5" x14ac:dyDescent="0.3">
      <c r="A19" s="645">
        <v>12</v>
      </c>
      <c r="B19" s="646" t="s">
        <v>508</v>
      </c>
      <c r="C19" s="647">
        <f t="shared" si="0"/>
        <v>302184</v>
      </c>
      <c r="D19" s="647">
        <f t="shared" si="1"/>
        <v>72796</v>
      </c>
      <c r="E19" s="647">
        <f>[1]RēzeknS!Q15</f>
        <v>374979.95982991101</v>
      </c>
    </row>
    <row r="20" spans="1:5" x14ac:dyDescent="0.3">
      <c r="A20" s="645">
        <v>13</v>
      </c>
      <c r="B20" s="646" t="s">
        <v>509</v>
      </c>
      <c r="C20" s="647">
        <f t="shared" si="0"/>
        <v>47308</v>
      </c>
      <c r="D20" s="647">
        <f t="shared" si="1"/>
        <v>11396</v>
      </c>
      <c r="E20" s="647">
        <f>[1]PreilS!Q15</f>
        <v>58704.145110726648</v>
      </c>
    </row>
    <row r="21" spans="1:5" x14ac:dyDescent="0.3">
      <c r="A21" s="645">
        <v>14</v>
      </c>
      <c r="B21" s="646" t="s">
        <v>510</v>
      </c>
      <c r="C21" s="647">
        <f t="shared" si="0"/>
        <v>62562</v>
      </c>
      <c r="D21" s="647">
        <f t="shared" si="1"/>
        <v>15071</v>
      </c>
      <c r="E21" s="647">
        <f>[1]KraslaS!Q15</f>
        <v>77632.726505844155</v>
      </c>
    </row>
    <row r="22" spans="1:5" x14ac:dyDescent="0.3">
      <c r="A22" s="645">
        <v>15</v>
      </c>
      <c r="B22" s="646" t="s">
        <v>511</v>
      </c>
      <c r="C22" s="647">
        <f t="shared" si="0"/>
        <v>368820</v>
      </c>
      <c r="D22" s="647">
        <f t="shared" si="1"/>
        <v>88848</v>
      </c>
      <c r="E22" s="647">
        <f>[1]VidzS!Q15</f>
        <v>457668.24724217516</v>
      </c>
    </row>
    <row r="23" spans="1:5" x14ac:dyDescent="0.3">
      <c r="A23" s="645">
        <v>16</v>
      </c>
      <c r="B23" s="646" t="s">
        <v>512</v>
      </c>
      <c r="C23" s="647">
        <f t="shared" si="0"/>
        <v>259137</v>
      </c>
      <c r="D23" s="647">
        <f t="shared" si="1"/>
        <v>62427</v>
      </c>
      <c r="E23" s="647">
        <f>[1]MadonS!Q15</f>
        <v>321563.59195830289</v>
      </c>
    </row>
    <row r="24" spans="1:5" x14ac:dyDescent="0.3">
      <c r="A24" s="645">
        <v>17</v>
      </c>
      <c r="B24" s="646" t="s">
        <v>513</v>
      </c>
      <c r="C24" s="647">
        <f t="shared" si="0"/>
        <v>125411</v>
      </c>
      <c r="D24" s="647">
        <f t="shared" si="1"/>
        <v>30211</v>
      </c>
      <c r="E24" s="647">
        <f>[1]BalvGulSApv!Q15</f>
        <v>155622.00154464046</v>
      </c>
    </row>
    <row r="25" spans="1:5" x14ac:dyDescent="0.3">
      <c r="A25" s="645">
        <v>18</v>
      </c>
      <c r="B25" s="646" t="s">
        <v>514</v>
      </c>
      <c r="C25" s="647">
        <f t="shared" si="0"/>
        <v>133584</v>
      </c>
      <c r="D25" s="647">
        <f t="shared" si="1"/>
        <v>32180</v>
      </c>
      <c r="E25" s="647">
        <f>[1]CēsuS!Q15</f>
        <v>165764.01791069368</v>
      </c>
    </row>
    <row r="26" spans="1:5" x14ac:dyDescent="0.3">
      <c r="A26" s="645">
        <v>19</v>
      </c>
      <c r="B26" s="646" t="s">
        <v>515</v>
      </c>
      <c r="C26" s="647">
        <f t="shared" si="0"/>
        <v>9250</v>
      </c>
      <c r="D26" s="647">
        <f t="shared" si="1"/>
        <v>2228</v>
      </c>
      <c r="E26" s="647">
        <f>[1]AlūksneS!Q15</f>
        <v>11477.854522677513</v>
      </c>
    </row>
    <row r="27" spans="1:5" x14ac:dyDescent="0.3">
      <c r="A27" s="645">
        <v>20</v>
      </c>
      <c r="B27" s="646" t="s">
        <v>516</v>
      </c>
      <c r="C27" s="647">
        <f t="shared" si="0"/>
        <v>64851</v>
      </c>
      <c r="D27" s="647">
        <f t="shared" si="1"/>
        <v>15623</v>
      </c>
      <c r="E27" s="647">
        <f>[1]JelgavPilS!Q15</f>
        <v>80473.857150448006</v>
      </c>
    </row>
    <row r="28" spans="1:5" x14ac:dyDescent="0.3">
      <c r="A28" s="645">
        <v>21</v>
      </c>
      <c r="B28" s="646" t="s">
        <v>517</v>
      </c>
      <c r="C28" s="647">
        <f t="shared" si="0"/>
        <v>259268</v>
      </c>
      <c r="D28" s="647">
        <f t="shared" si="1"/>
        <v>62458</v>
      </c>
      <c r="E28" s="647">
        <f>[1]JēkaReS!Q15</f>
        <v>321725.8480022747</v>
      </c>
    </row>
    <row r="29" spans="1:5" x14ac:dyDescent="0.3">
      <c r="A29" s="645">
        <v>22</v>
      </c>
      <c r="B29" s="646" t="s">
        <v>518</v>
      </c>
      <c r="C29" s="647">
        <f t="shared" si="0"/>
        <v>153934</v>
      </c>
      <c r="D29" s="647">
        <f t="shared" si="1"/>
        <v>37082</v>
      </c>
      <c r="E29" s="647">
        <f>[1]DobapkārtS!Q15</f>
        <v>191016.23170385498</v>
      </c>
    </row>
    <row r="30" spans="1:5" x14ac:dyDescent="0.3">
      <c r="A30" s="645">
        <v>23</v>
      </c>
      <c r="B30" s="646" t="s">
        <v>519</v>
      </c>
      <c r="C30" s="647">
        <f t="shared" si="0"/>
        <v>53541</v>
      </c>
      <c r="D30" s="647">
        <f t="shared" si="1"/>
        <v>12898</v>
      </c>
      <c r="E30" s="647">
        <f>[1]AizkrS!Q15</f>
        <v>66439.172144704804</v>
      </c>
    </row>
    <row r="31" spans="1:5" x14ac:dyDescent="0.3">
      <c r="A31" s="645">
        <v>24</v>
      </c>
      <c r="B31" s="646" t="s">
        <v>520</v>
      </c>
      <c r="C31" s="647">
        <f t="shared" si="0"/>
        <v>36430</v>
      </c>
      <c r="D31" s="647">
        <f t="shared" si="1"/>
        <v>8775</v>
      </c>
      <c r="E31" s="647">
        <f>[1]BauskaS!Q15</f>
        <v>45205.373636667973</v>
      </c>
    </row>
    <row r="32" spans="1:5" x14ac:dyDescent="0.3">
      <c r="A32" s="645">
        <v>25</v>
      </c>
      <c r="B32" s="646" t="s">
        <v>521</v>
      </c>
      <c r="C32" s="647">
        <f t="shared" si="0"/>
        <v>9739</v>
      </c>
      <c r="D32" s="647">
        <f t="shared" si="1"/>
        <v>2346</v>
      </c>
      <c r="E32" s="647">
        <f>[1]LivanuS!Q15</f>
        <v>12085.13669719626</v>
      </c>
    </row>
    <row r="33" spans="1:5" x14ac:dyDescent="0.3">
      <c r="A33" s="645">
        <v>26</v>
      </c>
      <c r="B33" s="646" t="s">
        <v>522</v>
      </c>
      <c r="C33" s="647">
        <f t="shared" si="0"/>
        <v>26341</v>
      </c>
      <c r="D33" s="647">
        <f t="shared" si="1"/>
        <v>6346</v>
      </c>
      <c r="E33" s="647">
        <f>[1]LudzaMedCe!Q15</f>
        <v>32687.130886195904</v>
      </c>
    </row>
    <row r="34" spans="1:5" x14ac:dyDescent="0.3">
      <c r="A34" s="645">
        <v>27</v>
      </c>
      <c r="B34" s="646" t="s">
        <v>523</v>
      </c>
      <c r="C34" s="647">
        <f t="shared" si="0"/>
        <v>78381</v>
      </c>
      <c r="D34" s="647">
        <f t="shared" si="1"/>
        <v>18882</v>
      </c>
      <c r="E34" s="647">
        <f>[1]SiguldS!Q15</f>
        <v>97263.458821167573</v>
      </c>
    </row>
    <row r="35" spans="1:5" x14ac:dyDescent="0.3">
      <c r="A35" s="645">
        <v>28</v>
      </c>
      <c r="B35" s="646" t="s">
        <v>524</v>
      </c>
      <c r="C35" s="647">
        <f t="shared" si="0"/>
        <v>8353</v>
      </c>
      <c r="D35" s="647">
        <f t="shared" si="1"/>
        <v>2012</v>
      </c>
      <c r="E35" s="647">
        <f>[1]Saldmedcen!Q15</f>
        <v>10365.148190530808</v>
      </c>
    </row>
    <row r="36" spans="1:5" x14ac:dyDescent="0.3">
      <c r="A36" s="645">
        <v>29</v>
      </c>
      <c r="B36" s="646" t="s">
        <v>525</v>
      </c>
      <c r="C36" s="647">
        <f t="shared" si="0"/>
        <v>8950</v>
      </c>
      <c r="D36" s="647">
        <f t="shared" si="1"/>
        <v>2156</v>
      </c>
      <c r="E36" s="647">
        <f>[1]PriekuS!Q15</f>
        <v>11106.373012972193</v>
      </c>
    </row>
    <row r="37" spans="1:5" x14ac:dyDescent="0.3">
      <c r="A37" s="645">
        <v>30</v>
      </c>
      <c r="B37" s="646" t="s">
        <v>526</v>
      </c>
      <c r="C37" s="647">
        <f t="shared" si="0"/>
        <v>73973</v>
      </c>
      <c r="D37" s="647">
        <f t="shared" si="1"/>
        <v>17821</v>
      </c>
      <c r="E37" s="647">
        <f>[1]AknisPnS!Q15</f>
        <v>91793.529637083469</v>
      </c>
    </row>
    <row r="38" spans="1:5" x14ac:dyDescent="0.3">
      <c r="A38" s="645">
        <v>31</v>
      </c>
      <c r="B38" s="646" t="s">
        <v>527</v>
      </c>
      <c r="C38" s="647">
        <f t="shared" si="0"/>
        <v>223748</v>
      </c>
      <c r="D38" s="647">
        <f t="shared" si="1"/>
        <v>53900</v>
      </c>
      <c r="E38" s="647">
        <f>[1]DaugPNS!Q15</f>
        <v>277648.40996700153</v>
      </c>
    </row>
    <row r="39" spans="1:5" x14ac:dyDescent="0.3">
      <c r="A39" s="645">
        <v>32</v>
      </c>
      <c r="B39" s="646" t="s">
        <v>528</v>
      </c>
      <c r="C39" s="647">
        <f t="shared" si="0"/>
        <v>215343</v>
      </c>
      <c r="D39" s="647">
        <f t="shared" si="1"/>
        <v>51876</v>
      </c>
      <c r="E39" s="647">
        <f>[1]Vaivari!Q15</f>
        <v>267218.82235552097</v>
      </c>
    </row>
    <row r="40" spans="1:5" x14ac:dyDescent="0.3">
      <c r="A40" s="645">
        <v>33</v>
      </c>
      <c r="B40" s="646" t="s">
        <v>529</v>
      </c>
      <c r="C40" s="647">
        <f t="shared" si="0"/>
        <v>128050</v>
      </c>
      <c r="D40" s="647">
        <f t="shared" si="1"/>
        <v>30847</v>
      </c>
      <c r="E40" s="647">
        <f>[1]PiejūrS!Q15</f>
        <v>158896.63625660376</v>
      </c>
    </row>
    <row r="41" spans="1:5" x14ac:dyDescent="0.3">
      <c r="A41" s="645">
        <v>34</v>
      </c>
      <c r="B41" s="646" t="s">
        <v>530</v>
      </c>
      <c r="C41" s="647">
        <f t="shared" si="0"/>
        <v>75794</v>
      </c>
      <c r="D41" s="647">
        <f t="shared" si="1"/>
        <v>18258</v>
      </c>
      <c r="E41" s="647">
        <f>[1]RīgaDzNa!Q15</f>
        <v>94052.421817827475</v>
      </c>
    </row>
    <row r="42" spans="1:5" x14ac:dyDescent="0.3">
      <c r="A42" s="645">
        <v>35</v>
      </c>
      <c r="B42" s="646" t="s">
        <v>531</v>
      </c>
      <c r="C42" s="647">
        <f t="shared" si="0"/>
        <v>94660</v>
      </c>
      <c r="D42" s="647">
        <f t="shared" si="1"/>
        <v>22804</v>
      </c>
      <c r="E42" s="647">
        <f>[1]RigaPsiNarCe!Q15</f>
        <v>117463.73729977969</v>
      </c>
    </row>
    <row r="43" spans="1:5" x14ac:dyDescent="0.3">
      <c r="A43" s="645">
        <v>36</v>
      </c>
      <c r="B43" s="646" t="s">
        <v>532</v>
      </c>
      <c r="C43" s="647">
        <f t="shared" si="0"/>
        <v>76249</v>
      </c>
      <c r="D43" s="647">
        <f t="shared" si="1"/>
        <v>18368</v>
      </c>
      <c r="E43" s="647">
        <f>[1]Rīgas2S!Q15</f>
        <v>94617.273603339185</v>
      </c>
    </row>
    <row r="44" spans="1:5" x14ac:dyDescent="0.3">
      <c r="A44" s="645">
        <v>37</v>
      </c>
      <c r="B44" s="646" t="s">
        <v>533</v>
      </c>
      <c r="C44" s="647">
        <f t="shared" si="0"/>
        <v>39253</v>
      </c>
      <c r="D44" s="647">
        <f t="shared" si="1"/>
        <v>9456</v>
      </c>
      <c r="E44" s="647">
        <f>[1]ĢintermS!Q15</f>
        <v>48708.658462795385</v>
      </c>
    </row>
    <row r="45" spans="1:5" x14ac:dyDescent="0.3">
      <c r="A45" s="645">
        <v>38</v>
      </c>
      <c r="B45" s="646" t="s">
        <v>534</v>
      </c>
      <c r="C45" s="647">
        <f t="shared" si="0"/>
        <v>42418</v>
      </c>
      <c r="D45" s="647">
        <f t="shared" si="1"/>
        <v>10218</v>
      </c>
      <c r="E45" s="647">
        <f>[1]StrenPsinS!Q15</f>
        <v>52636.458850242045</v>
      </c>
    </row>
    <row r="46" spans="1:5" x14ac:dyDescent="0.3">
      <c r="A46" s="645">
        <v>39</v>
      </c>
      <c r="B46" s="646" t="s">
        <v>535</v>
      </c>
      <c r="C46" s="647">
        <f t="shared" si="0"/>
        <v>85243</v>
      </c>
      <c r="D46" s="647">
        <f t="shared" si="1"/>
        <v>20534</v>
      </c>
      <c r="E46" s="647">
        <f>[1]TrauOrtS!Q15</f>
        <v>105777.42438439297</v>
      </c>
    </row>
    <row r="47" spans="1:5" x14ac:dyDescent="0.3">
      <c r="C47" s="648">
        <f>SUM(C8:C46)</f>
        <v>15567152</v>
      </c>
      <c r="D47" s="648">
        <f>SUM(D8:D46)</f>
        <v>3750123</v>
      </c>
      <c r="E47" s="648">
        <f>SUM(E8:E46)</f>
        <v>19317275.199602082</v>
      </c>
    </row>
    <row r="49" spans="4:5" x14ac:dyDescent="0.3">
      <c r="D49" s="649" t="s">
        <v>536</v>
      </c>
      <c r="E49" s="650">
        <f>E8</f>
        <v>4921316.8502722243</v>
      </c>
    </row>
    <row r="50" spans="4:5" x14ac:dyDescent="0.3">
      <c r="D50" s="649" t="s">
        <v>537</v>
      </c>
      <c r="E50" s="650">
        <f>SUM(E9:E46)</f>
        <v>14395958.349329863</v>
      </c>
    </row>
    <row r="52" spans="4:5" x14ac:dyDescent="0.3">
      <c r="E52" s="651"/>
    </row>
  </sheetData>
  <mergeCells count="3">
    <mergeCell ref="B1:D3"/>
    <mergeCell ref="A5:E5"/>
    <mergeCell ref="D4:E4"/>
  </mergeCells>
  <pageMargins left="0.31496062992125984" right="0.31496062992125984" top="0.74803149606299213" bottom="0.74803149606299213" header="0.31496062992125984" footer="0.31496062992125984"/>
  <pageSetup paperSize="9" scale="7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5FE6-1A02-4281-8EE8-DFCAAC93AB12}">
  <sheetPr>
    <tabColor theme="9" tint="0.79998168889431442"/>
  </sheetPr>
  <dimension ref="A1:F26"/>
  <sheetViews>
    <sheetView view="pageBreakPreview" zoomScale="60" zoomScaleNormal="100" workbookViewId="0">
      <pane ySplit="4" topLeftCell="A5" activePane="bottomLeft" state="frozen"/>
      <selection pane="bottomLeft" activeCell="H21" sqref="H21"/>
    </sheetView>
  </sheetViews>
  <sheetFormatPr defaultRowHeight="12.75" x14ac:dyDescent="0.2"/>
  <cols>
    <col min="1" max="1" width="9.7109375" style="657" customWidth="1"/>
    <col min="2" max="2" width="34" style="655" customWidth="1"/>
    <col min="3" max="6" width="11.42578125" style="655" customWidth="1"/>
    <col min="7" max="256" width="9.140625" style="655"/>
    <col min="257" max="257" width="9.7109375" style="655" customWidth="1"/>
    <col min="258" max="258" width="34" style="655" customWidth="1"/>
    <col min="259" max="262" width="11.42578125" style="655" customWidth="1"/>
    <col min="263" max="512" width="9.140625" style="655"/>
    <col min="513" max="513" width="9.7109375" style="655" customWidth="1"/>
    <col min="514" max="514" width="34" style="655" customWidth="1"/>
    <col min="515" max="518" width="11.42578125" style="655" customWidth="1"/>
    <col min="519" max="768" width="9.140625" style="655"/>
    <col min="769" max="769" width="9.7109375" style="655" customWidth="1"/>
    <col min="770" max="770" width="34" style="655" customWidth="1"/>
    <col min="771" max="774" width="11.42578125" style="655" customWidth="1"/>
    <col min="775" max="1024" width="9.140625" style="655"/>
    <col min="1025" max="1025" width="9.7109375" style="655" customWidth="1"/>
    <col min="1026" max="1026" width="34" style="655" customWidth="1"/>
    <col min="1027" max="1030" width="11.42578125" style="655" customWidth="1"/>
    <col min="1031" max="1280" width="9.140625" style="655"/>
    <col min="1281" max="1281" width="9.7109375" style="655" customWidth="1"/>
    <col min="1282" max="1282" width="34" style="655" customWidth="1"/>
    <col min="1283" max="1286" width="11.42578125" style="655" customWidth="1"/>
    <col min="1287" max="1536" width="9.140625" style="655"/>
    <col min="1537" max="1537" width="9.7109375" style="655" customWidth="1"/>
    <col min="1538" max="1538" width="34" style="655" customWidth="1"/>
    <col min="1539" max="1542" width="11.42578125" style="655" customWidth="1"/>
    <col min="1543" max="1792" width="9.140625" style="655"/>
    <col min="1793" max="1793" width="9.7109375" style="655" customWidth="1"/>
    <col min="1794" max="1794" width="34" style="655" customWidth="1"/>
    <col min="1795" max="1798" width="11.42578125" style="655" customWidth="1"/>
    <col min="1799" max="2048" width="9.140625" style="655"/>
    <col min="2049" max="2049" width="9.7109375" style="655" customWidth="1"/>
    <col min="2050" max="2050" width="34" style="655" customWidth="1"/>
    <col min="2051" max="2054" width="11.42578125" style="655" customWidth="1"/>
    <col min="2055" max="2304" width="9.140625" style="655"/>
    <col min="2305" max="2305" width="9.7109375" style="655" customWidth="1"/>
    <col min="2306" max="2306" width="34" style="655" customWidth="1"/>
    <col min="2307" max="2310" width="11.42578125" style="655" customWidth="1"/>
    <col min="2311" max="2560" width="9.140625" style="655"/>
    <col min="2561" max="2561" width="9.7109375" style="655" customWidth="1"/>
    <col min="2562" max="2562" width="34" style="655" customWidth="1"/>
    <col min="2563" max="2566" width="11.42578125" style="655" customWidth="1"/>
    <col min="2567" max="2816" width="9.140625" style="655"/>
    <col min="2817" max="2817" width="9.7109375" style="655" customWidth="1"/>
    <col min="2818" max="2818" width="34" style="655" customWidth="1"/>
    <col min="2819" max="2822" width="11.42578125" style="655" customWidth="1"/>
    <col min="2823" max="3072" width="9.140625" style="655"/>
    <col min="3073" max="3073" width="9.7109375" style="655" customWidth="1"/>
    <col min="3074" max="3074" width="34" style="655" customWidth="1"/>
    <col min="3075" max="3078" width="11.42578125" style="655" customWidth="1"/>
    <col min="3079" max="3328" width="9.140625" style="655"/>
    <col min="3329" max="3329" width="9.7109375" style="655" customWidth="1"/>
    <col min="3330" max="3330" width="34" style="655" customWidth="1"/>
    <col min="3331" max="3334" width="11.42578125" style="655" customWidth="1"/>
    <col min="3335" max="3584" width="9.140625" style="655"/>
    <col min="3585" max="3585" width="9.7109375" style="655" customWidth="1"/>
    <col min="3586" max="3586" width="34" style="655" customWidth="1"/>
    <col min="3587" max="3590" width="11.42578125" style="655" customWidth="1"/>
    <col min="3591" max="3840" width="9.140625" style="655"/>
    <col min="3841" max="3841" width="9.7109375" style="655" customWidth="1"/>
    <col min="3842" max="3842" width="34" style="655" customWidth="1"/>
    <col min="3843" max="3846" width="11.42578125" style="655" customWidth="1"/>
    <col min="3847" max="4096" width="9.140625" style="655"/>
    <col min="4097" max="4097" width="9.7109375" style="655" customWidth="1"/>
    <col min="4098" max="4098" width="34" style="655" customWidth="1"/>
    <col min="4099" max="4102" width="11.42578125" style="655" customWidth="1"/>
    <col min="4103" max="4352" width="9.140625" style="655"/>
    <col min="4353" max="4353" width="9.7109375" style="655" customWidth="1"/>
    <col min="4354" max="4354" width="34" style="655" customWidth="1"/>
    <col min="4355" max="4358" width="11.42578125" style="655" customWidth="1"/>
    <col min="4359" max="4608" width="9.140625" style="655"/>
    <col min="4609" max="4609" width="9.7109375" style="655" customWidth="1"/>
    <col min="4610" max="4610" width="34" style="655" customWidth="1"/>
    <col min="4611" max="4614" width="11.42578125" style="655" customWidth="1"/>
    <col min="4615" max="4864" width="9.140625" style="655"/>
    <col min="4865" max="4865" width="9.7109375" style="655" customWidth="1"/>
    <col min="4866" max="4866" width="34" style="655" customWidth="1"/>
    <col min="4867" max="4870" width="11.42578125" style="655" customWidth="1"/>
    <col min="4871" max="5120" width="9.140625" style="655"/>
    <col min="5121" max="5121" width="9.7109375" style="655" customWidth="1"/>
    <col min="5122" max="5122" width="34" style="655" customWidth="1"/>
    <col min="5123" max="5126" width="11.42578125" style="655" customWidth="1"/>
    <col min="5127" max="5376" width="9.140625" style="655"/>
    <col min="5377" max="5377" width="9.7109375" style="655" customWidth="1"/>
    <col min="5378" max="5378" width="34" style="655" customWidth="1"/>
    <col min="5379" max="5382" width="11.42578125" style="655" customWidth="1"/>
    <col min="5383" max="5632" width="9.140625" style="655"/>
    <col min="5633" max="5633" width="9.7109375" style="655" customWidth="1"/>
    <col min="5634" max="5634" width="34" style="655" customWidth="1"/>
    <col min="5635" max="5638" width="11.42578125" style="655" customWidth="1"/>
    <col min="5639" max="5888" width="9.140625" style="655"/>
    <col min="5889" max="5889" width="9.7109375" style="655" customWidth="1"/>
    <col min="5890" max="5890" width="34" style="655" customWidth="1"/>
    <col min="5891" max="5894" width="11.42578125" style="655" customWidth="1"/>
    <col min="5895" max="6144" width="9.140625" style="655"/>
    <col min="6145" max="6145" width="9.7109375" style="655" customWidth="1"/>
    <col min="6146" max="6146" width="34" style="655" customWidth="1"/>
    <col min="6147" max="6150" width="11.42578125" style="655" customWidth="1"/>
    <col min="6151" max="6400" width="9.140625" style="655"/>
    <col min="6401" max="6401" width="9.7109375" style="655" customWidth="1"/>
    <col min="6402" max="6402" width="34" style="655" customWidth="1"/>
    <col min="6403" max="6406" width="11.42578125" style="655" customWidth="1"/>
    <col min="6407" max="6656" width="9.140625" style="655"/>
    <col min="6657" max="6657" width="9.7109375" style="655" customWidth="1"/>
    <col min="6658" max="6658" width="34" style="655" customWidth="1"/>
    <col min="6659" max="6662" width="11.42578125" style="655" customWidth="1"/>
    <col min="6663" max="6912" width="9.140625" style="655"/>
    <col min="6913" max="6913" width="9.7109375" style="655" customWidth="1"/>
    <col min="6914" max="6914" width="34" style="655" customWidth="1"/>
    <col min="6915" max="6918" width="11.42578125" style="655" customWidth="1"/>
    <col min="6919" max="7168" width="9.140625" style="655"/>
    <col min="7169" max="7169" width="9.7109375" style="655" customWidth="1"/>
    <col min="7170" max="7170" width="34" style="655" customWidth="1"/>
    <col min="7171" max="7174" width="11.42578125" style="655" customWidth="1"/>
    <col min="7175" max="7424" width="9.140625" style="655"/>
    <col min="7425" max="7425" width="9.7109375" style="655" customWidth="1"/>
    <col min="7426" max="7426" width="34" style="655" customWidth="1"/>
    <col min="7427" max="7430" width="11.42578125" style="655" customWidth="1"/>
    <col min="7431" max="7680" width="9.140625" style="655"/>
    <col min="7681" max="7681" width="9.7109375" style="655" customWidth="1"/>
    <col min="7682" max="7682" width="34" style="655" customWidth="1"/>
    <col min="7683" max="7686" width="11.42578125" style="655" customWidth="1"/>
    <col min="7687" max="7936" width="9.140625" style="655"/>
    <col min="7937" max="7937" width="9.7109375" style="655" customWidth="1"/>
    <col min="7938" max="7938" width="34" style="655" customWidth="1"/>
    <col min="7939" max="7942" width="11.42578125" style="655" customWidth="1"/>
    <col min="7943" max="8192" width="9.140625" style="655"/>
    <col min="8193" max="8193" width="9.7109375" style="655" customWidth="1"/>
    <col min="8194" max="8194" width="34" style="655" customWidth="1"/>
    <col min="8195" max="8198" width="11.42578125" style="655" customWidth="1"/>
    <col min="8199" max="8448" width="9.140625" style="655"/>
    <col min="8449" max="8449" width="9.7109375" style="655" customWidth="1"/>
    <col min="8450" max="8450" width="34" style="655" customWidth="1"/>
    <col min="8451" max="8454" width="11.42578125" style="655" customWidth="1"/>
    <col min="8455" max="8704" width="9.140625" style="655"/>
    <col min="8705" max="8705" width="9.7109375" style="655" customWidth="1"/>
    <col min="8706" max="8706" width="34" style="655" customWidth="1"/>
    <col min="8707" max="8710" width="11.42578125" style="655" customWidth="1"/>
    <col min="8711" max="8960" width="9.140625" style="655"/>
    <col min="8961" max="8961" width="9.7109375" style="655" customWidth="1"/>
    <col min="8962" max="8962" width="34" style="655" customWidth="1"/>
    <col min="8963" max="8966" width="11.42578125" style="655" customWidth="1"/>
    <col min="8967" max="9216" width="9.140625" style="655"/>
    <col min="9217" max="9217" width="9.7109375" style="655" customWidth="1"/>
    <col min="9218" max="9218" width="34" style="655" customWidth="1"/>
    <col min="9219" max="9222" width="11.42578125" style="655" customWidth="1"/>
    <col min="9223" max="9472" width="9.140625" style="655"/>
    <col min="9473" max="9473" width="9.7109375" style="655" customWidth="1"/>
    <col min="9474" max="9474" width="34" style="655" customWidth="1"/>
    <col min="9475" max="9478" width="11.42578125" style="655" customWidth="1"/>
    <col min="9479" max="9728" width="9.140625" style="655"/>
    <col min="9729" max="9729" width="9.7109375" style="655" customWidth="1"/>
    <col min="9730" max="9730" width="34" style="655" customWidth="1"/>
    <col min="9731" max="9734" width="11.42578125" style="655" customWidth="1"/>
    <col min="9735" max="9984" width="9.140625" style="655"/>
    <col min="9985" max="9985" width="9.7109375" style="655" customWidth="1"/>
    <col min="9986" max="9986" width="34" style="655" customWidth="1"/>
    <col min="9987" max="9990" width="11.42578125" style="655" customWidth="1"/>
    <col min="9991" max="10240" width="9.140625" style="655"/>
    <col min="10241" max="10241" width="9.7109375" style="655" customWidth="1"/>
    <col min="10242" max="10242" width="34" style="655" customWidth="1"/>
    <col min="10243" max="10246" width="11.42578125" style="655" customWidth="1"/>
    <col min="10247" max="10496" width="9.140625" style="655"/>
    <col min="10497" max="10497" width="9.7109375" style="655" customWidth="1"/>
    <col min="10498" max="10498" width="34" style="655" customWidth="1"/>
    <col min="10499" max="10502" width="11.42578125" style="655" customWidth="1"/>
    <col min="10503" max="10752" width="9.140625" style="655"/>
    <col min="10753" max="10753" width="9.7109375" style="655" customWidth="1"/>
    <col min="10754" max="10754" width="34" style="655" customWidth="1"/>
    <col min="10755" max="10758" width="11.42578125" style="655" customWidth="1"/>
    <col min="10759" max="11008" width="9.140625" style="655"/>
    <col min="11009" max="11009" width="9.7109375" style="655" customWidth="1"/>
    <col min="11010" max="11010" width="34" style="655" customWidth="1"/>
    <col min="11011" max="11014" width="11.42578125" style="655" customWidth="1"/>
    <col min="11015" max="11264" width="9.140625" style="655"/>
    <col min="11265" max="11265" width="9.7109375" style="655" customWidth="1"/>
    <col min="11266" max="11266" width="34" style="655" customWidth="1"/>
    <col min="11267" max="11270" width="11.42578125" style="655" customWidth="1"/>
    <col min="11271" max="11520" width="9.140625" style="655"/>
    <col min="11521" max="11521" width="9.7109375" style="655" customWidth="1"/>
    <col min="11522" max="11522" width="34" style="655" customWidth="1"/>
    <col min="11523" max="11526" width="11.42578125" style="655" customWidth="1"/>
    <col min="11527" max="11776" width="9.140625" style="655"/>
    <col min="11777" max="11777" width="9.7109375" style="655" customWidth="1"/>
    <col min="11778" max="11778" width="34" style="655" customWidth="1"/>
    <col min="11779" max="11782" width="11.42578125" style="655" customWidth="1"/>
    <col min="11783" max="12032" width="9.140625" style="655"/>
    <col min="12033" max="12033" width="9.7109375" style="655" customWidth="1"/>
    <col min="12034" max="12034" width="34" style="655" customWidth="1"/>
    <col min="12035" max="12038" width="11.42578125" style="655" customWidth="1"/>
    <col min="12039" max="12288" width="9.140625" style="655"/>
    <col min="12289" max="12289" width="9.7109375" style="655" customWidth="1"/>
    <col min="12290" max="12290" width="34" style="655" customWidth="1"/>
    <col min="12291" max="12294" width="11.42578125" style="655" customWidth="1"/>
    <col min="12295" max="12544" width="9.140625" style="655"/>
    <col min="12545" max="12545" width="9.7109375" style="655" customWidth="1"/>
    <col min="12546" max="12546" width="34" style="655" customWidth="1"/>
    <col min="12547" max="12550" width="11.42578125" style="655" customWidth="1"/>
    <col min="12551" max="12800" width="9.140625" style="655"/>
    <col min="12801" max="12801" width="9.7109375" style="655" customWidth="1"/>
    <col min="12802" max="12802" width="34" style="655" customWidth="1"/>
    <col min="12803" max="12806" width="11.42578125" style="655" customWidth="1"/>
    <col min="12807" max="13056" width="9.140625" style="655"/>
    <col min="13057" max="13057" width="9.7109375" style="655" customWidth="1"/>
    <col min="13058" max="13058" width="34" style="655" customWidth="1"/>
    <col min="13059" max="13062" width="11.42578125" style="655" customWidth="1"/>
    <col min="13063" max="13312" width="9.140625" style="655"/>
    <col min="13313" max="13313" width="9.7109375" style="655" customWidth="1"/>
    <col min="13314" max="13314" width="34" style="655" customWidth="1"/>
    <col min="13315" max="13318" width="11.42578125" style="655" customWidth="1"/>
    <col min="13319" max="13568" width="9.140625" style="655"/>
    <col min="13569" max="13569" width="9.7109375" style="655" customWidth="1"/>
    <col min="13570" max="13570" width="34" style="655" customWidth="1"/>
    <col min="13571" max="13574" width="11.42578125" style="655" customWidth="1"/>
    <col min="13575" max="13824" width="9.140625" style="655"/>
    <col min="13825" max="13825" width="9.7109375" style="655" customWidth="1"/>
    <col min="13826" max="13826" width="34" style="655" customWidth="1"/>
    <col min="13827" max="13830" width="11.42578125" style="655" customWidth="1"/>
    <col min="13831" max="14080" width="9.140625" style="655"/>
    <col min="14081" max="14081" width="9.7109375" style="655" customWidth="1"/>
    <col min="14082" max="14082" width="34" style="655" customWidth="1"/>
    <col min="14083" max="14086" width="11.42578125" style="655" customWidth="1"/>
    <col min="14087" max="14336" width="9.140625" style="655"/>
    <col min="14337" max="14337" width="9.7109375" style="655" customWidth="1"/>
    <col min="14338" max="14338" width="34" style="655" customWidth="1"/>
    <col min="14339" max="14342" width="11.42578125" style="655" customWidth="1"/>
    <col min="14343" max="14592" width="9.140625" style="655"/>
    <col min="14593" max="14593" width="9.7109375" style="655" customWidth="1"/>
    <col min="14594" max="14594" width="34" style="655" customWidth="1"/>
    <col min="14595" max="14598" width="11.42578125" style="655" customWidth="1"/>
    <col min="14599" max="14848" width="9.140625" style="655"/>
    <col min="14849" max="14849" width="9.7109375" style="655" customWidth="1"/>
    <col min="14850" max="14850" width="34" style="655" customWidth="1"/>
    <col min="14851" max="14854" width="11.42578125" style="655" customWidth="1"/>
    <col min="14855" max="15104" width="9.140625" style="655"/>
    <col min="15105" max="15105" width="9.7109375" style="655" customWidth="1"/>
    <col min="15106" max="15106" width="34" style="655" customWidth="1"/>
    <col min="15107" max="15110" width="11.42578125" style="655" customWidth="1"/>
    <col min="15111" max="15360" width="9.140625" style="655"/>
    <col min="15361" max="15361" width="9.7109375" style="655" customWidth="1"/>
    <col min="15362" max="15362" width="34" style="655" customWidth="1"/>
    <col min="15363" max="15366" width="11.42578125" style="655" customWidth="1"/>
    <col min="15367" max="15616" width="9.140625" style="655"/>
    <col min="15617" max="15617" width="9.7109375" style="655" customWidth="1"/>
    <col min="15618" max="15618" width="34" style="655" customWidth="1"/>
    <col min="15619" max="15622" width="11.42578125" style="655" customWidth="1"/>
    <col min="15623" max="15872" width="9.140625" style="655"/>
    <col min="15873" max="15873" width="9.7109375" style="655" customWidth="1"/>
    <col min="15874" max="15874" width="34" style="655" customWidth="1"/>
    <col min="15875" max="15878" width="11.42578125" style="655" customWidth="1"/>
    <col min="15879" max="16128" width="9.140625" style="655"/>
    <col min="16129" max="16129" width="9.7109375" style="655" customWidth="1"/>
    <col min="16130" max="16130" width="34" style="655" customWidth="1"/>
    <col min="16131" max="16134" width="11.42578125" style="655" customWidth="1"/>
    <col min="16135" max="16384" width="9.140625" style="655"/>
  </cols>
  <sheetData>
    <row r="1" spans="1:6" ht="15" x14ac:dyDescent="0.25">
      <c r="A1" s="652"/>
      <c r="B1" s="653"/>
      <c r="C1" s="654"/>
      <c r="D1" s="654"/>
      <c r="E1" s="817" t="s">
        <v>632</v>
      </c>
      <c r="F1" s="817"/>
    </row>
    <row r="2" spans="1:6" x14ac:dyDescent="0.2">
      <c r="A2" s="656" t="s">
        <v>538</v>
      </c>
    </row>
    <row r="3" spans="1:6" x14ac:dyDescent="0.2">
      <c r="B3" s="658"/>
      <c r="C3" s="658"/>
      <c r="D3" s="658"/>
      <c r="E3" s="658"/>
      <c r="F3" s="658"/>
    </row>
    <row r="4" spans="1:6" ht="38.25" x14ac:dyDescent="0.2">
      <c r="A4" s="659" t="s">
        <v>494</v>
      </c>
      <c r="B4" s="660"/>
      <c r="C4" s="661" t="s">
        <v>539</v>
      </c>
      <c r="D4" s="661" t="s">
        <v>540</v>
      </c>
      <c r="E4" s="661" t="s">
        <v>541</v>
      </c>
      <c r="F4" s="661" t="s">
        <v>542</v>
      </c>
    </row>
    <row r="5" spans="1:6" x14ac:dyDescent="0.2">
      <c r="A5" s="662"/>
      <c r="B5" s="663" t="s">
        <v>4</v>
      </c>
      <c r="C5" s="664">
        <v>1634.2900000000002</v>
      </c>
      <c r="D5" s="664">
        <v>1871.5900000000001</v>
      </c>
      <c r="E5" s="664">
        <v>2149.7800000000002</v>
      </c>
      <c r="F5" s="664">
        <v>2489.35</v>
      </c>
    </row>
    <row r="6" spans="1:6" x14ac:dyDescent="0.2">
      <c r="A6" s="665" t="s">
        <v>543</v>
      </c>
      <c r="B6" s="666" t="s">
        <v>544</v>
      </c>
      <c r="C6" s="665">
        <v>108.14</v>
      </c>
      <c r="D6" s="665">
        <v>108.14</v>
      </c>
      <c r="E6" s="665">
        <v>108.14</v>
      </c>
      <c r="F6" s="665">
        <v>108.14</v>
      </c>
    </row>
    <row r="7" spans="1:6" x14ac:dyDescent="0.2">
      <c r="A7" s="665" t="s">
        <v>545</v>
      </c>
      <c r="B7" s="666" t="s">
        <v>546</v>
      </c>
      <c r="C7" s="667">
        <v>1526.15</v>
      </c>
      <c r="D7" s="667">
        <v>1763.45</v>
      </c>
      <c r="E7" s="667">
        <v>2041.64</v>
      </c>
      <c r="F7" s="667">
        <v>2381.21</v>
      </c>
    </row>
    <row r="8" spans="1:6" x14ac:dyDescent="0.2">
      <c r="A8" s="668" t="s">
        <v>547</v>
      </c>
      <c r="B8" s="669" t="s">
        <v>548</v>
      </c>
      <c r="C8" s="670">
        <v>1207.7</v>
      </c>
      <c r="D8" s="670">
        <v>1445</v>
      </c>
      <c r="E8" s="670">
        <v>1723.19</v>
      </c>
      <c r="F8" s="670">
        <v>2062.7599999999998</v>
      </c>
    </row>
    <row r="9" spans="1:6" ht="13.5" x14ac:dyDescent="0.2">
      <c r="A9" s="671" t="s">
        <v>549</v>
      </c>
      <c r="B9" s="672" t="s">
        <v>550</v>
      </c>
      <c r="C9" s="673">
        <v>973.25</v>
      </c>
      <c r="D9" s="673">
        <v>1164.48</v>
      </c>
      <c r="E9" s="673">
        <v>1388.66</v>
      </c>
      <c r="F9" s="673">
        <v>1662.31</v>
      </c>
    </row>
    <row r="10" spans="1:6" x14ac:dyDescent="0.2">
      <c r="A10" s="659" t="s">
        <v>551</v>
      </c>
      <c r="B10" s="674" t="s">
        <v>552</v>
      </c>
      <c r="C10" s="675">
        <v>822.89</v>
      </c>
      <c r="D10" s="675">
        <v>987.05</v>
      </c>
      <c r="E10" s="675">
        <v>1184.46</v>
      </c>
      <c r="F10" s="675">
        <v>1421.35</v>
      </c>
    </row>
    <row r="11" spans="1:6" ht="76.5" x14ac:dyDescent="0.2">
      <c r="A11" s="659" t="s">
        <v>553</v>
      </c>
      <c r="B11" s="674" t="s">
        <v>554</v>
      </c>
      <c r="C11" s="675">
        <v>150.36000000000001</v>
      </c>
      <c r="D11" s="675">
        <v>177.43</v>
      </c>
      <c r="E11" s="675">
        <v>204.2</v>
      </c>
      <c r="F11" s="675">
        <v>240.96</v>
      </c>
    </row>
    <row r="12" spans="1:6" ht="13.5" x14ac:dyDescent="0.2">
      <c r="A12" s="671" t="s">
        <v>555</v>
      </c>
      <c r="B12" s="672" t="s">
        <v>556</v>
      </c>
      <c r="C12" s="673">
        <v>234.45</v>
      </c>
      <c r="D12" s="673">
        <v>280.52</v>
      </c>
      <c r="E12" s="673">
        <v>334.53</v>
      </c>
      <c r="F12" s="673">
        <v>400.45</v>
      </c>
    </row>
    <row r="13" spans="1:6" ht="38.25" x14ac:dyDescent="0.2">
      <c r="A13" s="668" t="s">
        <v>557</v>
      </c>
      <c r="B13" s="669" t="s">
        <v>558</v>
      </c>
      <c r="C13" s="670">
        <v>318.45000000000005</v>
      </c>
      <c r="D13" s="670">
        <v>318.45000000000005</v>
      </c>
      <c r="E13" s="670">
        <v>318.45000000000005</v>
      </c>
      <c r="F13" s="670">
        <v>318.45000000000005</v>
      </c>
    </row>
    <row r="14" spans="1:6" ht="27" x14ac:dyDescent="0.2">
      <c r="A14" s="671" t="s">
        <v>559</v>
      </c>
      <c r="B14" s="672" t="s">
        <v>560</v>
      </c>
      <c r="C14" s="673">
        <v>287.15000000000003</v>
      </c>
      <c r="D14" s="673">
        <v>287.15000000000003</v>
      </c>
      <c r="E14" s="673">
        <v>287.15000000000003</v>
      </c>
      <c r="F14" s="673">
        <v>287.15000000000003</v>
      </c>
    </row>
    <row r="15" spans="1:6" ht="38.25" x14ac:dyDescent="0.2">
      <c r="A15" s="659" t="s">
        <v>561</v>
      </c>
      <c r="B15" s="674" t="s">
        <v>562</v>
      </c>
      <c r="C15" s="676">
        <v>255.72000000000003</v>
      </c>
      <c r="D15" s="676">
        <v>255.72000000000003</v>
      </c>
      <c r="E15" s="676">
        <v>255.72000000000003</v>
      </c>
      <c r="F15" s="676">
        <v>255.72000000000003</v>
      </c>
    </row>
    <row r="16" spans="1:6" x14ac:dyDescent="0.2">
      <c r="A16" s="659" t="s">
        <v>563</v>
      </c>
      <c r="B16" s="674" t="s">
        <v>564</v>
      </c>
      <c r="C16" s="659">
        <v>206.08</v>
      </c>
      <c r="D16" s="659">
        <v>206.08</v>
      </c>
      <c r="E16" s="659">
        <v>206.08</v>
      </c>
      <c r="F16" s="659">
        <v>206.08</v>
      </c>
    </row>
    <row r="17" spans="1:6" x14ac:dyDescent="0.2">
      <c r="A17" s="659" t="s">
        <v>565</v>
      </c>
      <c r="B17" s="677" t="s">
        <v>566</v>
      </c>
      <c r="C17" s="676">
        <v>49.64</v>
      </c>
      <c r="D17" s="676">
        <v>49.64</v>
      </c>
      <c r="E17" s="676">
        <v>49.64</v>
      </c>
      <c r="F17" s="676">
        <v>49.64</v>
      </c>
    </row>
    <row r="18" spans="1:6" ht="38.25" x14ac:dyDescent="0.2">
      <c r="A18" s="659" t="s">
        <v>567</v>
      </c>
      <c r="B18" s="674" t="s">
        <v>568</v>
      </c>
      <c r="C18" s="676">
        <v>31.43</v>
      </c>
      <c r="D18" s="676">
        <v>31.43</v>
      </c>
      <c r="E18" s="676">
        <v>31.43</v>
      </c>
      <c r="F18" s="676">
        <v>31.43</v>
      </c>
    </row>
    <row r="19" spans="1:6" x14ac:dyDescent="0.2">
      <c r="A19" s="659" t="s">
        <v>569</v>
      </c>
      <c r="B19" s="674" t="s">
        <v>564</v>
      </c>
      <c r="C19" s="59">
        <v>25.330000000000002</v>
      </c>
      <c r="D19" s="59">
        <v>25.330000000000002</v>
      </c>
      <c r="E19" s="59">
        <v>25.330000000000002</v>
      </c>
      <c r="F19" s="59">
        <v>25.330000000000002</v>
      </c>
    </row>
    <row r="20" spans="1:6" x14ac:dyDescent="0.2">
      <c r="A20" s="659" t="s">
        <v>570</v>
      </c>
      <c r="B20" s="677" t="s">
        <v>566</v>
      </c>
      <c r="C20" s="676">
        <v>6.1</v>
      </c>
      <c r="D20" s="676">
        <v>6.1</v>
      </c>
      <c r="E20" s="676">
        <v>6.1</v>
      </c>
      <c r="F20" s="676">
        <v>6.1</v>
      </c>
    </row>
    <row r="21" spans="1:6" ht="27" x14ac:dyDescent="0.2">
      <c r="A21" s="671" t="s">
        <v>571</v>
      </c>
      <c r="B21" s="672" t="s">
        <v>572</v>
      </c>
      <c r="C21" s="673">
        <v>31.3</v>
      </c>
      <c r="D21" s="673">
        <v>31.3</v>
      </c>
      <c r="E21" s="673">
        <v>31.3</v>
      </c>
      <c r="F21" s="673">
        <v>31.3</v>
      </c>
    </row>
    <row r="22" spans="1:6" ht="76.5" x14ac:dyDescent="0.2">
      <c r="A22" s="659" t="s">
        <v>573</v>
      </c>
      <c r="B22" s="674" t="s">
        <v>574</v>
      </c>
      <c r="C22" s="659">
        <v>15.65</v>
      </c>
      <c r="D22" s="659">
        <v>15.65</v>
      </c>
      <c r="E22" s="659">
        <v>15.65</v>
      </c>
      <c r="F22" s="659">
        <v>15.65</v>
      </c>
    </row>
    <row r="23" spans="1:6" ht="114.75" x14ac:dyDescent="0.2">
      <c r="A23" s="659" t="s">
        <v>575</v>
      </c>
      <c r="B23" s="674" t="s">
        <v>576</v>
      </c>
      <c r="C23" s="659">
        <v>15.65</v>
      </c>
      <c r="D23" s="659">
        <v>15.65</v>
      </c>
      <c r="E23" s="659">
        <v>15.65</v>
      </c>
      <c r="F23" s="659">
        <v>15.65</v>
      </c>
    </row>
    <row r="24" spans="1:6" x14ac:dyDescent="0.2">
      <c r="A24" s="678"/>
      <c r="B24" s="679"/>
      <c r="C24" s="678"/>
      <c r="D24" s="678"/>
      <c r="E24" s="678"/>
      <c r="F24" s="678"/>
    </row>
    <row r="25" spans="1:6" ht="27" customHeight="1" x14ac:dyDescent="0.2">
      <c r="A25" s="946" t="s">
        <v>596</v>
      </c>
      <c r="B25" s="947"/>
      <c r="D25" s="682">
        <f>D5-C5</f>
        <v>237.29999999999995</v>
      </c>
      <c r="E25" s="682">
        <f>E5-C5</f>
        <v>515.49</v>
      </c>
      <c r="F25" s="680">
        <f>F5-C5</f>
        <v>855.05999999999972</v>
      </c>
    </row>
    <row r="26" spans="1:6" ht="15" customHeight="1" x14ac:dyDescent="0.2">
      <c r="A26" s="946" t="s">
        <v>577</v>
      </c>
      <c r="B26" s="947"/>
      <c r="D26" s="681">
        <f>ROUND(D25*12*782,0)</f>
        <v>2226823</v>
      </c>
      <c r="E26" s="681">
        <f>ROUND(E25*12*782,0)</f>
        <v>4837358</v>
      </c>
      <c r="F26" s="681">
        <f>ROUND(F25*12*782,0)</f>
        <v>8023883</v>
      </c>
    </row>
  </sheetData>
  <mergeCells count="3">
    <mergeCell ref="A25:B25"/>
    <mergeCell ref="A26:B26"/>
    <mergeCell ref="E1:F1"/>
  </mergeCells>
  <pageMargins left="0.70866141732283472" right="0.31496062992125984" top="0.74803149606299213" bottom="0.74803149606299213" header="0.31496062992125984" footer="0.31496062992125984"/>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kopā</vt:lpstr>
      <vt:lpstr>33.00.00  </vt:lpstr>
      <vt:lpstr>DS pārējās ministrijas</vt:lpstr>
      <vt:lpstr>62.resors</vt:lpstr>
      <vt:lpstr>LM līgumorg</vt:lpstr>
      <vt:lpstr>VM padotības iest</vt:lpstr>
      <vt:lpstr>PNDL</vt:lpstr>
      <vt:lpstr>rezidenti</vt:lpstr>
      <vt:lpstr>kopā!Print_Area</vt:lpstr>
      <vt:lpstr>'VM padotības iest'!Print_Area</vt:lpstr>
      <vt:lpstr>'DS pārējās ministrijas'!Print_Titles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Nr.2 Informatīvajam ziņojuma projektam “Par ārstniecības personu un ārstniecības iestāžu pārējā personāla atlīdzības palielināšanu 2019.- 2021.gadam"</dc:title>
  <dc:creator>Inga Vinničenko</dc:creator>
  <cp:keywords/>
  <dc:description>67876029, Inga.Vinnicenko@vm.gov.lv, Nozares budžeta plānošanas departamenta</dc:description>
  <cp:lastModifiedBy>VM_Sandra_Kasparenko</cp:lastModifiedBy>
  <cp:lastPrinted>2018-11-06T12:50:23Z</cp:lastPrinted>
  <dcterms:created xsi:type="dcterms:W3CDTF">2009-01-06T12:45:41Z</dcterms:created>
  <dcterms:modified xsi:type="dcterms:W3CDTF">2018-11-07T14:28:53Z</dcterms:modified>
  <cp:category/>
</cp:coreProperties>
</file>