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dvs.vm.gov.lv/Portal/webdav/eddeff83-c68e-4a27-ac3b-a3fdf880c952/"/>
    </mc:Choice>
  </mc:AlternateContent>
  <xr:revisionPtr revIDLastSave="0" documentId="13_ncr:1_{8E5B4827-8B9B-4AF2-A5A5-369E911A43A3}" xr6:coauthVersionLast="36" xr6:coauthVersionMax="36" xr10:uidLastSave="{00000000-0000-0000-0000-000000000000}"/>
  <bookViews>
    <workbookView xWindow="0" yWindow="0" windowWidth="28800" windowHeight="11925" tabRatio="750" xr2:uid="{00000000-000D-0000-FFFF-FFFF00000000}"/>
  </bookViews>
  <sheets>
    <sheet name="Kopsavilkums" sheetId="2" r:id="rId1"/>
    <sheet name="1.1." sheetId="55" r:id="rId2"/>
    <sheet name="1.2." sheetId="64" r:id="rId3"/>
    <sheet name="1.3." sheetId="65" r:id="rId4"/>
    <sheet name="1.4." sheetId="76" r:id="rId5"/>
    <sheet name="1.5." sheetId="77" r:id="rId6"/>
    <sheet name="1.6." sheetId="50" r:id="rId7"/>
    <sheet name="1.7." sheetId="52" r:id="rId8"/>
    <sheet name="1.8." sheetId="30" r:id="rId9"/>
    <sheet name="1.9." sheetId="59" r:id="rId10"/>
    <sheet name="1.11." sheetId="83" r:id="rId11"/>
    <sheet name="2.1." sheetId="41" r:id="rId12"/>
    <sheet name="2.2." sheetId="43" r:id="rId13"/>
    <sheet name="2.3." sheetId="39" r:id="rId14"/>
    <sheet name="2.4." sheetId="80" r:id="rId15"/>
    <sheet name="2.6." sheetId="84" r:id="rId16"/>
    <sheet name="3.1." sheetId="36" r:id="rId17"/>
    <sheet name="3.2." sheetId="42" r:id="rId18"/>
    <sheet name="3.3." sheetId="68" r:id="rId19"/>
    <sheet name="3.4." sheetId="69" r:id="rId20"/>
    <sheet name="3.5." sheetId="70" r:id="rId21"/>
    <sheet name="3.6." sheetId="71" r:id="rId22"/>
    <sheet name="3.7" sheetId="81" r:id="rId23"/>
    <sheet name="4.1." sheetId="78" r:id="rId24"/>
    <sheet name="4.2." sheetId="82" r:id="rId25"/>
    <sheet name="4.3." sheetId="79" r:id="rId26"/>
    <sheet name="4.4." sheetId="75"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1_2_d_NMP_lim" localSheetId="10">#REF!</definedName>
    <definedName name="_1_2_d_NMP_lim" localSheetId="5">#REF!</definedName>
    <definedName name="_1_2_d_NMP_lim" localSheetId="14">#REF!</definedName>
    <definedName name="_1_2_d_NMP_lim" localSheetId="15">#REF!</definedName>
    <definedName name="_1_2_d_NMP_lim">#REF!</definedName>
    <definedName name="_edn2" localSheetId="8">'1.8.'!#REF!</definedName>
    <definedName name="_ednref1" localSheetId="8">'1.8.'!#REF!</definedName>
    <definedName name="_ednref2" localSheetId="8">'1.8.'!#REF!</definedName>
    <definedName name="_Ref487107203" localSheetId="8">'1.8.'!#REF!</definedName>
    <definedName name="_Ref487107251" localSheetId="8">'1.8.'!#REF!</definedName>
    <definedName name="_xlnm.Auto_Open" localSheetId="10">#REF!</definedName>
    <definedName name="_xlnm.Auto_Open" localSheetId="15">#REF!</definedName>
    <definedName name="_xlnm.Auto_Open">#REF!</definedName>
    <definedName name="b" localSheetId="10">#REF!</definedName>
    <definedName name="b" localSheetId="5">#REF!</definedName>
    <definedName name="b" localSheetId="14">#REF!</definedName>
    <definedName name="b" localSheetId="15">#REF!</definedName>
    <definedName name="b">#REF!</definedName>
    <definedName name="bt" localSheetId="10">#REF!</definedName>
    <definedName name="bt" localSheetId="5">#REF!</definedName>
    <definedName name="bt" localSheetId="15">#REF!</definedName>
    <definedName name="bt">#REF!</definedName>
    <definedName name="BX" localSheetId="10">#REF!</definedName>
    <definedName name="BX" localSheetId="15">#REF!</definedName>
    <definedName name="BX">#REF!</definedName>
    <definedName name="ccc" localSheetId="10">#REF!</definedName>
    <definedName name="ccc" localSheetId="15">#REF!</definedName>
    <definedName name="ccc">#REF!</definedName>
    <definedName name="d" localSheetId="10">#REF!</definedName>
    <definedName name="d" localSheetId="15">#REF!</definedName>
    <definedName name="d">#REF!</definedName>
    <definedName name="D_Evija3" localSheetId="10">#REF!</definedName>
    <definedName name="D_Evija3" localSheetId="15">#REF!</definedName>
    <definedName name="D_Evija3">#REF!</definedName>
    <definedName name="de" localSheetId="10">#REF!</definedName>
    <definedName name="de" localSheetId="15">#REF!</definedName>
    <definedName name="de">#REF!</definedName>
    <definedName name="dff">#NAME?</definedName>
    <definedName name="DRGNAMES" localSheetId="10">#REF!</definedName>
    <definedName name="DRGNAMES" localSheetId="5">#REF!</definedName>
    <definedName name="DRGNAMES" localSheetId="14">#REF!</definedName>
    <definedName name="DRGNAMES" localSheetId="15">#REF!</definedName>
    <definedName name="DRGNAMES">#REF!</definedName>
    <definedName name="e" localSheetId="10">#REF!</definedName>
    <definedName name="e" localSheetId="5">#REF!</definedName>
    <definedName name="e" localSheetId="15">#REF!</definedName>
    <definedName name="e">#REF!</definedName>
    <definedName name="ee" localSheetId="10">#REF!</definedName>
    <definedName name="ee" localSheetId="5">#REF!</definedName>
    <definedName name="ee" localSheetId="15">#REF!</definedName>
    <definedName name="ee">#REF!</definedName>
    <definedName name="gad_skaits" localSheetId="10">#REF!</definedName>
    <definedName name="gad_skaits" localSheetId="15">#REF!</definedName>
    <definedName name="gad_skaits">#REF!</definedName>
    <definedName name="gad_skaits_1" localSheetId="10">#REF!</definedName>
    <definedName name="gad_skaits_1" localSheetId="15">#REF!</definedName>
    <definedName name="gad_skaits_1">#REF!</definedName>
    <definedName name="gggg" localSheetId="10">#REF!</definedName>
    <definedName name="gggg" localSheetId="15">#REF!</definedName>
    <definedName name="gggg">#REF!</definedName>
    <definedName name="ghy" localSheetId="10">#REF!</definedName>
    <definedName name="ghy" localSheetId="15">#REF!</definedName>
    <definedName name="ghy">#REF!</definedName>
    <definedName name="h" localSheetId="10">#REF!</definedName>
    <definedName name="h" localSheetId="15">#REF!</definedName>
    <definedName name="h">#REF!</definedName>
    <definedName name="hh" localSheetId="10">#REF!</definedName>
    <definedName name="hh" localSheetId="15">#REF!</definedName>
    <definedName name="hh">#REF!</definedName>
    <definedName name="hjh" localSheetId="10">#REF!</definedName>
    <definedName name="hjh" localSheetId="15">#REF!</definedName>
    <definedName name="hjh">#REF!</definedName>
    <definedName name="hyh" localSheetId="10">#REF!</definedName>
    <definedName name="hyh" localSheetId="15">#REF!</definedName>
    <definedName name="hyh">#REF!</definedName>
    <definedName name="i" localSheetId="10">#REF!</definedName>
    <definedName name="i" localSheetId="15">#REF!</definedName>
    <definedName name="i">#REF!</definedName>
    <definedName name="izm.kods" localSheetId="10">#REF!</definedName>
    <definedName name="izm.kods" localSheetId="15">#REF!</definedName>
    <definedName name="izm.kods">#REF!</definedName>
    <definedName name="izm.kods_1" localSheetId="14">[1]izm.posteni!$A$2:$A$216</definedName>
    <definedName name="izm.kods_1">[2]izm.posteni!$A$2:$A$216</definedName>
    <definedName name="izm.nos" localSheetId="10">#REF!</definedName>
    <definedName name="izm.nos" localSheetId="5">#REF!</definedName>
    <definedName name="izm.nos" localSheetId="14">#REF!</definedName>
    <definedName name="izm.nos" localSheetId="15">#REF!</definedName>
    <definedName name="izm.nos">#REF!</definedName>
    <definedName name="izm.nos_1" localSheetId="14">[1]izm.posteni!$B$2:$B$216</definedName>
    <definedName name="izm.nos_1">[2]izm.posteni!$B$2:$B$216</definedName>
    <definedName name="jhg" localSheetId="10">#REF!</definedName>
    <definedName name="jhg" localSheetId="5">#REF!</definedName>
    <definedName name="jhg" localSheetId="14">#REF!</definedName>
    <definedName name="jhg" localSheetId="15">#REF!</definedName>
    <definedName name="jhg">#REF!</definedName>
    <definedName name="kk" localSheetId="10">#REF!</definedName>
    <definedName name="kk" localSheetId="5">#REF!</definedName>
    <definedName name="kk" localSheetId="15">#REF!</definedName>
    <definedName name="kk">#REF!</definedName>
    <definedName name="l" localSheetId="10">#REF!</definedName>
    <definedName name="l" localSheetId="5">#REF!</definedName>
    <definedName name="l" localSheetId="15">#REF!</definedName>
    <definedName name="l">#REF!</definedName>
    <definedName name="Limeni_7_9group" localSheetId="10">#REF!</definedName>
    <definedName name="Limeni_7_9group" localSheetId="15">#REF!</definedName>
    <definedName name="Limeni_7_9group">#REF!</definedName>
    <definedName name="n" localSheetId="10">#REF!</definedName>
    <definedName name="n" localSheetId="15">#REF!</definedName>
    <definedName name="n">#REF!</definedName>
    <definedName name="P_Dati_rikojums" localSheetId="10">#REF!</definedName>
    <definedName name="P_Dati_rikojums" localSheetId="15">#REF!</definedName>
    <definedName name="P_Dati_rikojums">#REF!</definedName>
    <definedName name="pp" localSheetId="10">#REF!</definedName>
    <definedName name="pp" localSheetId="15">#REF!</definedName>
    <definedName name="pp">#REF!</definedName>
    <definedName name="_xlnm.Print_Area" localSheetId="1">'1.1.'!$A$1:$D$12</definedName>
    <definedName name="_xlnm.Print_Area" localSheetId="2">'1.2.'!$A$1:$G$31</definedName>
    <definedName name="_xlnm.Print_Area" localSheetId="4">'1.4.'!$A$1:$F$12</definedName>
    <definedName name="_xlnm.Print_Area" localSheetId="5">'1.5.'!$A$1:$F$32</definedName>
    <definedName name="_xlnm.Print_Area" localSheetId="6">'1.6.'!$A$1:$L$99</definedName>
    <definedName name="_xlnm.Print_Area" localSheetId="7">'1.7.'!$A$1:$L$37</definedName>
    <definedName name="_xlnm.Print_Area" localSheetId="8">'1.8.'!$A$1:$E$14</definedName>
    <definedName name="_xlnm.Print_Area" localSheetId="14">'2.4.'!$A$1:$F$22</definedName>
    <definedName name="_xlnm.Print_Area" localSheetId="15">'2.6.'!$A$1:$E$28</definedName>
    <definedName name="_xlnm.Print_Area" localSheetId="19">'3.4.'!$A$1:$D$17</definedName>
    <definedName name="_xlnm.Print_Area" localSheetId="20">'3.5.'!$A$1:$D$18</definedName>
    <definedName name="_xlnm.Print_Area" localSheetId="21">'3.6.'!$A$1:$D$7</definedName>
    <definedName name="_xlnm.Print_Area" localSheetId="23">'4.1.'!$A$1:$B$14</definedName>
    <definedName name="_xlnm.Print_Area" localSheetId="24">'4.2.'!$A$1:$F$18</definedName>
    <definedName name="_xlnm.Print_Area" localSheetId="26">'4.4.'!$A$1:$E$26</definedName>
    <definedName name="_xlnm.Print_Area" localSheetId="0">Kopsavilkums!$A$1:$N$114</definedName>
    <definedName name="_xlnm.Print_Titles" localSheetId="0">Kopsavilkums!$2:$4</definedName>
    <definedName name="Recover" localSheetId="14">[3]Macro1!$A$80</definedName>
    <definedName name="Recover">[4]Macro1!$A$80</definedName>
    <definedName name="Rikojums2222" localSheetId="14">[5]Macro1!$A$106</definedName>
    <definedName name="Rikojums2222">[6]Macro1!$A$106</definedName>
    <definedName name="rr" localSheetId="10">#REF!</definedName>
    <definedName name="rr" localSheetId="5">#REF!</definedName>
    <definedName name="rr" localSheetId="14">#REF!</definedName>
    <definedName name="rr" localSheetId="15">#REF!</definedName>
    <definedName name="rr">#REF!</definedName>
    <definedName name="rt" localSheetId="10">#REF!</definedName>
    <definedName name="rt" localSheetId="5">#REF!</definedName>
    <definedName name="rt" localSheetId="15">#REF!</definedName>
    <definedName name="rt">#REF!</definedName>
    <definedName name="rty" localSheetId="10">#REF!</definedName>
    <definedName name="rty" localSheetId="5">#REF!</definedName>
    <definedName name="rty" localSheetId="15">#REF!</definedName>
    <definedName name="rty">#REF!</definedName>
    <definedName name="S5\" localSheetId="10">#REF!</definedName>
    <definedName name="S5\" localSheetId="15">#REF!</definedName>
    <definedName name="S5\">#REF!</definedName>
    <definedName name="ss" localSheetId="10">#REF!</definedName>
    <definedName name="ss" localSheetId="15">#REF!</definedName>
    <definedName name="ss">#REF!</definedName>
    <definedName name="Str." localSheetId="10">#REF!</definedName>
    <definedName name="Str." localSheetId="15">#REF!</definedName>
    <definedName name="Str.">#REF!</definedName>
    <definedName name="Str.vien.nos." localSheetId="10">#REF!</definedName>
    <definedName name="Str.vien.nos." localSheetId="15">#REF!</definedName>
    <definedName name="Str.vien.nos.">#REF!</definedName>
    <definedName name="Struktura" localSheetId="10">#REF!</definedName>
    <definedName name="Struktura" localSheetId="15">#REF!</definedName>
    <definedName name="Struktura">#REF!</definedName>
    <definedName name="Struktūrvien.kodi2" localSheetId="10">#REF!</definedName>
    <definedName name="Struktūrvien.kodi2" localSheetId="15">#REF!</definedName>
    <definedName name="Struktūrvien.kodi2">#REF!</definedName>
    <definedName name="Struktūrvien.kodi2_1" localSheetId="14">[1]strukturkodi!$B$2:$B$232</definedName>
    <definedName name="Struktūrvien.kodi2_1">[2]strukturkodi!$B$2:$B$232</definedName>
    <definedName name="Struktūrvien.kods" localSheetId="10">#REF!</definedName>
    <definedName name="Struktūrvien.kods" localSheetId="5">#REF!</definedName>
    <definedName name="Struktūrvien.kods" localSheetId="14">#REF!</definedName>
    <definedName name="Struktūrvien.kods" localSheetId="15">#REF!</definedName>
    <definedName name="Struktūrvien.kods">#REF!</definedName>
    <definedName name="Struktūrvien.kods_1" localSheetId="14">[1]strukturkodi!$A$2:$A$232</definedName>
    <definedName name="Struktūrvien.kods_1">[2]strukturkodi!$A$2:$A$232</definedName>
    <definedName name="TableName">"Dummy"</definedName>
    <definedName name="ty" localSheetId="10">#REF!</definedName>
    <definedName name="ty" localSheetId="5">#REF!</definedName>
    <definedName name="ty" localSheetId="14">#REF!</definedName>
    <definedName name="ty" localSheetId="15">#REF!</definedName>
    <definedName name="ty">#REF!</definedName>
    <definedName name="tyuj" localSheetId="10">#REF!</definedName>
    <definedName name="tyuj" localSheetId="5">#REF!</definedName>
    <definedName name="tyuj" localSheetId="15">#REF!</definedName>
    <definedName name="tyuj">#REF!</definedName>
    <definedName name="u" localSheetId="10">#REF!</definedName>
    <definedName name="u" localSheetId="5">#REF!</definedName>
    <definedName name="u" localSheetId="15">#REF!</definedName>
    <definedName name="u">#REF!</definedName>
    <definedName name="U_N_A" localSheetId="10">#REF!</definedName>
    <definedName name="U_N_A" localSheetId="15">#REF!</definedName>
    <definedName name="U_N_A">#REF!</definedName>
    <definedName name="wedr" localSheetId="10">#REF!</definedName>
    <definedName name="wedr" localSheetId="15">#REF!</definedName>
    <definedName name="wedr">#REF!</definedName>
    <definedName name="x" localSheetId="10">#REF!</definedName>
    <definedName name="x" localSheetId="15">#REF!</definedName>
    <definedName name="x">#REF!</definedName>
    <definedName name="XBD" localSheetId="14">[7]Dati!$B$6</definedName>
    <definedName name="XBD">[8]Dati!$B$6</definedName>
    <definedName name="XDD" localSheetId="14">[7]Dati!$B$4</definedName>
    <definedName name="XDD">[8]Dati!$B$4</definedName>
    <definedName name="XDS" localSheetId="14">[7]Dati!$B$5</definedName>
    <definedName name="XDS">[8]Dati!$B$5</definedName>
    <definedName name="XSVD" localSheetId="14">[7]Dati!$B$7</definedName>
    <definedName name="XSVD">[8]Dati!$B$7</definedName>
    <definedName name="xxxx" localSheetId="10">#REF!</definedName>
    <definedName name="xxxx" localSheetId="5">#REF!</definedName>
    <definedName name="xxxx" localSheetId="14">#REF!</definedName>
    <definedName name="xxxx" localSheetId="15">#REF!</definedName>
    <definedName name="xxxx">#REF!</definedName>
    <definedName name="yuh" localSheetId="10">#REF!</definedName>
    <definedName name="yuh" localSheetId="5">#REF!</definedName>
    <definedName name="yuh" localSheetId="15">#REF!</definedName>
    <definedName name="yuh">#REF!</definedName>
    <definedName name="yyyy" localSheetId="10">#REF!</definedName>
    <definedName name="yyyy" localSheetId="5">#REF!</definedName>
    <definedName name="yyyy" localSheetId="15">#REF!</definedName>
    <definedName name="yyyy">#REF!</definedName>
  </definedNames>
  <calcPr calcId="191029"/>
  <customWorkbookViews>
    <customWorkbookView name="astrazdina - Personal View" guid="{BC187337-5DE7-48FA-A7E9-7359FCED48A6}"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7" i="41" l="1"/>
  <c r="E47" i="41"/>
  <c r="D47" i="41"/>
  <c r="G47" i="41" s="1"/>
  <c r="H47" i="41" s="1"/>
  <c r="J47" i="41" s="1"/>
  <c r="F23" i="41" s="1"/>
  <c r="F26" i="41" s="1"/>
  <c r="F41" i="41"/>
  <c r="E41" i="41"/>
  <c r="D41" i="41"/>
  <c r="G41" i="41" s="1"/>
  <c r="H41" i="41" s="1"/>
  <c r="J41" i="41" s="1"/>
  <c r="K41" i="41" s="1"/>
  <c r="C34" i="41"/>
  <c r="D34" i="41" s="1"/>
  <c r="E34" i="41" s="1"/>
  <c r="F34" i="41" s="1"/>
  <c r="E22" i="41"/>
  <c r="F22" i="41" s="1"/>
  <c r="E20" i="41"/>
  <c r="F20" i="41" s="1"/>
  <c r="H13" i="41"/>
  <c r="G13" i="41"/>
  <c r="G9" i="41"/>
  <c r="H9" i="41" s="1"/>
  <c r="F9" i="41"/>
  <c r="D9" i="41"/>
  <c r="C7" i="41"/>
  <c r="F7" i="41" s="1"/>
  <c r="G7" i="41" s="1"/>
  <c r="F25" i="41" l="1"/>
  <c r="F24" i="41"/>
  <c r="G12" i="41"/>
  <c r="G11" i="41"/>
  <c r="H7" i="41"/>
  <c r="D14" i="30"/>
  <c r="H11" i="41" l="1"/>
  <c r="H12" i="41"/>
  <c r="N7" i="2"/>
  <c r="F7" i="2"/>
  <c r="G8" i="2" l="1"/>
  <c r="H8" i="2"/>
  <c r="I8" i="2"/>
  <c r="J8" i="2"/>
  <c r="K8" i="2"/>
  <c r="L8" i="2"/>
  <c r="M8" i="2"/>
  <c r="F8" i="2"/>
  <c r="G72" i="2"/>
  <c r="H72" i="2"/>
  <c r="I72" i="2"/>
  <c r="J72" i="2"/>
  <c r="K72" i="2"/>
  <c r="L72" i="2"/>
  <c r="M72" i="2"/>
  <c r="F72" i="2"/>
  <c r="G74" i="2"/>
  <c r="H74" i="2"/>
  <c r="I74" i="2"/>
  <c r="J74" i="2"/>
  <c r="K74" i="2"/>
  <c r="L74" i="2"/>
  <c r="M74" i="2"/>
  <c r="F74" i="2"/>
  <c r="M73" i="2"/>
  <c r="L73" i="2"/>
  <c r="K73" i="2"/>
  <c r="J73" i="2"/>
  <c r="I73" i="2"/>
  <c r="H73" i="2"/>
  <c r="G73" i="2"/>
  <c r="F73" i="2"/>
  <c r="M97" i="2"/>
  <c r="L97" i="2"/>
  <c r="K97" i="2"/>
  <c r="K96" i="2" s="1"/>
  <c r="J97" i="2"/>
  <c r="J96" i="2" s="1"/>
  <c r="I97" i="2"/>
  <c r="H97" i="2"/>
  <c r="G97" i="2"/>
  <c r="F97" i="2"/>
  <c r="M96" i="2"/>
  <c r="L96" i="2"/>
  <c r="I96" i="2"/>
  <c r="H96" i="2"/>
  <c r="G96" i="2"/>
  <c r="F96" i="2"/>
  <c r="E28" i="84"/>
  <c r="E27" i="84"/>
  <c r="E26" i="84"/>
  <c r="M69" i="2"/>
  <c r="L69" i="2"/>
  <c r="K69" i="2"/>
  <c r="K68" i="2" s="1"/>
  <c r="J69" i="2"/>
  <c r="J68" i="2" s="1"/>
  <c r="I69" i="2"/>
  <c r="I68" i="2" s="1"/>
  <c r="H69" i="2"/>
  <c r="H68" i="2" s="1"/>
  <c r="G69" i="2"/>
  <c r="G68" i="2" s="1"/>
  <c r="F69" i="2"/>
  <c r="F68" i="2" s="1"/>
  <c r="M68" i="2"/>
  <c r="L68" i="2"/>
  <c r="M66" i="2"/>
  <c r="L66" i="2"/>
  <c r="K66" i="2"/>
  <c r="J66" i="2"/>
  <c r="I66" i="2"/>
  <c r="I65" i="2" s="1"/>
  <c r="H66" i="2"/>
  <c r="H65" i="2" s="1"/>
  <c r="G66" i="2"/>
  <c r="G65" i="2" s="1"/>
  <c r="F66" i="2"/>
  <c r="F65" i="2" s="1"/>
  <c r="M65" i="2"/>
  <c r="L65" i="2"/>
  <c r="K65" i="2"/>
  <c r="J65" i="2"/>
  <c r="N5" i="2"/>
  <c r="F5" i="2" l="1"/>
  <c r="M51" i="2"/>
  <c r="I51" i="2"/>
  <c r="K51" i="2"/>
  <c r="H51" i="2"/>
  <c r="F51" i="2"/>
  <c r="L51" i="2"/>
  <c r="G51" i="2"/>
  <c r="J51" i="2"/>
  <c r="M46" i="2"/>
  <c r="L46" i="2"/>
  <c r="K46" i="2"/>
  <c r="J46" i="2"/>
  <c r="I46" i="2"/>
  <c r="H46" i="2"/>
  <c r="G46" i="2"/>
  <c r="F46" i="2"/>
  <c r="F12" i="2" l="1"/>
  <c r="F45" i="2"/>
  <c r="I12" i="2"/>
  <c r="I45" i="2"/>
  <c r="M45" i="2"/>
  <c r="M12" i="2"/>
  <c r="G45" i="2"/>
  <c r="G12" i="2"/>
  <c r="K12" i="2"/>
  <c r="K45" i="2"/>
  <c r="H45" i="2"/>
  <c r="H12" i="2"/>
  <c r="L45" i="2"/>
  <c r="L12" i="2"/>
  <c r="J45" i="2"/>
  <c r="J12" i="2"/>
  <c r="F55" i="2"/>
  <c r="G34" i="52" l="1"/>
  <c r="F34" i="52"/>
  <c r="E34" i="52"/>
  <c r="D34" i="52"/>
  <c r="C34" i="52"/>
  <c r="K33" i="52"/>
  <c r="H33" i="52"/>
  <c r="I33" i="52" s="1"/>
  <c r="J33" i="52" s="1"/>
  <c r="H32" i="52"/>
  <c r="I32" i="52" s="1"/>
  <c r="K31" i="52"/>
  <c r="H31" i="52"/>
  <c r="K34" i="52" l="1"/>
  <c r="H34" i="52"/>
  <c r="J32" i="52"/>
  <c r="L32" i="52" s="1"/>
  <c r="I31" i="52"/>
  <c r="I34" i="52" s="1"/>
  <c r="L33" i="52"/>
  <c r="J31" i="52" l="1"/>
  <c r="J34" i="52" l="1"/>
  <c r="L31" i="52"/>
  <c r="L34" i="52" s="1"/>
  <c r="G93" i="50" l="1"/>
  <c r="F93" i="50"/>
  <c r="E93" i="50"/>
  <c r="D93" i="50"/>
  <c r="C93" i="50"/>
  <c r="K92" i="50"/>
  <c r="H92" i="50"/>
  <c r="K91" i="50"/>
  <c r="H91" i="50"/>
  <c r="K90" i="50"/>
  <c r="H90" i="50"/>
  <c r="H93" i="50" s="1"/>
  <c r="K89" i="50"/>
  <c r="H89" i="50"/>
  <c r="I89" i="50" s="1"/>
  <c r="J89" i="50" s="1"/>
  <c r="G77" i="50"/>
  <c r="F77" i="50"/>
  <c r="E77" i="50"/>
  <c r="D77" i="50"/>
  <c r="C77" i="50"/>
  <c r="K76" i="50"/>
  <c r="H76" i="50"/>
  <c r="K75" i="50"/>
  <c r="H75" i="50"/>
  <c r="K74" i="50"/>
  <c r="K77" i="50" s="1"/>
  <c r="H74" i="50"/>
  <c r="K73" i="50"/>
  <c r="H73" i="50"/>
  <c r="I73" i="50" s="1"/>
  <c r="J73" i="50" s="1"/>
  <c r="A66" i="50"/>
  <c r="E54" i="50"/>
  <c r="D54" i="50"/>
  <c r="C54" i="50"/>
  <c r="K53" i="50"/>
  <c r="H53" i="50"/>
  <c r="I53" i="50" s="1"/>
  <c r="J53" i="50" s="1"/>
  <c r="K52" i="50"/>
  <c r="H52" i="50"/>
  <c r="I52" i="50" s="1"/>
  <c r="K51" i="50"/>
  <c r="H51" i="50"/>
  <c r="K50" i="50"/>
  <c r="H50" i="50"/>
  <c r="A44" i="50"/>
  <c r="G31" i="50"/>
  <c r="F31" i="50"/>
  <c r="E31" i="50"/>
  <c r="D31" i="50"/>
  <c r="C31" i="50"/>
  <c r="K30" i="50"/>
  <c r="H30" i="50"/>
  <c r="I30" i="50" s="1"/>
  <c r="J30" i="50" s="1"/>
  <c r="K29" i="50"/>
  <c r="H29" i="50"/>
  <c r="K28" i="50"/>
  <c r="K31" i="50" s="1"/>
  <c r="H28" i="50"/>
  <c r="K27" i="50"/>
  <c r="H27" i="50"/>
  <c r="I27" i="50" s="1"/>
  <c r="J27" i="50" s="1"/>
  <c r="C25" i="75"/>
  <c r="C26" i="75" s="1"/>
  <c r="C17" i="75"/>
  <c r="C18" i="75" s="1"/>
  <c r="H54" i="50" l="1"/>
  <c r="I90" i="50"/>
  <c r="J90" i="50" s="1"/>
  <c r="K54" i="50"/>
  <c r="H77" i="50"/>
  <c r="K93" i="50"/>
  <c r="I50" i="50"/>
  <c r="J50" i="50" s="1"/>
  <c r="J52" i="50"/>
  <c r="L52" i="50" s="1"/>
  <c r="I74" i="50"/>
  <c r="J74" i="50" s="1"/>
  <c r="I75" i="50"/>
  <c r="I91" i="50"/>
  <c r="J91" i="50" s="1"/>
  <c r="L73" i="50"/>
  <c r="I76" i="50"/>
  <c r="J76" i="50" s="1"/>
  <c r="L89" i="50"/>
  <c r="I92" i="50"/>
  <c r="J92" i="50" s="1"/>
  <c r="I51" i="50"/>
  <c r="J51" i="50" s="1"/>
  <c r="L53" i="50"/>
  <c r="L27" i="50"/>
  <c r="H31" i="50"/>
  <c r="I28" i="50"/>
  <c r="I29" i="50"/>
  <c r="L30" i="50"/>
  <c r="L74" i="50" l="1"/>
  <c r="J54" i="50"/>
  <c r="I54" i="50"/>
  <c r="L90" i="50"/>
  <c r="I77" i="50"/>
  <c r="J75" i="50"/>
  <c r="L75" i="50" s="1"/>
  <c r="L50" i="50"/>
  <c r="J93" i="50"/>
  <c r="L92" i="50"/>
  <c r="L93" i="50" s="1"/>
  <c r="B99" i="50" s="1"/>
  <c r="C99" i="50" s="1"/>
  <c r="I93" i="50"/>
  <c r="L91" i="50"/>
  <c r="L76" i="50"/>
  <c r="L51" i="50"/>
  <c r="L54" i="50" s="1"/>
  <c r="B63" i="50" s="1"/>
  <c r="C63" i="50" s="1"/>
  <c r="C66" i="50" s="1"/>
  <c r="B66" i="50" s="1"/>
  <c r="J29" i="50"/>
  <c r="L29" i="50" s="1"/>
  <c r="I31" i="50"/>
  <c r="J28" i="50"/>
  <c r="L77" i="50" l="1"/>
  <c r="B83" i="50" s="1"/>
  <c r="C83" i="50" s="1"/>
  <c r="J77" i="50"/>
  <c r="J31" i="50"/>
  <c r="L28" i="50"/>
  <c r="L31" i="50" s="1"/>
  <c r="B41" i="50" s="1"/>
  <c r="C41" i="50" s="1"/>
  <c r="C44" i="50" s="1"/>
  <c r="B44" i="50" s="1"/>
  <c r="F41" i="2" l="1"/>
  <c r="C17" i="59"/>
  <c r="F113" i="2" l="1"/>
  <c r="F32" i="2"/>
  <c r="D18" i="70" l="1"/>
  <c r="M109" i="2" l="1"/>
  <c r="M108" i="2" s="1"/>
  <c r="K109" i="2"/>
  <c r="K108" i="2" s="1"/>
  <c r="J109" i="2"/>
  <c r="J108" i="2" s="1"/>
  <c r="I109" i="2"/>
  <c r="I108" i="2" s="1"/>
  <c r="H109" i="2"/>
  <c r="H108" i="2" s="1"/>
  <c r="G109" i="2"/>
  <c r="G108" i="2" s="1"/>
  <c r="F109" i="2"/>
  <c r="F108" i="2" s="1"/>
  <c r="B14" i="79"/>
  <c r="B13" i="79"/>
  <c r="D11" i="50" l="1"/>
  <c r="D10" i="50"/>
  <c r="F10" i="39"/>
  <c r="D10" i="39"/>
  <c r="J14" i="2" l="1"/>
  <c r="J13" i="2" s="1"/>
  <c r="F14" i="2"/>
  <c r="F13" i="2" s="1"/>
  <c r="H11" i="81" l="1"/>
  <c r="G11" i="81"/>
  <c r="F11" i="81"/>
  <c r="E10" i="81"/>
  <c r="E9" i="81"/>
  <c r="E11" i="81" s="1"/>
  <c r="M82" i="2"/>
  <c r="L82" i="2"/>
  <c r="K82" i="2"/>
  <c r="J82" i="2"/>
  <c r="I82" i="2"/>
  <c r="I81" i="2" s="1"/>
  <c r="H82" i="2"/>
  <c r="H81" i="2" s="1"/>
  <c r="G82" i="2"/>
  <c r="G81" i="2" s="1"/>
  <c r="F82" i="2"/>
  <c r="F81" i="2" s="1"/>
  <c r="M81" i="2"/>
  <c r="L81" i="2"/>
  <c r="K81" i="2"/>
  <c r="J81" i="2"/>
  <c r="D20" i="68"/>
  <c r="C20" i="68"/>
  <c r="B20" i="68"/>
  <c r="D18" i="43" l="1"/>
  <c r="E18" i="43" s="1"/>
  <c r="B27" i="43"/>
  <c r="D26" i="43"/>
  <c r="D25" i="43"/>
  <c r="D24" i="43"/>
  <c r="D23" i="43"/>
  <c r="D22" i="43"/>
  <c r="E14" i="39"/>
  <c r="D14" i="39"/>
  <c r="E10" i="39"/>
  <c r="D27" i="43" l="1"/>
  <c r="C12" i="43" l="1"/>
  <c r="B12" i="43"/>
  <c r="F11" i="43"/>
  <c r="G11" i="43" s="1"/>
  <c r="F10" i="43"/>
  <c r="G10" i="43" s="1"/>
  <c r="C22" i="52"/>
  <c r="C17" i="52"/>
  <c r="C10" i="52"/>
  <c r="A26" i="52" l="1"/>
  <c r="G12" i="43"/>
  <c r="D11" i="77" l="1"/>
  <c r="B18" i="82" l="1"/>
  <c r="G53" i="2" l="1"/>
  <c r="H53" i="2"/>
  <c r="I53" i="2"/>
  <c r="J53" i="2"/>
  <c r="K53" i="2"/>
  <c r="L53" i="2"/>
  <c r="M53" i="2"/>
  <c r="D17" i="69" l="1"/>
  <c r="D12" i="69"/>
  <c r="F53" i="2" l="1"/>
  <c r="K27" i="2"/>
  <c r="J27" i="2"/>
  <c r="L27" i="2"/>
  <c r="M27" i="2"/>
  <c r="M112" i="2" l="1"/>
  <c r="L112" i="2"/>
  <c r="K112" i="2"/>
  <c r="J112" i="2"/>
  <c r="J111" i="2" s="1"/>
  <c r="I112" i="2"/>
  <c r="H112" i="2"/>
  <c r="H111" i="2" s="1"/>
  <c r="G112" i="2"/>
  <c r="G111" i="2" s="1"/>
  <c r="F112" i="2"/>
  <c r="F111" i="2" s="1"/>
  <c r="M111" i="2"/>
  <c r="L111" i="2"/>
  <c r="L110" i="2" s="1"/>
  <c r="L109" i="2" s="1"/>
  <c r="L108" i="2" s="1"/>
  <c r="K111" i="2"/>
  <c r="I111" i="2"/>
  <c r="G106" i="2"/>
  <c r="G105" i="2" s="1"/>
  <c r="H106" i="2"/>
  <c r="H105" i="2" s="1"/>
  <c r="I106" i="2"/>
  <c r="I105" i="2" s="1"/>
  <c r="J106" i="2"/>
  <c r="J105" i="2" s="1"/>
  <c r="K106" i="2"/>
  <c r="K105" i="2" s="1"/>
  <c r="L106" i="2"/>
  <c r="L105" i="2" s="1"/>
  <c r="M106" i="2"/>
  <c r="M105" i="2" s="1"/>
  <c r="F106" i="2"/>
  <c r="F105" i="2" s="1"/>
  <c r="G103" i="2"/>
  <c r="G102" i="2" s="1"/>
  <c r="H103" i="2"/>
  <c r="H102" i="2" s="1"/>
  <c r="I103" i="2"/>
  <c r="I102" i="2" s="1"/>
  <c r="J103" i="2"/>
  <c r="J102" i="2" s="1"/>
  <c r="K103" i="2"/>
  <c r="K102" i="2" s="1"/>
  <c r="L103" i="2"/>
  <c r="L102" i="2" s="1"/>
  <c r="F102" i="2"/>
  <c r="F103" i="2"/>
  <c r="M94" i="2"/>
  <c r="L94" i="2"/>
  <c r="K94" i="2"/>
  <c r="J94" i="2"/>
  <c r="J93" i="2" s="1"/>
  <c r="I94" i="2"/>
  <c r="H94" i="2"/>
  <c r="G94" i="2"/>
  <c r="F94" i="2"/>
  <c r="F93" i="2" s="1"/>
  <c r="M93" i="2"/>
  <c r="L93" i="2"/>
  <c r="K93" i="2"/>
  <c r="I93" i="2"/>
  <c r="H93" i="2"/>
  <c r="G93" i="2"/>
  <c r="M91" i="2"/>
  <c r="L91" i="2"/>
  <c r="K91" i="2"/>
  <c r="J91" i="2"/>
  <c r="I91" i="2"/>
  <c r="H91" i="2"/>
  <c r="H90" i="2" s="1"/>
  <c r="G91" i="2"/>
  <c r="G90" i="2" s="1"/>
  <c r="F91" i="2"/>
  <c r="F90" i="2" s="1"/>
  <c r="M90" i="2"/>
  <c r="L90" i="2"/>
  <c r="K90" i="2"/>
  <c r="J90" i="2"/>
  <c r="I90" i="2"/>
  <c r="M88" i="2"/>
  <c r="L88" i="2"/>
  <c r="K88" i="2"/>
  <c r="J88" i="2"/>
  <c r="I88" i="2"/>
  <c r="H88" i="2"/>
  <c r="G88" i="2"/>
  <c r="G87" i="2" s="1"/>
  <c r="F88" i="2"/>
  <c r="F87" i="2" s="1"/>
  <c r="M87" i="2"/>
  <c r="L87" i="2"/>
  <c r="K87" i="2"/>
  <c r="J87" i="2"/>
  <c r="I87" i="2"/>
  <c r="H87" i="2"/>
  <c r="M85" i="2"/>
  <c r="L85" i="2"/>
  <c r="K85" i="2"/>
  <c r="J85" i="2"/>
  <c r="I85" i="2"/>
  <c r="H85" i="2"/>
  <c r="H84" i="2" s="1"/>
  <c r="G85" i="2"/>
  <c r="G84" i="2" s="1"/>
  <c r="F85" i="2"/>
  <c r="F84" i="2" s="1"/>
  <c r="M84" i="2"/>
  <c r="L84" i="2"/>
  <c r="K84" i="2"/>
  <c r="J84" i="2"/>
  <c r="I84" i="2"/>
  <c r="M79" i="2"/>
  <c r="L79" i="2"/>
  <c r="K79" i="2"/>
  <c r="J79" i="2"/>
  <c r="J78" i="2" s="1"/>
  <c r="I79" i="2"/>
  <c r="I78" i="2" s="1"/>
  <c r="H79" i="2"/>
  <c r="H78" i="2" s="1"/>
  <c r="G79" i="2"/>
  <c r="G78" i="2" s="1"/>
  <c r="F79" i="2"/>
  <c r="M78" i="2"/>
  <c r="L78" i="2"/>
  <c r="K78" i="2"/>
  <c r="F78" i="2"/>
  <c r="M76" i="2"/>
  <c r="L76" i="2"/>
  <c r="K76" i="2"/>
  <c r="J76" i="2"/>
  <c r="I76" i="2"/>
  <c r="H76" i="2"/>
  <c r="G76" i="2"/>
  <c r="G75" i="2" s="1"/>
  <c r="F76" i="2"/>
  <c r="F75" i="2" s="1"/>
  <c r="M75" i="2"/>
  <c r="L75" i="2"/>
  <c r="K75" i="2"/>
  <c r="J75" i="2"/>
  <c r="I75" i="2"/>
  <c r="H75" i="2"/>
  <c r="M63" i="2"/>
  <c r="M62" i="2" s="1"/>
  <c r="L63" i="2"/>
  <c r="L62" i="2" s="1"/>
  <c r="K63" i="2"/>
  <c r="K62" i="2" s="1"/>
  <c r="J63" i="2"/>
  <c r="J62" i="2" s="1"/>
  <c r="I63" i="2"/>
  <c r="I62" i="2" s="1"/>
  <c r="M60" i="2"/>
  <c r="L60" i="2"/>
  <c r="K60" i="2"/>
  <c r="K59" i="2" s="1"/>
  <c r="J60" i="2"/>
  <c r="J59" i="2" s="1"/>
  <c r="I60" i="2"/>
  <c r="I59" i="2" s="1"/>
  <c r="H60" i="2"/>
  <c r="H59" i="2" s="1"/>
  <c r="G60" i="2"/>
  <c r="G59" i="2" s="1"/>
  <c r="F60" i="2"/>
  <c r="F59" i="2" s="1"/>
  <c r="M59" i="2"/>
  <c r="L59" i="2"/>
  <c r="M57" i="2"/>
  <c r="M56" i="2" s="1"/>
  <c r="L57" i="2"/>
  <c r="L56" i="2" s="1"/>
  <c r="K57" i="2"/>
  <c r="K56" i="2" s="1"/>
  <c r="J57" i="2"/>
  <c r="J56" i="2" s="1"/>
  <c r="I57" i="2"/>
  <c r="I56" i="2" s="1"/>
  <c r="H57" i="2"/>
  <c r="H56" i="2" s="1"/>
  <c r="G57" i="2"/>
  <c r="G56" i="2" s="1"/>
  <c r="F57" i="2"/>
  <c r="F56" i="2" s="1"/>
  <c r="J52" i="2"/>
  <c r="K52" i="2"/>
  <c r="G52" i="2"/>
  <c r="H52" i="2"/>
  <c r="I52" i="2"/>
  <c r="L52" i="2"/>
  <c r="M52" i="2"/>
  <c r="F52" i="2"/>
  <c r="E22" i="59"/>
  <c r="D17" i="59"/>
  <c r="G17" i="59" s="1"/>
  <c r="G16" i="59"/>
  <c r="G15" i="59"/>
  <c r="F7" i="59"/>
  <c r="F8" i="59"/>
  <c r="F9" i="59"/>
  <c r="F10" i="59"/>
  <c r="F6" i="59"/>
  <c r="C25" i="59" l="1"/>
  <c r="B25" i="59"/>
  <c r="D17" i="50"/>
  <c r="D16" i="50"/>
  <c r="F10" i="50"/>
  <c r="J26" i="2"/>
  <c r="B22" i="77"/>
  <c r="E22" i="77" s="1"/>
  <c r="E23" i="77" s="1"/>
  <c r="D8" i="76"/>
  <c r="D11" i="65"/>
  <c r="A15" i="65" s="1"/>
  <c r="C15" i="65" s="1"/>
  <c r="J17" i="2"/>
  <c r="J16" i="2" s="1"/>
  <c r="G43" i="2"/>
  <c r="G42" i="2" s="1"/>
  <c r="H43" i="2"/>
  <c r="H42" i="2" s="1"/>
  <c r="I43" i="2"/>
  <c r="I42" i="2" s="1"/>
  <c r="J43" i="2"/>
  <c r="J42" i="2" s="1"/>
  <c r="K43" i="2"/>
  <c r="K42" i="2" s="1"/>
  <c r="L43" i="2"/>
  <c r="L42" i="2" s="1"/>
  <c r="M43" i="2"/>
  <c r="M42" i="2" s="1"/>
  <c r="F43" i="2"/>
  <c r="F42" i="2" s="1"/>
  <c r="G40" i="2"/>
  <c r="G39" i="2" s="1"/>
  <c r="H40" i="2"/>
  <c r="H39" i="2" s="1"/>
  <c r="I40" i="2"/>
  <c r="I39" i="2" s="1"/>
  <c r="J40" i="2"/>
  <c r="J39" i="2" s="1"/>
  <c r="K40" i="2"/>
  <c r="K39" i="2" s="1"/>
  <c r="L40" i="2"/>
  <c r="L39" i="2" s="1"/>
  <c r="M40" i="2"/>
  <c r="M39" i="2" s="1"/>
  <c r="F40" i="2"/>
  <c r="F39" i="2" s="1"/>
  <c r="G37" i="2"/>
  <c r="G36" i="2" s="1"/>
  <c r="H37" i="2"/>
  <c r="H36" i="2" s="1"/>
  <c r="I37" i="2"/>
  <c r="I36" i="2" s="1"/>
  <c r="J37" i="2"/>
  <c r="J36" i="2" s="1"/>
  <c r="K37" i="2"/>
  <c r="K36" i="2" s="1"/>
  <c r="L37" i="2"/>
  <c r="L36" i="2" s="1"/>
  <c r="M37" i="2"/>
  <c r="M36" i="2" s="1"/>
  <c r="N37" i="2"/>
  <c r="N36" i="2" s="1"/>
  <c r="F37" i="2"/>
  <c r="F36" i="2" s="1"/>
  <c r="G34" i="2"/>
  <c r="G33" i="2" s="1"/>
  <c r="H34" i="2"/>
  <c r="H33" i="2" s="1"/>
  <c r="I34" i="2"/>
  <c r="I33" i="2" s="1"/>
  <c r="J34" i="2"/>
  <c r="J33" i="2" s="1"/>
  <c r="K34" i="2"/>
  <c r="K33" i="2" s="1"/>
  <c r="L34" i="2"/>
  <c r="L33" i="2" s="1"/>
  <c r="M34" i="2"/>
  <c r="M33" i="2" s="1"/>
  <c r="F34" i="2"/>
  <c r="F33" i="2" s="1"/>
  <c r="G31" i="2"/>
  <c r="G30" i="2" s="1"/>
  <c r="H31" i="2"/>
  <c r="H30" i="2" s="1"/>
  <c r="I31" i="2"/>
  <c r="I30" i="2" s="1"/>
  <c r="J31" i="2"/>
  <c r="J30" i="2" s="1"/>
  <c r="K31" i="2"/>
  <c r="K30" i="2" s="1"/>
  <c r="L31" i="2"/>
  <c r="L30" i="2" s="1"/>
  <c r="M31" i="2"/>
  <c r="M30" i="2" s="1"/>
  <c r="F31" i="2"/>
  <c r="F30" i="2" s="1"/>
  <c r="G27" i="2"/>
  <c r="G26" i="2" s="1"/>
  <c r="H27" i="2"/>
  <c r="H26" i="2" s="1"/>
  <c r="K26" i="2"/>
  <c r="L26" i="2"/>
  <c r="M26" i="2"/>
  <c r="F27" i="2"/>
  <c r="F26" i="2" s="1"/>
  <c r="G24" i="2"/>
  <c r="G23" i="2" s="1"/>
  <c r="H24" i="2"/>
  <c r="H23" i="2" s="1"/>
  <c r="I24" i="2"/>
  <c r="I23" i="2" s="1"/>
  <c r="J24" i="2"/>
  <c r="J23" i="2" s="1"/>
  <c r="K24" i="2"/>
  <c r="K23" i="2" s="1"/>
  <c r="L24" i="2"/>
  <c r="L23" i="2" s="1"/>
  <c r="M24" i="2"/>
  <c r="M23" i="2" s="1"/>
  <c r="F24" i="2"/>
  <c r="F23" i="2" s="1"/>
  <c r="G21" i="2"/>
  <c r="G20" i="2" s="1"/>
  <c r="H21" i="2"/>
  <c r="H20" i="2" s="1"/>
  <c r="I21" i="2"/>
  <c r="I20" i="2" s="1"/>
  <c r="J21" i="2"/>
  <c r="J20" i="2" s="1"/>
  <c r="K21" i="2"/>
  <c r="K20" i="2" s="1"/>
  <c r="L21" i="2"/>
  <c r="L20" i="2" s="1"/>
  <c r="M21" i="2"/>
  <c r="M20" i="2" s="1"/>
  <c r="F21" i="2"/>
  <c r="F20" i="2" s="1"/>
  <c r="G14" i="2"/>
  <c r="G13" i="2" s="1"/>
  <c r="H14" i="2"/>
  <c r="H13" i="2" s="1"/>
  <c r="I14" i="2"/>
  <c r="I13" i="2" s="1"/>
  <c r="K14" i="2"/>
  <c r="K13" i="2" s="1"/>
  <c r="L14" i="2"/>
  <c r="L13" i="2" s="1"/>
  <c r="M14" i="2"/>
  <c r="M13" i="2" s="1"/>
  <c r="G17" i="2"/>
  <c r="G16" i="2" s="1"/>
  <c r="F17" i="2"/>
  <c r="F16" i="2" s="1"/>
  <c r="H17" i="2"/>
  <c r="H16" i="2" s="1"/>
  <c r="I17" i="2"/>
  <c r="I16" i="2" s="1"/>
  <c r="K17" i="2"/>
  <c r="K16" i="2" s="1"/>
  <c r="L17" i="2"/>
  <c r="L16" i="2" s="1"/>
  <c r="M17" i="2"/>
  <c r="M16" i="2" s="1"/>
  <c r="N18" i="2"/>
  <c r="F16" i="50" l="1"/>
  <c r="D21" i="77"/>
  <c r="C22" i="77"/>
  <c r="D22" i="77" s="1"/>
  <c r="B23" i="77"/>
  <c r="B29" i="77"/>
  <c r="E24" i="64"/>
  <c r="A31" i="64" s="1"/>
  <c r="D28" i="77" l="1"/>
  <c r="F28" i="77" s="1"/>
  <c r="D29" i="77"/>
  <c r="E29" i="77"/>
  <c r="D23" i="77"/>
  <c r="C31" i="64"/>
  <c r="F23" i="77" l="1"/>
  <c r="I27" i="2" s="1"/>
  <c r="I26" i="2" s="1"/>
  <c r="C23" i="77"/>
  <c r="F29" i="77"/>
  <c r="F8" i="76"/>
  <c r="F30" i="77" l="1"/>
  <c r="B14" i="78" l="1"/>
  <c r="E9" i="75" l="1"/>
  <c r="D9" i="75" l="1"/>
  <c r="B10" i="80" l="1"/>
  <c r="B14" i="80" s="1"/>
  <c r="D9" i="80"/>
  <c r="B15" i="80" s="1"/>
  <c r="B16" i="80" l="1"/>
  <c r="D20" i="80" s="1"/>
  <c r="E20" i="80" s="1"/>
  <c r="F20" i="80" l="1"/>
  <c r="N79" i="2" l="1"/>
  <c r="N80" i="2" s="1"/>
  <c r="N57" i="2"/>
  <c r="N58" i="2" s="1"/>
  <c r="N17" i="2"/>
  <c r="N19" i="2" s="1"/>
  <c r="H101" i="2" l="1"/>
  <c r="H100" i="2" s="1"/>
  <c r="L101" i="2"/>
  <c r="L100" i="2" s="1"/>
  <c r="L50" i="2"/>
  <c r="F101" i="2"/>
  <c r="F100" i="2" s="1"/>
  <c r="G101" i="2"/>
  <c r="G100" i="2" s="1"/>
  <c r="J11" i="2"/>
  <c r="J7" i="2" s="1"/>
  <c r="K50" i="2"/>
  <c r="K49" i="2" s="1"/>
  <c r="J101" i="2"/>
  <c r="J100" i="2" s="1"/>
  <c r="M11" i="2"/>
  <c r="I11" i="2"/>
  <c r="G11" i="2"/>
  <c r="K11" i="2"/>
  <c r="J50" i="2"/>
  <c r="J49" i="2" s="1"/>
  <c r="K101" i="2"/>
  <c r="K100" i="2" s="1"/>
  <c r="H11" i="2"/>
  <c r="L11" i="2"/>
  <c r="M50" i="2"/>
  <c r="M49" i="2" s="1"/>
  <c r="I50" i="2"/>
  <c r="I101" i="2"/>
  <c r="I100" i="2" s="1"/>
  <c r="I49" i="2" l="1"/>
  <c r="I7" i="2"/>
  <c r="L49" i="2"/>
  <c r="L7" i="2"/>
  <c r="L5" i="2" s="1"/>
  <c r="M7" i="2"/>
  <c r="K7" i="2"/>
  <c r="K5" i="2" s="1"/>
  <c r="I5" i="2"/>
  <c r="J5" i="2"/>
  <c r="M5" i="2"/>
  <c r="K10" i="2"/>
  <c r="G10" i="2"/>
  <c r="J10" i="2"/>
  <c r="L10" i="2"/>
  <c r="H10" i="2"/>
  <c r="I10" i="2"/>
  <c r="M10" i="2"/>
  <c r="F11" i="2"/>
  <c r="F63" i="2"/>
  <c r="F62" i="2" s="1"/>
  <c r="G63" i="2"/>
  <c r="G62" i="2" s="1"/>
  <c r="F10" i="2" l="1"/>
  <c r="F50" i="2"/>
  <c r="F49" i="2" s="1"/>
  <c r="G50" i="2"/>
  <c r="H63" i="2"/>
  <c r="H62" i="2" s="1"/>
  <c r="M103" i="2"/>
  <c r="M102" i="2" s="1"/>
  <c r="G7" i="2" l="1"/>
  <c r="G5" i="2" s="1"/>
  <c r="G49" i="2"/>
  <c r="H50" i="2"/>
  <c r="M101" i="2"/>
  <c r="H7" i="2" l="1"/>
  <c r="H5" i="2" s="1"/>
  <c r="M100" i="2"/>
  <c r="H49" i="2"/>
</calcChain>
</file>

<file path=xl/sharedStrings.xml><?xml version="1.0" encoding="utf-8"?>
<sst xmlns="http://schemas.openxmlformats.org/spreadsheetml/2006/main" count="964" uniqueCount="588">
  <si>
    <t>Pasākums</t>
  </si>
  <si>
    <t>2019.gads</t>
  </si>
  <si>
    <t>Gada finansējums EUR</t>
  </si>
  <si>
    <t>Budžeta programmas (apakšprogrammas kods un nosaukums)</t>
  </si>
  <si>
    <t>Vidēja termiņa budžeta ietvara likumā plānotais finansējums</t>
  </si>
  <si>
    <t>turpmākajā laikposmā līdz pasākuma pabeigšanai (ja pasākuma īstenošana ir terminēta)</t>
  </si>
  <si>
    <t>turpmāk ik gadu
 (ja pasākuma izpilde nav terminēta)</t>
  </si>
  <si>
    <t>Finansējums plāna realizācijai kopā</t>
  </si>
  <si>
    <t>Uzdevums</t>
  </si>
  <si>
    <t>tajā skaitā:</t>
  </si>
  <si>
    <t>Pielikums</t>
  </si>
  <si>
    <t>2020.gads</t>
  </si>
  <si>
    <t>Pasākuma īstenošanas gads               (ja pasākuma īstenošana ir terminēta)</t>
  </si>
  <si>
    <t>29.Veselības ministrija</t>
  </si>
  <si>
    <t>2021.gads</t>
  </si>
  <si>
    <t>Paaugstināta ģimenes ārstu un primārās veselības aprūpes māsu un ārstu palīgu kompetence psihiatriskajā aprūpē.</t>
  </si>
  <si>
    <t xml:space="preserve">1.3.Izstrādāt apmaksas nosacījumus ģimenes ārsta komandas darbam pacientiem ar psihiskiem un uzvedības traucējumiem. </t>
  </si>
  <si>
    <t>Veicināta ģimenes ārstu lielāka iesaistīšanās psihiskās veselības aprūpē.</t>
  </si>
  <si>
    <t>Apstiprināti grozījumi MK noteikumos Nr.555.</t>
  </si>
  <si>
    <t xml:space="preserve">1. Apstiprināti grozījumi MK noteikumos Nr.555. 
2. Psihiatriem un bērnu psihiatriem nodrošināts motivējošs atalgojums. </t>
  </si>
  <si>
    <t>Izstrādāts pilotprojekts tehnoloģiskam e-atbalsta risinājumam.</t>
  </si>
  <si>
    <t>1. Primārajā veselības aprūpē nodrošināta profilaktiskā pārbaude bērniem vecumā no 1.5 līdz 5 gadiem psihiskās attīstības novērtēšanai.
2. Palielinājies ģimenes ārstu prakšu skaits, kurās tiek veikta bērnu psihiskās attīstības novērtēšana.
3. Agrīni tiks samazināti riski saslimstībai ar psihiskiem un uzvedības traucējumiem bērniem.</t>
  </si>
  <si>
    <t xml:space="preserve">1. Apstiprināti grozījumi MK noteikumos Nr.265 un MK noteikumos Nr.555.
2. 50% bērnu vecumā no 1.5 līdz 5 gadiem veikta psihiskās attīstības novērtēšana. </t>
  </si>
  <si>
    <t>Palielinājies psihiatru prakšu skaits, kurās piesaistīts klīniskais un veselības psihologs, kā arī funkcionālais speciālists un garīgās veselības aprūpes māsa.</t>
  </si>
  <si>
    <t>Apmācīti 25% ģimenes ārstu, māsu un ārstu palīgu.</t>
  </si>
  <si>
    <t>1. Uzlabota profilakses aktivitāšu pieejamība bērniem un pusaudžiem.
2. Mazināsies bērnu skaits ar novēloti diagnosticētiem garīgās veselības traucējumiem, vienlaikus mazinoties pašnāvību un pašnāvību mēģinājumu skaitam.
3. Mazināsies bērnu un pusaudžu skaits, kuriem nepieciešama psihiatra palīdzība un kuri tiek stacionēti psihisku saslimšanu dēļ.</t>
  </si>
  <si>
    <t>1. Nodrošināta pilnvērtīga pacientu ārstēšana ambulatorās veselības aprūpes līmenī.
2. Atkarībā  no slimības smaguma novērsts vai samazināts dzīvības apdraudējums, uzturēts veselības stāvoklis, kontrolētas slimības izpausmes, lai persona nezaudētu darbspēju.
3. Mazināta nepieciešamība pacientiem ārstēties stacionārā.</t>
  </si>
  <si>
    <t>1.Rīcības virziens: Profilakse, agrīna diagnostika un ambulatorā ārstēšana</t>
  </si>
  <si>
    <t>2.Rīcības virziens: Uz pacientu vērsta savlaicīga stacionārā ārstēšana un veselības aprūpes koordinēšana</t>
  </si>
  <si>
    <t>2.2. Definēt primārās (ilglaicīgā), sekundārās un terciārās veselības aprūpes pakalpojumu līmeņus psihiatriskā profila stacionāriem, sasaistot tos ar multiprofesionālās komandas sastāvu.</t>
  </si>
  <si>
    <t>Uzlabota stacionārā sniegtā veselības aprūpe atbilstoši slimnīcas līmenim.</t>
  </si>
  <si>
    <t>Apstiprināti grozījumi MK noteikumos Nr.555</t>
  </si>
  <si>
    <t>2.3. Izveidot observācijas gultas slimnīcās, kuras nodrošina akūto psihiatrisko un narkoloģisko pacientu ārstēšanu.</t>
  </si>
  <si>
    <t>Samazinās nepamatotu stacionēšanas gadījumu skaits.</t>
  </si>
  <si>
    <t>3.Rīcības virziens: Veselības veicināšana un profilakse</t>
  </si>
  <si>
    <t xml:space="preserve">3.1. Īstenot sabiedrības informēšanas kampaņu
psihiskās veselības veicināšanai.
</t>
  </si>
  <si>
    <t xml:space="preserve">Īstenota sabiedrības informēšanas kampaņa psihiskās veselības veicināšanai (tostarp informatīvu materiālu un izglītojošu īsfilmu izstrāde).
</t>
  </si>
  <si>
    <t>Uzlabotas iedzīvotāju prasmes un zināšanas savas un līdzcilvēku psihiskās veselības saglabāšanā un uzlabošanā, tostarp pašnāvību profilaksē.</t>
  </si>
  <si>
    <t>3.3. Īstenot pētījumus par iedzīvotāju psihisko veselību</t>
  </si>
  <si>
    <t>3.4. Organizēt apmācības izglītības iestāžu pedagogiem par veselības izglītības jautājumiem, tostarp par psihiskās veselības veicināšanu.</t>
  </si>
  <si>
    <t>Īstenotas apmācības un izstrādāti informatīvie materiāli pedagogiem par veselības izglītības jautājumiem, tostarp par psihiskās veselības veicināšanu.</t>
  </si>
  <si>
    <t>4.Rīcības virziens: Cilvēkresursi psihiatrijā</t>
  </si>
  <si>
    <t>Savlaicīgāka un precīzāka pacientu ar psihisko slimību simptomiem atpazīšana un ārstēšana.</t>
  </si>
  <si>
    <t>Izstrādāti klīniskie algoritmi un klīniskie ceļi psihiskām slimībām (Uzmanības deficīta un hiperaktivitātes sindroms, autiska spektra traucējumi, ēšanas traucējumi).</t>
  </si>
  <si>
    <t xml:space="preserve">4.1. Izstrādāt klīniskos algoritmus un klīniskos pacientu ceļus bērnu psihiatrijas jomā. </t>
  </si>
  <si>
    <t>Nodrošināta metodiskā vadība psihiskās veselības aprūpes organizācijā.</t>
  </si>
  <si>
    <t>Noslēgts līgums par  metodisko vadību psihiskās veselības jomā.</t>
  </si>
  <si>
    <t xml:space="preserve">1. Bērniem tiek mazināts stress.
2. Pārvarētas adaptācijas grūtības atšķirīgajā slimnīcas vidē.
3. Tiek aizpildīts no medicīniskajām manipulācijām brīvais laiks. </t>
  </si>
  <si>
    <t xml:space="preserve">1.1.Izglītot ģimenes ārstu komandā iesaistītās ārstniecības personas. </t>
  </si>
  <si>
    <t>1.5.Pilnveidot normatīvo regulējumu, pārskatot finansējuma apmēru un kārtību psihiatru un bērnu psihiatra sniegto veselības aprūpes pakalpojumu finansēšanas kārtību.</t>
  </si>
  <si>
    <t xml:space="preserve">1.6.Stiprināt psihiatru prakses, piesaistot 
klīniskos un veselības psihologus, funkcionālos speciālistus un garīgās veselības aprūpes māsas.
</t>
  </si>
  <si>
    <t>Nav ietekmes uz budžetu</t>
  </si>
  <si>
    <t xml:space="preserve">1. Apstiprināti  grozījumi MK noteikumos Nr.555. 
2. Izveidotas 3 izglītības pedagogu amata vietas. </t>
  </si>
  <si>
    <t>Papildus nepieciešamais finansējums</t>
  </si>
  <si>
    <t>Pozīcija</t>
  </si>
  <si>
    <t>Bērnu skaits (no 1.5  līdz 5 gadiem), kuri 2017.gadā ir izmantojuši ambulatoros veselības aprūpes pakalpojumus *</t>
  </si>
  <si>
    <t>Plānotā pacientu aptvere, % **</t>
  </si>
  <si>
    <t>Plānotais pacientu skaits</t>
  </si>
  <si>
    <t>Papildus apmaksai (tarifu starpība)***, EUR</t>
  </si>
  <si>
    <t>Manipulācijas nosaukums</t>
  </si>
  <si>
    <t>Tarifs, EUR</t>
  </si>
  <si>
    <t>Slodžu skaits (bērnu psihiatrija)</t>
  </si>
  <si>
    <t>Slodžu skaits (pieaugušo psihiatrija)</t>
  </si>
  <si>
    <t>Ārsta alga (MK noteikumi Nr.555)</t>
  </si>
  <si>
    <t>VSAOI</t>
  </si>
  <si>
    <t>EUR, kopā</t>
  </si>
  <si>
    <t>Hospitalizāciju skaits pakalpojumu programmā "Stacionārā psihiatriskā palīdzība bērniem (3.2.36.)"</t>
  </si>
  <si>
    <t>Kopējais manipulācijas 60107 skaits 2017.gadā BKUS</t>
  </si>
  <si>
    <t>Kopā vidēji pavadītais laiks ko vecāks pavada kopā ar bērnu slimnīcā</t>
  </si>
  <si>
    <t>Manipulācijas 60107 pielietojuma  īpatsvars pacientiem, %</t>
  </si>
  <si>
    <t>2017.g. hospitalizāciju (bērnu) skaits pakalpojumu programmā "Psihiatriskā palīdzība bērniem" (3.2.43.2)</t>
  </si>
  <si>
    <t xml:space="preserve">Vidējais ilgums pavadošās personas atrašanās pie pacienta </t>
  </si>
  <si>
    <t>Plānotais manipulāciju skaits</t>
  </si>
  <si>
    <t>Finansējuma aprēķins</t>
  </si>
  <si>
    <t>Kods</t>
  </si>
  <si>
    <t>Manipulāciju skaits</t>
  </si>
  <si>
    <t>Papildus nepieciešamais finansējums gadā, EUR</t>
  </si>
  <si>
    <t>Pavadošās personas atrašanās pie pacienta diennakts rehabilitācijas iestādē vai pie bērna diennakts stacionārā (par vienu gultasdienu)</t>
  </si>
  <si>
    <t xml:space="preserve">BKUS līguma ietvaros 2017.gadā </t>
  </si>
  <si>
    <t>Pilotprojektam nepieciešamais finansējums</t>
  </si>
  <si>
    <t>2 089.85</t>
  </si>
  <si>
    <t>Interešu izglītības nodrošināšana bērniem ārstniecības un atveseļošanās procesa laikā</t>
  </si>
  <si>
    <t>Veidot metodiskās vadības struktūru psihiskās veselības jomā</t>
  </si>
  <si>
    <t>4.3.pielikums</t>
  </si>
  <si>
    <t>4.1.pielikums</t>
  </si>
  <si>
    <t>EUR</t>
  </si>
  <si>
    <t>1.Identificēt Latvijā izmantojamās klīniskās vadlīnijas, kas publiski pieejamas starptautiski atpazīstamu institūciju izveidotās datu bāzēs par katru tēmu</t>
  </si>
  <si>
    <t>2.Izstrādāt klīniskos algoritmus</t>
  </si>
  <si>
    <t>3.Izstrādāt klīniskos ceļus</t>
  </si>
  <si>
    <t>4.Noteikt indikatorus, kurus izmantot, lai novērtētu ārstniecības procesa kvalitāti un atbilstību klīniskajām vadlīnijām, algoritmiem un ceļiem</t>
  </si>
  <si>
    <t>KOPA:</t>
  </si>
  <si>
    <t xml:space="preserve">Izstrādāt klīniskos algoritmus un klīniskos pacientu ceļus bērnu psihiatrijas jomā </t>
  </si>
  <si>
    <t>Pilotprojektam “Pierādījumos balstīta jauniešu garīgās veselības sekundārās profilakses programma garastāvokļa un uzvedības traucējumu novēršanai un seku mazināšanai” nepieciešamais finansējums</t>
  </si>
  <si>
    <t>1.1.pielikums</t>
  </si>
  <si>
    <t xml:space="preserve">Izglītot ģimenes ārstu komandā iesaistītās ārstniecības personas </t>
  </si>
  <si>
    <t>1.2.pielikums</t>
  </si>
  <si>
    <t xml:space="preserve">1.2.Ieviest e-konsultāciju kā atbalstu ģimenes ārstiem. </t>
  </si>
  <si>
    <t>1.4.Izstrādāt un ieviest ģimenes ārsta praksēs attīstības skrīningu bērniem no 1.5 līdz 5 gadu vecumā.</t>
  </si>
  <si>
    <t xml:space="preserve">1.7.Attīstīt ambulatoros psihiskās veselības centrus ar multiprofesionālās komandas iesaisti. 
Pilnveidot normatīvo regulējumu, pārskatot finansējuma apmēru un kārtību multiprofesionālajai komandai (psihiatrs, garīgās veselības aprūpes māsa, klīniskais un veselības psihologs, mākslas terapeits, audiologopēds, ergoterapeits, fizioterapeits, uztura speciālists).
</t>
  </si>
  <si>
    <t>1. Uzlabojas psihiatra un bērnu psihiatra komandas sniegto pakalpojumu pieejamība un kvalitāte.
2. Multiprofesionālajā komandā iesaistīti psihologi, garīgās veselības aprūpes māsas, audiologopēdi, mākslas terapeiti, fizioterapeiti, ergoterapeiti u.c. 
3. Nodrošināts atbalsts ģimenes ārstiem.
4. Nodrošināta ambulatoru nemedikamentozo terapiju pieejamība pacientiem ar dažādiem psihiskās veselības traucējumiem
5. Ambulatoros psihiatrijas centros izveidotas atsevišķas psihiatra un bērnu psihiatra multiprofesionālās komandas.</t>
  </si>
  <si>
    <t xml:space="preserve">1. Iztrādāti grozījumi MK noteikumos Nr. 555 
2. Pilnveidoti 3 ambulatoro centru Rīgā, 2 ambulatoro centru Latgalē, 1 ambulatorā centra Vidzemē, 2 ambulatoro centru Kurzemē un 1 ambulatorā centra Zemgalē sniegtie pakalpojumi.  
3. Vismaz 20% no psihiatru apmeklējušiem pacientiem saņēmuši ambulatoros ārstēšanas un rehabilitācijas pakalpojumus pie multiprofesionālās komandas speciālistiem 
</t>
  </si>
  <si>
    <t>1.8.Pilotprojekta ietvaros izveidot jaunu pakalpojumu “Pierādījumos balstīta jauniešu garīgās veselības sekundārās profilakses programma garastāvokļa un uzvedības traucējumu novēršanai un seku mazināšanai” VSIA “Bērnu klīniskā universitātes slimnīca” bērniem un pusaudžiem ar garastāvokļa traucējumiem.</t>
  </si>
  <si>
    <t>1.8.pielikums</t>
  </si>
  <si>
    <t>1.9.Pilnveidot normatīvo regulējumu, pārskatot kompensācijas apmēru un iespēju iekļaut zāļu kompensācijas sistēmā jaunas diagnozes.</t>
  </si>
  <si>
    <t xml:space="preserve">1. Izstrādāti grozījumi MK noteikumos Nr.899
2. Palielināts zāļu kompensācijas apmērs un zāļu kompensācijas sistēmā iekļautas jaunas diagnozes </t>
  </si>
  <si>
    <t>1.10.Izvērtēt iespēju iekļaut no valsts budžeta apmaksājamo pakalpojumu grozā zobārstniecības pakalpojumus personām ar  I un II grupas invaliditāti, kurām ir psihiski un uzvedības traucējumi</t>
  </si>
  <si>
    <t>Izvērtēta iespēja iekļaut no valsts budžeta apmaksājamo pakalpojumu grozā zobārstniecības pakalpojumus personām ar  I un II grupas invaliditāti, kurām ir psihiski un uzvedības traucējumi.</t>
  </si>
  <si>
    <t>Uzlabota veselības aprūpes pakalpojumu pieejamība I un II grupas invalīdiem ar psihiskiem un uzvedības traucējumiem</t>
  </si>
  <si>
    <t>1.Uzlabota veselības aprūpe stacionārā, nodrošinot kvalificētu speciālistu palīdzību un pieejamību.
2. Nodrošināta nemedikamentozas terapijas pieejamība pacientiem ar dažādiem psihiskiem un uzvedības  traucējumiem.</t>
  </si>
  <si>
    <t>2.4. Paredzēt iespēju stacionārā bērnam uzturēties  kopā ar vienu likumisko pārstāvi vai vienu pārstāvi no audžuģimenes.</t>
  </si>
  <si>
    <t>2.4.pielikums</t>
  </si>
  <si>
    <t>1. Uzlabota veselības aprūpe bērniem stacionārā.</t>
  </si>
  <si>
    <t>Ir pilnveidotas zināšanas un prasmes pieaugušajiem komunikācijas
veidošanai ar bērniem dažādos
vecumposmos; 
mazināta ņirgāšanās bērnu
vidū; 
2. pilnveidotas
prasmes un izpratne 
psihoemocionālās labklājības
veicināšanai.</t>
  </si>
  <si>
    <t>Iegūti dati par psihisko traucējumu un pašnāvnieciskās uzvedības izplatību Latvijas populācijā un noskaidrots iedzīvotāju skaits, kam ir dažāda veida traucējumi, kas rada ekonomisko slogu, bet kuri pēc palīdzības nevēršas.
2. Noskaidrota Latvijas jauniešu bērnībā piedzīvotās emocionālās, fiziskās, seksuālās vardarbības un pamešanas novārtā izplatību.</t>
  </si>
  <si>
    <t>Veikts pētījums par iedzīvotāju psihisko veselību.</t>
  </si>
  <si>
    <t xml:space="preserve">3.5. Organizēt izglītojošus pasākumus pašvaldībās par psihisko veselību un tās veicināšanu gan pieaugušajiem, gan bērniem </t>
  </si>
  <si>
    <t>Veicināta iedzīvotāju izpratne par psihiskās veselības nozīmi, iespējām, kā to veicināt un rīcību dažādās dzīves situācijās, to pielietojumu ikdienā, kā arī pozitīvas savstarpējās komunikācijas veidošanu un izglītošanu par konfliktu risināšanas paņēmieniem.</t>
  </si>
  <si>
    <t>Īstenoti izglītojošie pasākumi pašvaldībās par psihisko veselību un tās veicināšanu, pozitīvas savstarpējas komunikācijas veidošanu, kā arī konfliktu risināšanu ņirgāšanās profilaksei.</t>
  </si>
  <si>
    <t>3.6. Īstenot sabiedrības informēšanas, izglītošanas un profilakses pasākumus psihiskās veselības veicināšanas jomā pašvaldībās</t>
  </si>
  <si>
    <t>Samazinājusies psihisko slimību riska faktoru izplatība sabiedrībā</t>
  </si>
  <si>
    <t>Īstenoti sabiedrības informēšanas, izglītošanas un profilakses pasākumi psihiskās veselības veicināšanas jomā pašvaldībās</t>
  </si>
  <si>
    <t>3.7.Veikt sabiedrības informēšanu par personu ar psihiskās veselības un uzvedības traucējumiem iekļaušanu sabiedriskajās aktivitātēs, kas veicinās atbalstu personu ar psihiskās veselības un uzvedības traucējumiem integrācija sabiedrībā.</t>
  </si>
  <si>
    <t xml:space="preserve">Uzlabojas sabiedrības informētība par personu ar psihiskās veselības un uzvedības traucējumiem iekļaušanu sabiedriskajās aktivitātēs. </t>
  </si>
  <si>
    <t>Izstrādāti informatīvie materiāli 
- par bērnu un pusaudžu psihoemocionālās labklājības veicināšanu;
- pēcdzemdību depresija, profilakse un palīdzības iespējas;
-senioru psihiskā veselība.</t>
  </si>
  <si>
    <t>4.3. Veidot metodiskās vadības struktūru psihiskās veselības jomā.</t>
  </si>
  <si>
    <t>4.4. Nodrošināt interešu izglītību bērniem ārstniecības un atveseļošanās procesa laikā VSIA “Bērnu klīniskā universitātes slimnīcā”</t>
  </si>
  <si>
    <t xml:space="preserve">4.2. Īstenot "Darbības programmas "Izaugsme un nodarbinātība" 9.2.6. specifiskā atbalsta mērķa "Uzlabot ārstniecības un ārstniecības atbalsta personāla kvalifikāciju" īstenošanas noteikumi" tālākizglītības pasākumus psihiatrijas un sociālās aprūpes jomā  </t>
  </si>
  <si>
    <t>Tiks uzlabota kvalifikācija un pilnveidotas zināšanas ārstniecības personām, farmācijas jomā  un sociālās aprūpes jomā strādājošajiem par pacientiem ar psihiskiem, uzvedības un nervu sistēmas attīstības traucējumiem</t>
  </si>
  <si>
    <t>Sagatavotas programmas un metodiskie līdzekļi gan ārstniecības personām, gan sociālajā jomā strādājošajiem un farmaceitiem, un farmaceitu asistentiem</t>
  </si>
  <si>
    <t>Ar šo tarifu tiks apmaksāts ģimenes ārsta konsultācijas laiku, kas ir plānota 30 minūšu garumā.</t>
  </si>
  <si>
    <t>Periods</t>
  </si>
  <si>
    <t>Unikālo pacientu skaits *</t>
  </si>
  <si>
    <t xml:space="preserve">Apmeklējumu skaits </t>
  </si>
  <si>
    <t xml:space="preserve">Pacientu skaits </t>
  </si>
  <si>
    <t>* Unikālās personas ar GRT, kas ir griezušās pie ģimenes ārsta 2018. gada laikā</t>
  </si>
  <si>
    <t>** Pacientu proporcija par kuriem ģiemenes ārstam ir nepieciešama konsultācija no psihiatra</t>
  </si>
  <si>
    <t>Konsultāciju sniegšanas izmaksas (par 30 min.), EUR</t>
  </si>
  <si>
    <t xml:space="preserve">1.Izstrādāts pilotprojekts tehnoloģiskam e-atbalsta risinājumam. </t>
  </si>
  <si>
    <t>Primārā veselības aprūpe ar pamatadiagnozi pēc SSK-10 diagnozes kodi F00–F09, F10–F19, F20–F62, F63.0, F63.1–F99</t>
  </si>
  <si>
    <t xml:space="preserve">Unikālo pacientu skaits </t>
  </si>
  <si>
    <t xml:space="preserve">Plānotā pacientu aptvere, % </t>
  </si>
  <si>
    <t xml:space="preserve">Hronisko slimnieku skaits </t>
  </si>
  <si>
    <t>Diagnožu kodi</t>
  </si>
  <si>
    <t>0,43</t>
  </si>
  <si>
    <t xml:space="preserve">Izstrādāt apmaksas nosacījumus ģimenes ārsta komandas darbam pacientiem ar psihiskiem un uzvedības traucējumiem </t>
  </si>
  <si>
    <t>1.3.pielikums</t>
  </si>
  <si>
    <r>
      <t>C16, C25, C31, C48, C55, C56, C64, C74, C81, C88, E10, E22, E23,</t>
    </r>
    <r>
      <rPr>
        <b/>
        <sz val="12"/>
        <color theme="1"/>
        <rFont val="Times New Roman"/>
        <family val="1"/>
        <charset val="186"/>
      </rPr>
      <t xml:space="preserve"> F20</t>
    </r>
    <r>
      <rPr>
        <sz val="12"/>
        <color theme="1"/>
        <rFont val="Times New Roman"/>
        <family val="1"/>
        <charset val="186"/>
      </rPr>
      <t>, G70, J45, K51</t>
    </r>
  </si>
  <si>
    <r>
      <t>C16, C25, C31, C48, C55, C56, C64, C74, C81, C88, E10, E22, E23,</t>
    </r>
    <r>
      <rPr>
        <b/>
        <sz val="12"/>
        <color theme="1"/>
        <rFont val="Times New Roman"/>
        <family val="1"/>
        <charset val="186"/>
      </rPr>
      <t xml:space="preserve">  F00–F09, F10–F19, F20–F62, F63.0, F63.1–F99</t>
    </r>
    <r>
      <rPr>
        <sz val="12"/>
        <color theme="1"/>
        <rFont val="Times New Roman"/>
        <family val="1"/>
        <charset val="186"/>
      </rPr>
      <t>, G70, J45, K52</t>
    </r>
    <r>
      <rPr>
        <sz val="11"/>
        <color theme="1"/>
        <rFont val="Calibri"/>
        <family val="2"/>
        <charset val="186"/>
        <scheme val="minor"/>
      </rPr>
      <t/>
    </r>
  </si>
  <si>
    <t>Aktivitātes būtība ir nodrošināt ģimenes ārstam papildus finansējumu (piemaksu) darbam ar personām ar GRT. Jau šobrīd ģimenes ārsti saņem piemaksu par hroniskiem pacientiem, šī papildus piemaksa ir par hroniskiem pacientiem, kas ir personas ar GRT.</t>
  </si>
  <si>
    <t>Kopā</t>
  </si>
  <si>
    <t>*** Tarifa starpība aprēķināta no jaunas manipulācijas 01084 tarifa 11.43 euro atskaitot manipulācijas 01061 tarifu 5.86 euro</t>
  </si>
  <si>
    <t>* Pacientu skaita datu avots: Nacionālās veselības dienesta (turpmāk - NVD) APAN sistēmas dati par 2017.gadu.</t>
  </si>
  <si>
    <t>Izstrādāt un ieviest ģimenes ārsta praksēs attīstības skrīningu bērniem no 1.5 līdz 5 gadu vecumā</t>
  </si>
  <si>
    <t>1.4.pielikums</t>
  </si>
  <si>
    <t>1.5.pielikums</t>
  </si>
  <si>
    <t>Pilnveidot normatīvo regulējumu, pārskatot finansējuma apmēru un kārtību psihiatru un bērnu psihiatra sniegto veselības aprūpes pakalpojumu finansēšanas kārtību.</t>
  </si>
  <si>
    <t>Plānotais pacientu/ gultasdienu skaits  (9 mēneši)</t>
  </si>
  <si>
    <t>Summa, EUR</t>
  </si>
  <si>
    <t>Nodrošinot pakalpojumu pieejamības pieaugumu par 17%</t>
  </si>
  <si>
    <t xml:space="preserve">Vidējās izmaksas, EUR </t>
  </si>
  <si>
    <t>Plānotais finansējums, EUR</t>
  </si>
  <si>
    <t>Papildus 0.3 slodzes  darbam dienas stacionārā esošam apjomam,  strādājot ar pacientiem ar garīgiem un psihiskiem traucējumiem</t>
  </si>
  <si>
    <t>2019. gadā papildus nepieciešamo finansējuma aprēķins</t>
  </si>
  <si>
    <t>Plānotais pacientu/ gultasdienu skaits*</t>
  </si>
  <si>
    <t xml:space="preserve">2.Psihiatra konsultācija ģimenes ārstam sarežģītos gadījumos, nodrošinot, ka ģimenes ārsts var sniegt kvalitatīvu pakalpojumu personai ar garīga rakstura traucējumiem (turpmāk - GRT). </t>
  </si>
  <si>
    <t>1.Palielinās bērnu psihiatru nodarbinātība ārpus Rīgas, nodrošinot ESF līdzfinansētu atbalstu</t>
  </si>
  <si>
    <t>2.Psihiatrisko slimnieku ārstēšana psihiatriskā profila dienas stacionārā</t>
  </si>
  <si>
    <t>Finansējums par pakalpojumu, EUR</t>
  </si>
  <si>
    <t>Kopā, EUR</t>
  </si>
  <si>
    <t>1. Motivējošs atalgojums psihiatriem un bērnu psihiatriem.
2. Palielinās psihiatru un bērnu psihiatru pieejamība. 
3. Palielinās pieprasījums par studijām bērnu psihiatra specialitātē.
4. Palielinās bērnu psihiatru nodarbinātība ārpus Rīgas, nodrošinot ESF līdzfinansētu atbalstu.</t>
  </si>
  <si>
    <t>Pakalpojuma vidējās izmaksas, EUR</t>
  </si>
  <si>
    <t>KOPĀ:</t>
  </si>
  <si>
    <t>Plānotais ārstu slodžu skaits</t>
  </si>
  <si>
    <t>Stiprināt esošās psihiatrijas prakses</t>
  </si>
  <si>
    <t>Stiprināt esošās psihiatrijas prakses (ambulatorās iestādēs)</t>
  </si>
  <si>
    <t>Stiprināt psihiatru prakses, piesaistot klīniskos un veselības psihologus, funkcionālos speciālistus un garīgās veselības aprūpes māsas.</t>
  </si>
  <si>
    <t>Pakalpojuma prognozējamais finansējums 2019.gadam, EUR</t>
  </si>
  <si>
    <t>Psihiatrijas prakšu stiprināšanai nepieciešamais finansējums 2019.gadam</t>
  </si>
  <si>
    <t>Psihiatrijas prakšu stiprināšanai nepieciešamais finansējums 2020.gadam</t>
  </si>
  <si>
    <t>1.6.pielikums</t>
  </si>
  <si>
    <t>1.7.pielikums</t>
  </si>
  <si>
    <t xml:space="preserve">Attīstīt ambulatoros psihiskās veselības centrus ar multiprofesionālās komandas iesaisti. </t>
  </si>
  <si>
    <t>Pakalpojuma prognozējamais finansējums 2020.gadam, EUR</t>
  </si>
  <si>
    <t>1. Apstiprināti grozījumi MK noteikumos Nr.555.
2. Vismaz 40% 
psihiatra praksēs nodrošināta klīniskā un veselības psihologa, kā arī funkcionālā speciālista un garīgās veselības aprūpes māsas pieejamība.</t>
  </si>
  <si>
    <t>Diagnoze</t>
  </si>
  <si>
    <t>Kompensācijas apmērs, plānotais</t>
  </si>
  <si>
    <t xml:space="preserve">Prognozētais unikālo pacientu skaits </t>
  </si>
  <si>
    <t>Personības un uzvedības traucējumi smadzeņu slimības, bojājuma vai disfunkcijas dēļ</t>
  </si>
  <si>
    <t>Kompensācijas apmēra palielināšana pacientiem ar garīgo atpalicību (F71-F73) no 50% līdz 100%</t>
  </si>
  <si>
    <t>Palielināt zāļu kompensācijas apmēru diagnozēm psihisko un uzvedības traucējumu grupā no 50% uz 75% (izņemot diagnozes F71 – F73)</t>
  </si>
  <si>
    <t>Plānotais pakalpojumu skaits</t>
  </si>
  <si>
    <t>Plānotais pakalpojumu skaits pēc finansējuma piešķīruma)</t>
  </si>
  <si>
    <t>Inkontinences līdzekļu pieejamības nodrošināšana pacientiem ar garīgo atpalicību (F71-F73)</t>
  </si>
  <si>
    <t>Papildu piešķirtais finansējums, EUR</t>
  </si>
  <si>
    <t>Medikamentu izmaksas vidēji vienam pacientam, EUR</t>
  </si>
  <si>
    <t>3) Inkontinences līdzekļu pieejamības nodrošināšana pacientiem ar garīgo atpalicību (F71-F73)</t>
  </si>
  <si>
    <t>Vidējās izmaksas 1 pacientam gadā, EUR</t>
  </si>
  <si>
    <t>Prognozētais nepieciešamais finansējums 2019.gadā, EUR</t>
  </si>
  <si>
    <t>Prognozētais nepieciešamais finansējums 2020.gadā, EUR</t>
  </si>
  <si>
    <t>2020.gadā un turpmāk ik gadu papildus nepieciešams, EUR</t>
  </si>
  <si>
    <r>
      <t xml:space="preserve">1) Paredzēts iekļāut zāļu kompensācijas sistēmā jaunas diagnozes psihisko un uzvedības traucējumu grupā, nodrošinot zāļu kompensāciju 264 500 </t>
    </r>
    <r>
      <rPr>
        <i/>
        <sz val="12"/>
        <color theme="1"/>
        <rFont val="Times New Roman"/>
        <family val="1"/>
        <charset val="186"/>
      </rPr>
      <t>euro</t>
    </r>
    <r>
      <rPr>
        <sz val="12"/>
        <color theme="1"/>
        <rFont val="Times New Roman"/>
        <family val="1"/>
        <charset val="186"/>
      </rPr>
      <t xml:space="preserve"> apmērā. Aprēķins veikts, ņemot vērā, ka zāļu kompensācija jaunajām diagnozēm tiks uzsākta 2019. gada 1. aprīlī.  Pasākums tiks īstenots apakšprogrammas 33.03.00 „Kompensējamo medikamentu un materiālu apmaksāšana” ietvaros.</t>
    </r>
  </si>
  <si>
    <t>33.03.00 „Kompensējamo medikamentu un materiālu apmaksāšana”</t>
  </si>
  <si>
    <t>Akūti un transitoriski psihotiski traucējumi (F23)</t>
  </si>
  <si>
    <t>Depresīva epizode (F32)</t>
  </si>
  <si>
    <t>Hiperkinētiski traucējumi (F90)</t>
  </si>
  <si>
    <r>
      <t xml:space="preserve">2) Paredzēta kompensācijas apmēra palielināšana vairākām diagnozēm psihisko un uzvedības traucējumu grupā 567 442 </t>
    </r>
    <r>
      <rPr>
        <i/>
        <sz val="12"/>
        <color theme="1"/>
        <rFont val="Times New Roman"/>
        <family val="1"/>
        <charset val="186"/>
      </rPr>
      <t>euro</t>
    </r>
    <r>
      <rPr>
        <sz val="12"/>
        <color theme="1"/>
        <rFont val="Times New Roman"/>
        <family val="1"/>
        <charset val="186"/>
      </rPr>
      <t xml:space="preserve"> apmērā.. Aprēķins veikts, ņemot vērā, ka zāļu kompensācija jaunajām diagnozēm tiks uzsākta 2019.gada 1.aprīlī. Līdz ar kompensācijas apmēra pieaugumu paredzams arī kompensējamo zāļu saņēmēju skaita pieaugums. Pasākums tiks īstenots apakšprogrammas 33.03.00 „Kompensējamo medikamentu un materiālu apmaksāšana” ietvaros. </t>
    </r>
  </si>
  <si>
    <t>Kopā:</t>
  </si>
  <si>
    <t>Paredzēt iespēju stacionārā bērnam uzturēties  kopā ar vienu no vecākiem vai likumisko pārstāvi</t>
  </si>
  <si>
    <t>Manipulācijas 60107 izmantošanas skaits (2017) *</t>
  </si>
  <si>
    <t>* 27% no 2017.g. hospitalizāciju skaita pakalpojumu programmā "Psihiatriskā palīdzība bērniem"(3.2.43.2)-230 pacienti, manipulāciju 60107 skaits programmā  - 230 pacienti x 5.64 dienas = 1297 manipulācijas</t>
  </si>
  <si>
    <t>Manipulācijas 60107 skaita noteikšana*</t>
  </si>
  <si>
    <t>Pacientu skaits pakalpojumu programmā, kuru laikā izmantos manipulāciju 60107*</t>
  </si>
  <si>
    <t>Papildus nepieciešamais finansējums 2019.gadam</t>
  </si>
  <si>
    <t>Gultasdienas izmaksu palielinājums</t>
  </si>
  <si>
    <t>2.2.pielikums</t>
  </si>
  <si>
    <r>
      <t>Nodrošināt interešu izglītību bērniem ārstniecības un atveseļošanās procesa laikā VSIA “Bērnu klīniskā universitātes slimnīcā”</t>
    </r>
    <r>
      <rPr>
        <b/>
        <sz val="12"/>
        <color rgb="FFC00000"/>
        <rFont val="Times New Roman"/>
        <family val="1"/>
        <charset val="186"/>
      </rPr>
      <t xml:space="preserve"> </t>
    </r>
  </si>
  <si>
    <t>4.4.pielikums</t>
  </si>
  <si>
    <t>Papildus 2019.gadā nepieciešamais finansējums, EUR</t>
  </si>
  <si>
    <t>Papildus 2020.gadā un turpmāk ik gadu nepieciešamais finansējums, EUR</t>
  </si>
  <si>
    <t>33.14.00. "Primārās ambulatorās veselības aprūpes nodrošināšana"</t>
  </si>
  <si>
    <t>Budžeta programmas (apakšprogrammas) kods un nosaukums:</t>
  </si>
  <si>
    <t>33.16.00. "Pārējo ambulatoro veselības aprūpes pakalpojumu nodrošināšana"</t>
  </si>
  <si>
    <t>Nodrošinot pakalpojumu pieejamības pieaugumu par 20%</t>
  </si>
  <si>
    <t>33.18.00. "Plānveida stacionāro veselības aprūpes pakalpojumu nodrošināšana"</t>
  </si>
  <si>
    <t>2020. gadā un turpmāk ik gadu papildus nepieciešamo finansējuma aprēķins</t>
  </si>
  <si>
    <t>Papildus nepieciešamais finansējums 2020.g. un turpmāk ik gadu, EUR</t>
  </si>
  <si>
    <t>Papildus nepieciešamais finansējums 2020.g. un turmāk ik gadu, EUR</t>
  </si>
  <si>
    <t>Piemaksa par katru pacientu, EUR mēnesī *</t>
  </si>
  <si>
    <t>Piemaksa par katru pacientu, EUR mēnesī</t>
  </si>
  <si>
    <t>Viena bērna vidējās ārstēšanas izmaksas ārstēšanas kursam, EUR</t>
  </si>
  <si>
    <t>33.09.00. "Interešu izglītības nodrošināšana VSIA "Bērnu klīniskā universitātes slimnīca"</t>
  </si>
  <si>
    <t>63.07.00. "Eiropas Sociālā fonda (ESF) projektu īstenošana (2014-2020)"</t>
  </si>
  <si>
    <t>Attīstības skrīninga ieviešana (bērniem no 1.5  līdz 5 gadiem) ģimenes ārstu praksēs</t>
  </si>
  <si>
    <t>** NVD pieņēmums par īpatsvaru 50% cik bērniem veiks skrīningu</t>
  </si>
  <si>
    <t>*Plānojums bāzēts uz 2019.gadu.</t>
  </si>
  <si>
    <t>Diagnožu kodi - plānotā redakcija</t>
  </si>
  <si>
    <t xml:space="preserve">* Plānots uz 2020.gadu veikt grozījumus MK noteikumu Nr.555 11. pielikumā, papildinot punktu "Ģimenes ārstam maksā ikmēneša fiksētās piemaksas par hronisko slimnieku aprūpi šādā apmērā:"ar diagnožu kodiem F00–F09, F10–F19, F20–F62, F63.0, F63.1–F99. </t>
  </si>
  <si>
    <t>Sagatavošanās izmaksas (ietverot metodiskā materiala satura un maketa izveide,
metodisko materiālu druka- 3 metodiskie materiāli, e-aptaujas izveide un veikšana, apmācību programmas testēšana, aptaujas anketas izveide un druka)</t>
  </si>
  <si>
    <t>10 700</t>
  </si>
  <si>
    <t>Vienas apmācības izmaksas</t>
  </si>
  <si>
    <t xml:space="preserve">1 430 </t>
  </si>
  <si>
    <t>Apmācību skaits (48)</t>
  </si>
  <si>
    <t>1430x48</t>
  </si>
  <si>
    <t>68 640</t>
  </si>
  <si>
    <t>Pakalpojuma cena kopā bez PVN</t>
  </si>
  <si>
    <t>79 340</t>
  </si>
  <si>
    <t>Pakalpojuma cena kopā ar PVN</t>
  </si>
  <si>
    <t>1573x48</t>
  </si>
  <si>
    <t>Gads</t>
  </si>
  <si>
    <t>Izmaksu pozīcijas apraksts</t>
  </si>
  <si>
    <t>Organizēt apmācības izglītības iestāžu pedagogiem par veselības izglītības jautājumiem, tostarp par psihiskās veselības veicināšanu</t>
  </si>
  <si>
    <t>3.4.pielikums</t>
  </si>
  <si>
    <t>Multiprofesionālas rehabilitācijas komandas darba nodrošināšana stacionārā</t>
  </si>
  <si>
    <t xml:space="preserve">Projekta 9.2.6. ietvaros 2019.gada martā uz 15 mēnešiem tiks slēgti līgumi par apmācībām šādās programmās (t.sk. iepērkot programmas izstrādi un metodisko līidzekli):
- Mans klients/mans pacients – izaicinājumi darbā ar personām ar psihiskiem, uzvedības un nervu sistēmas attīstības traucējumiem;
- Komunikācijas prasmju pilnveide darbā ar personām ar psihiskiem, uzvedības un nervu sistēmas attīstības traucējumiem;
- Sadarbības process un sadarbības prasmju stiprināšana starp dažādu jomu speciālistiem, kas ikdienā strādā ar personām ar psihiskiem, uzvedības un nervu sistēmas attīstības traucējumiem;
- Bērna un pilngadīgas personas ar psihiskiem, uzvedības un nervu sistēmas attīstības traucējumiem ģimenes locekļu psihoemocionālais raksturojums – aizliegtās skumjas.
Kopējais dalībnieku skaits 168 katrā programmā.
2020.gadā pamatojoties uz iepirktajiem metodiskajiem līdzekļiem tiks iepirktas atkārtotas mācības.
 </t>
  </si>
  <si>
    <t xml:space="preserve">Nepieciešamais finansējums kopā 2019.gadā kopā: </t>
  </si>
  <si>
    <t>Pilnveidot normatīvo regulējumu, pārskatot finansējuma apmēru un kārtību psihisko un uzvedības traucējumu pacientu stacionārajā ārstēšanā, paredzot multidisciplināru pieejamību, uzlabojot veselības aprūpi stacionārā, nodrošinot kvalificētu speciālistu palīdzību un pieejamību.</t>
  </si>
  <si>
    <t>2.1.pielikums</t>
  </si>
  <si>
    <t>* Plānotais manipulāciju skaits noteikts ārstniecības iestāžu aptaujas rezultātā.</t>
  </si>
  <si>
    <t>Tarifs /Izmaiņas gultasdienas tarifā**</t>
  </si>
  <si>
    <t xml:space="preserve">Plānotais manipulāciju skaits/Plānotais gultasdienu skaits gadā* </t>
  </si>
  <si>
    <t xml:space="preserve">Plānotais manipulāciju skaits/Plānotais gultasdienu skaits 9 menešos* </t>
  </si>
  <si>
    <t>Finansējums 2019.gadā</t>
  </si>
  <si>
    <t>33.17.00. "Neatliekamās medicīniskās palīdzības nodrošināšana stacionārās ārstniecības iestādēs"</t>
  </si>
  <si>
    <t>33.17.00. "Neatliekamās medicīniskās palīdzības nodrošināšana stacionārās ārstniecības iestādēs" 2019.gadā kopā:</t>
  </si>
  <si>
    <t>33.18.00. "Plānveida stacionāro veselības aprūpes pakalpojumu nodrošināšana" 2019.gadā kopā:</t>
  </si>
  <si>
    <t>Psihosomatisku, somotomorfu un personības traucējumu diagnostika un ārstēšana</t>
  </si>
  <si>
    <t>Fetālā alkohola sindroma atpazīšana perinatālajā periodā primārajā veselības aprūpē</t>
  </si>
  <si>
    <t>Specifisko prasmju attīstīšana darbā ar psihiski slimām personām</t>
  </si>
  <si>
    <t>Kognitīvi biheiviorālās psihoterapijas pamati. Demences agrīna diagnostika, diferenciālā diagnostika un ārstēšana un pacientu aprūpes īpatnības</t>
  </si>
  <si>
    <t>Mūsdienu psihotropo līdzekļu mijiedarbība ar citu grupu medikamentiem</t>
  </si>
  <si>
    <t xml:space="preserve">Fizisko aktivitāšu metožu izmantošana psihiatrijas pacientiem </t>
  </si>
  <si>
    <t>Psihisko un uzvedības traucējumu mūsdienīgas terapijas principi stacionārā un ambulatorā praksē. Agresīvās uzvedības nemedikamentozā korekcija</t>
  </si>
  <si>
    <t>Attīstības psiholoģija</t>
  </si>
  <si>
    <t>Perinatālā psihiatrija: psihisko traucējumu agrīna diagnostika</t>
  </si>
  <si>
    <t xml:space="preserve">2.1. Pilnveidot normatīvo regulējumu, pārskatot finansējuma apmēru un kārtību psihisko un uzvedības traucējumu pacientu stacionārajā ārstēšanā, paredzot multidisciplināru pieejamību. </t>
  </si>
  <si>
    <t xml:space="preserve">Īstenot "Darbības programmas "Izaugsme un nodarbinātība" 9.2.6. specifiskā atbalsta mērķa "Uzlabot ārstniecības un ārstniecības atbalsta personāla kvalifikāciju" īstenošanas noteikumi" tālākizglītības pasākumus psihiatrijas un sociālās aprūpes jomā  </t>
  </si>
  <si>
    <t>4.2.pielikums</t>
  </si>
  <si>
    <t>2018.gada oktobrī ir noslēgti līgumi uz 12 mēnešiem par šādu programmu apmācību (t.sk. programmas izstrāde, dalībnieku apmācībaun metodiskā līdzekļa izstrāde). 2019.gadā tiks iepirktas tikai apmācības.</t>
  </si>
  <si>
    <t>Līguma summas</t>
  </si>
  <si>
    <t>Programmas izstrāde</t>
  </si>
  <si>
    <t>Dalībnieku apmācība</t>
  </si>
  <si>
    <t>Metodiskais līdzeklis</t>
  </si>
  <si>
    <t>Dalībnieku skaits</t>
  </si>
  <si>
    <t>Kopā 2019.gadā:</t>
  </si>
  <si>
    <t>Projektā plānots īstenot pilotprojektu attālinātiem speciālistu konsultāciju pakalpojumiem citiem speciālistiem (piemēram, speciālistu konsultācijas ģimenes ārstiem par veselības aprūpes pakalpojumu sniegšanu pacientiem situācijās, kad ģimenes ārstam ir nepieciešama papildu speciālista konsultācija, lai sniegtu pilnvērtīgu pacienta ārstēšanu atbilstoši savam kompetences līmenim).</t>
  </si>
  <si>
    <t>Finansējums 2020.gadā un turpmāk ik gadu</t>
  </si>
  <si>
    <t>Plānotais manipulāciju skaits/Plānotais gultasdienu skaits gadā</t>
  </si>
  <si>
    <t xml:space="preserve">2020.gadā un turpmākajos gados Projekta ietvaros plānotais ārpus Rīgas piesasistīto bērnu psihiatriem izmaksāto kompensāciju apmērs </t>
  </si>
  <si>
    <t>Plānotais ārstniecības personu skaits</t>
  </si>
  <si>
    <t xml:space="preserve">Ne mazāk kā vienai ārstniecības personai izmaksāts, EUR </t>
  </si>
  <si>
    <t>Plānotais minimālais finansējums visa projekta īstenošanas laikā, EUR</t>
  </si>
  <si>
    <t>Nodrošināti bērnu psihiatri darbam ārpus Rīgas</t>
  </si>
  <si>
    <t>Vienā gadā izmaksājot 1 personai finansējumu 8 995 euro apmērā, sākot ar 2020.gadu.</t>
  </si>
  <si>
    <t xml:space="preserve">Ieviest e-konsultāciju kā atbalstu ģimenes ārstiem </t>
  </si>
  <si>
    <r>
      <t>Papildus nepieciešamais finansējums, sākot no 2020.gada</t>
    </r>
    <r>
      <rPr>
        <i/>
        <sz val="12"/>
        <rFont val="Times New Roman"/>
        <family val="1"/>
        <charset val="186"/>
      </rPr>
      <t>, EUR</t>
    </r>
  </si>
  <si>
    <t>Plānotais  ārstu slodžu skaits</t>
  </si>
  <si>
    <t>Finansējums, EUR</t>
  </si>
  <si>
    <t>Papildus nepieciešams 2020.gadā un turpmāk ik gadu kopā, EUR</t>
  </si>
  <si>
    <t>2. Stiprināt esošās psihiatriskās prakses (centros)  papildus aprēķinot finansējumu 2.5 slodzēm un psihoterapeita slodzes</t>
  </si>
  <si>
    <t>1. Stiprināt esošās psihiatriskās prakses papildus aprēķinot finansējumu 1.5 ārstu slodzēm</t>
  </si>
  <si>
    <t xml:space="preserve"> Prakšu finansējuma aprēķins 2020.g.  </t>
  </si>
  <si>
    <t xml:space="preserve">Centru finansējuma aprēķins 2020.g. </t>
  </si>
  <si>
    <t xml:space="preserve">Nepieciešamais finansējums kopā 2020.gadā kopā: </t>
  </si>
  <si>
    <t>33.17.00. "Neatliekamās medicīniskās palīdzības nodrošināšana stacionārās ārstniecības iestādēs" 2020.gadā kopā:</t>
  </si>
  <si>
    <t>33.18.00. "Plānveida stacionāro veselības aprūpes pakalpojumu nodrošināšana" 2020.gadā kopā:</t>
  </si>
  <si>
    <t>Definēt primārās (ilglaicīgā), sekundārās un terciārās veselības aprūpes pakalpojumu līmeņus psihiatriskā profila stacionāriem, sasaistot tos ar multiprofesionālās komandas sastāvu, rezultātā tiks uzlabota stacionārā sniegtā veselības aprūpe atbilstoši slimnīcas līmenim.</t>
  </si>
  <si>
    <t>Ārstniecības iestādes nosaukums</t>
  </si>
  <si>
    <t xml:space="preserve">Plānotais gultasdienu skaits </t>
  </si>
  <si>
    <t>Gultasdienas tarifs, EUR</t>
  </si>
  <si>
    <t>Veselības aprūpes pakalpojumiem atbilstoši slimnīcu līmeniem</t>
  </si>
  <si>
    <t xml:space="preserve"> Psihiatrijas un narkomānijas pakalpojumiem</t>
  </si>
  <si>
    <t>Starpība</t>
  </si>
  <si>
    <t>Rīgas psihiatrijas un narkoloģijas centrs</t>
  </si>
  <si>
    <t>Pārējās  slimnīcas</t>
  </si>
  <si>
    <t>33.17.00. "Neatliekamās medicīniskās palīdzības nodrošināšana stacionārās ārstniecības iestādēs</t>
  </si>
  <si>
    <t>Izveidot observācijas gultas slimnīcās, kuras nodrošina akūto psihiatrisko un narkoloģisko pacientu ārstēšanu.</t>
  </si>
  <si>
    <t>2.3.pielikums</t>
  </si>
  <si>
    <t>Plānotais gultasdienu skaits</t>
  </si>
  <si>
    <t>Pacientu observācijas līdz 24 stundām gultas izveidošana slimnīcām, kuras nodrošina akūto psihiatrisko ārstēšanu</t>
  </si>
  <si>
    <t>Gultas dienas tarifs</t>
  </si>
  <si>
    <t>2020.g. finansējuma aprēķins atbilstoši veselības aprūpes pakalpojumu līmeņiem</t>
  </si>
  <si>
    <t xml:space="preserve">Gultasdienu skaits </t>
  </si>
  <si>
    <t xml:space="preserve">Gultasdienas tarifs atbilstoši līmeņiem, EUR </t>
  </si>
  <si>
    <t>Summa gadam, EUR</t>
  </si>
  <si>
    <t>Daugavpils psihoneiroloģiskā slimnīca</t>
  </si>
  <si>
    <t>Slimnīca Ģintermuiža</t>
  </si>
  <si>
    <t>Piejūras slimnīca</t>
  </si>
  <si>
    <t>Strenču psihoneiroloģiskā slimnīca</t>
  </si>
  <si>
    <t>2020.g. finansējuma aprēķins atbilstoši 2019.gada gultas dienas tarifam (skatīt 2.3.pielikumu)</t>
  </si>
  <si>
    <t xml:space="preserve">Projekta  „Kompleksi veselības veicināšanas un slimību profilakses pasākumi” Nr.9.2.4.1/16/I/001 ietvaros </t>
  </si>
  <si>
    <t xml:space="preserve">• psihisko traucējumu simptomu atpazīšana, aizspriedumu mazināšana attiecībā uz vēršanos pēc palīdzības, kā arī pret personām, kuras cieš no psihiskās veselības traucējumiem, pašnāvību profilakse, riska faktoru un pazīmju atpazīšana; </t>
  </si>
  <si>
    <t xml:space="preserve">• bērnu un pusaudžu psihoemocionālās labklājības veicināšana (t.sk. psihisko traucējumu atpazīšana, efektīvas komunikācijas veidošana ar bērniem un pusaudžiem u.c.), ģimenes psihoemocionālā labklājība;   </t>
  </si>
  <si>
    <t>• ilgstoša stresa un profesionālās izdegšanas mazināšana;</t>
  </si>
  <si>
    <t>• ņirgāšanās profilakse bērnu un pusaudžu vidū;</t>
  </si>
  <si>
    <t xml:space="preserve">• senioru psihiskā veselība; </t>
  </si>
  <si>
    <t xml:space="preserve">•savstarpējās attiecības, ģimenes psihoemocionālā labklājība.  </t>
  </si>
  <si>
    <t>Kampaņu īstenošanas laikā tēmas un to skaits var tikt precizētas, balstoties uz aktualitātēm un pētījumu rezultātiem. Vienas kampaņas ietvaros var tikt īstenoti pasākumi par vairākām tēmām.</t>
  </si>
  <si>
    <t>Projekta  „Kompleksi veselības veicināšanas un slimību profilakses pasākumi” Nr.9.2.4.1/16/I/001 ietvaros paredzēts īstenot sabiedrības informēšanas kampaņas, kas ietvertu tādas aktivitātes kā  mediju attiecību nodrošināšanu (t.sk. mērķtiecīgas komunikācijas veidošanu sociālajos tīklos, tematisko rakstu izvietošanu drukātajos un elektroniskajos medijos u.c.), reklāmas izvietošanu (piemēram, vidē, vietnēs, radio, televīzijā u.c.), informatīvo materiālu izstrādāšanu (piemēram, plakāti, brošūras u.c.), sadarbības projektu īstenošanu (piemēram, ar nevalstiskajām organizācijām), sabiedrības uzmanību piesaistošu, īpašo pasākumu organizēšanu (piemēram, zibakcijas, ekspertu diskusijas u.c.) atbilstoši mērķa grupu specifikai  u.c. aktivitātes par psihiskās (garīgās) veselības veicināšanu un profilakses tēmām:</t>
  </si>
  <si>
    <t>Projekta budžetā aktivitātei "Sabiedrības informēšanas kampaņa psihiskās (garīgās) veselības veicināšanai" apstiprināts finansējums 1 200 800.00 eiro.</t>
  </si>
  <si>
    <t>Īstenot sabiedrības informēšanas kampaņu psihiskās veselības veicināšanai.</t>
  </si>
  <si>
    <t>3.1.pielikums</t>
  </si>
  <si>
    <t xml:space="preserve">Lai uzlabotu iedzīvotāju prasmes saglabāt un uzlabot savu un līdzcilvēku psihisko veselību, tiks izstrādāta un īstenota starpsektoru sadarbībā balstīta psihiskās veselības veicināšanas un profilakses programma vietējā sabiedrībā. </t>
  </si>
  <si>
    <t xml:space="preserve">Programmas ietvaros tiks realizēts savstarpēji koordinētu pasākumu/nodarbību cikls ar praktiskiem uzdevumiem, interaktīvām metodēm, izmantojot vietējā sabiedrībā pieejamos resursus un piesaistot papildus nepieciešamos resursus. Programmas mērķis ir palielināt iedzīvotāju iespējas un prasmes būt līdzestīgiem savas un līdzcilvēku psihiskās veselības un psihoemocionālās labklājības saglabāšanā un uzlabošanā. Caur programmu tiks pilnveidotas iedzīvotāju zināšanas par psihisko veselību, psihisko traucējumu riska faktoriem, sekām, pašpalīdzības un speciālistu sniegtās palīdzības iespējām, jo īpaši vietējā sabiedrībā. Programmas ietvaros ar atbilstošām metodēm tiks attīstītas un pilnveidotas prasmes risināt konfliktsituācijas, krīzes situācijas, mazināt negatīvo stresu, kā arī tiks pilnveidotas prasmes atpazīt depresijas un pēcdzemdību depresijas simptomus, prasmes palīdzēt līdzcilvēkiem, tostarp, motivēt vērsties pēc palīdzības. Programmas ietvaros plānotas arī vietējo iedzīvotāju informēšanas aktivitātes par iespēju piedalīties nodarbību ciklā, tai skaitā iesaistot vietējās kopienas sociālās aprūpes speciālistus, kuri strādā ar teritoriālās, sociālās atstumtības un nabadzības riskam pakļautajām iedzīvotāju grupām. </t>
  </si>
  <si>
    <t>Programmas ietvaros plānots izstrādāt rīku dalībnieku noteiktu psihoemocionālās veselības stāvokļa aspektu novērtēšanai, kā arī zināšanu un prasmju izvērtēšanai par psihisko veselību, kas tiks izmantots, lai veiktu programmas dalībnieku zināšanu un spēju izvērtēšanu pirms nodarbību cikla uzsākšanas, cikla beigās, kā arī noteiktu laiku pēc pasākumu/nodarbību cikla beigām, tādējādi izvērtējot iespējas ilgtermiņā pielietot nodarbību laikā gūtās zināšanas un prasmes.</t>
  </si>
  <si>
    <t xml:space="preserve">Programmas pasākumu efektivitātes izvērtējums plānots kā nodarbību cikla procesa un rezultātu novērtējums, t.sk. ietverot kvalitatīvu pētījumu par iedzīvotāju un citu iesaistīto personu pieredzi un aktivitāšu ietekmi, kā arī izvērtējuma gala rezultātā plānots apkopot ieteikumus darbam psihiskās veselības veicināšanas jomā vietējās kopienas līmenī. </t>
  </si>
  <si>
    <t>Atbilstoši programmas īstenošanas vietai un konkrētajai mērķauditorijai tiks paredzētas izmaksas par sabiedrības informēšanas pasākumiem attiecībā uz slimību profilaksi, transporta, tai skaitā specializētā transporta, izmaksas mērķa grupām nokļūšanai pasākumu norises vietās un speciālā personāla piesaistes izmaksas. Programmas ietvaros tiks paredzētas ārstniecības personu konsultācijas,  programmas pasākumu rezultātu apraksts un efektivitātes un ietekmes izvērtējums.</t>
  </si>
  <si>
    <t>Projeta budžetā aktivitātei  " Psihiskās veselības veicināšanas un profilakses programma" apstiprināts finansējums 250 000 eiro.</t>
  </si>
  <si>
    <t>3.2.pielikums</t>
  </si>
  <si>
    <t>Projekta  „Kompleksi veselības veicināšanas un slimību profilakses pasākumi” Nr.9.2.4.1/16/I/001 ietvaros paredzēta aktivitāte " Psihiskās veselības veicināšanas un profilakses programma"</t>
  </si>
  <si>
    <t>1. iekļauta aktivitāte "Pētījums par psihisku traucējumu un pašnāvnieciskas uzvedības izplatību Latvijas pieaugušo iedzīvotāju populācijā"</t>
  </si>
  <si>
    <t>Mērķis: Iegūt datus par psihisko traucējumu un pašnāvnieciskās uzvedības izplatību Latvijas populācijā. Darbības ietvaros tiks veikts pētījums par psihisku traucējumu un pašnāvnieciskas uzvedības izplatību Latvijas pieaugušo iedzīvotāju populācijā.</t>
  </si>
  <si>
    <t>Projekta budžetā aktivitātei "Pētījums par psihisku traucējumu un pašnāvnieciskas uzvedības izplatību Latvijas pieaugušo iedzīvotāju populācijā" apstiprināts finansējums 82 000 eiro</t>
  </si>
  <si>
    <t>2.iekļauta aktivitāte "Pētījums par Latvijas jauniešu bērnībā gūto nelabvēlīgo pieredzi saistībā ar piedzīvoto vardarbību"</t>
  </si>
  <si>
    <t xml:space="preserve">Mērķis: Noskaidrot Latvijas jauniešu bērnībā piedzīvotās emocionālās, fiziskās, seksuālās vardarbības un pamešanas novārtā  izplatību.   </t>
  </si>
  <si>
    <t>projekta budžetā aktivitātei " "Pētījums par Latvijas jauniešu bērnībā gūto nelabvēlīgo pieredzi saistībā ar piedzīvoto vardarbību" apstiprināts finansējums 60 000 eiro.</t>
  </si>
  <si>
    <t>kopā</t>
  </si>
  <si>
    <t>Īstenot pētījumus par iedzīvotāju psihisko veselību</t>
  </si>
  <si>
    <t>3.3.pielikums</t>
  </si>
  <si>
    <t>Aktivitātes numurs</t>
  </si>
  <si>
    <t>2019.g.</t>
  </si>
  <si>
    <t>2020.g.</t>
  </si>
  <si>
    <t>2021.g.</t>
  </si>
  <si>
    <t>Informatīvā materiāla veids</t>
  </si>
  <si>
    <t>Bukleti</t>
  </si>
  <si>
    <t xml:space="preserve">kopā </t>
  </si>
  <si>
    <t>3.7.pielikums</t>
  </si>
  <si>
    <t>Veikt sabiedrības informēšanu par personu ar psihiskās veselības un uzvedības traucējumiem iekļaušanu sabiedriskajās aktivitātēs, kas veicinās atbalstu personu ar psihiskās veselības un uzvedības traucējumiem integrācija sabiedrībā.</t>
  </si>
  <si>
    <t>Infolapas</t>
  </si>
  <si>
    <t>Cena par 1, EUR)</t>
  </si>
  <si>
    <t xml:space="preserve">Eksemplāru skaits 1 tēmai </t>
  </si>
  <si>
    <t>Tēmu skaits</t>
  </si>
  <si>
    <t>Finansējums kopā, EUR</t>
  </si>
  <si>
    <t>1.Ģimenes ārstiem nodrošināts nepieciešamais speciālistu atbalsts.
2. Palielinās E-veselības lietotāju skaits.</t>
  </si>
  <si>
    <t>3. Centru finansējuma aprēķins 2020.g. pārējiem speciālistiem, piesaistot kabinetā psihoterapeitu, pedagogu un sociālo darbinieku</t>
  </si>
  <si>
    <t>3.5.pielikums</t>
  </si>
  <si>
    <t xml:space="preserve">Organizēt izglītojošus pasākumus pašvaldībās par psihisko veselību un tās veicināšanu gan pieaugušajiem, gan bērniem </t>
  </si>
  <si>
    <t>3.6.pielikums</t>
  </si>
  <si>
    <t>Īstenot sabiedrības informēšanas, izglītošanas un profilakses pasākumus psihiskās veselības veicināšanas jomā pašvaldībās</t>
  </si>
  <si>
    <t>Finansējums ir attēlots pie 3.5.pasākuma. Skatīt skaidrojumu pasākuma lapā.</t>
  </si>
  <si>
    <t>Papildus nepieciešamais finansējums 2020.gadam</t>
  </si>
  <si>
    <r>
      <t xml:space="preserve">Provizoriskais laika plāns ir 2019.gada vidū noslēgt līgumu ar pakalpojumu sniedzēju, </t>
    </r>
    <r>
      <rPr>
        <b/>
        <sz val="12"/>
        <rFont val="Times New Roman"/>
        <family val="1"/>
        <charset val="186"/>
      </rPr>
      <t>maksājums provizoriski būs 2020.gadā.</t>
    </r>
  </si>
  <si>
    <t>Provizoriskais finansējuma apjoms metodiskam darbam psihiatrijas jomā būtu 1.5 slodzes bērnu psihiatrijai un 1.5 slodzes pieaugušo psihiatrijai. Paredzot Ministru kabienta noteikumos Nr.555 noteikto algas likmi ārstiem EUR 1 350 apmērā, piemērojot 12 mēnešus un 3 kopējās slodzes.</t>
  </si>
  <si>
    <t xml:space="preserve">Darbības nodrošināšanai nepieciešamie līdzekļi (MK noteikumi Nr.555, 10. pielikums), EUR </t>
  </si>
  <si>
    <t>Nr. p.k.</t>
  </si>
  <si>
    <t>Darbības rezultāts</t>
  </si>
  <si>
    <t>Lekcijas par psihisko veselību un tās veicināšanu (14 sākotnējās pašvaldībās)</t>
  </si>
  <si>
    <t>Uzlabota iedzīvotāju izpratne par biežāk sastopamajiem psihiskās veselības traucējumiem (t.sk., ar stresu saistīti traucējumiem, trauksmi, panikas lēkmi, fobijām, depresiju, miega traucējumiem, darba un  attiecību problēmām u.c.), kā arī informētība par iespējām saņemt palīdzību šādos gadījumos.</t>
  </si>
  <si>
    <t>Uzlabots 7. – 9.klašu psihoemocionālais klimats, kā arī izglītojamo zināšanas par cilvēka emocijām un uztveres īpatnībām, cilvēku dažādo lietu un situāciju uztveri, pozitīvas un veiksmīgas savstarpējās komunikācijas veidošanas paņēmieniem un konfliktu risināšanas pamatprincipiem.</t>
  </si>
  <si>
    <t>Lekciju vadīšana pēc programmas „Lekcija par psihisko veselību un tās veicināšanu” (10 jaunpienākušās pašvaldības)</t>
  </si>
  <si>
    <t>Nodarbību (pasākumu) kopumu vadīšana pēc programmas „Nodarbību cikla 7.‒9. klašu skolēniem „Izzini sevi – saproti citus!” programma” (10 jaunpienākušās pašvaldības)</t>
  </si>
  <si>
    <t>Finansējums 2019.gadā, EUR</t>
  </si>
  <si>
    <r>
      <t>SAM 9.2.4.2. "Pasākumi vietējās sabiedrības veselības veicināšanai un slimību profilaksei" ietvaros tiek īstenoti pašvaldības projekti (to budžeti nav Veselības ministrijas pārziņā) un Slimību profilakses un kontroles centra (turpmāk - SPKC) projekts. SPKC īsteno 4 līgumus par garīgo (psihisko) veselību projekta 9.2.4.2/16/I/106 ietvaros</t>
    </r>
    <r>
      <rPr>
        <b/>
        <sz val="12"/>
        <rFont val="Times New Roman"/>
        <family val="1"/>
        <charset val="186"/>
      </rPr>
      <t xml:space="preserve"> par kopējo summu 2019.gadā 47 341 euro</t>
    </r>
    <r>
      <rPr>
        <sz val="12"/>
        <rFont val="Times New Roman"/>
        <family val="1"/>
        <charset val="186"/>
      </rPr>
      <t xml:space="preserve"> (projektu beigu datums ir 31.12.2019)</t>
    </r>
    <r>
      <rPr>
        <b/>
        <sz val="12"/>
        <rFont val="Times New Roman"/>
        <family val="1"/>
        <charset val="186"/>
      </rPr>
      <t xml:space="preserve">, </t>
    </r>
    <r>
      <rPr>
        <sz val="12"/>
        <rFont val="Times New Roman"/>
        <family val="1"/>
        <charset val="186"/>
      </rPr>
      <t xml:space="preserve">kas paredzēta lekcijām par psihisko veselību un nodarbībām par pozitīvo savstarpējās komunikācijas veidošanu un konfliktu risināšanu ņirgāšanās profilaksei (63.07.00. "Eiropas Sociālā fonda (ESF) projektu īstenošana (2014-2020)") Rīcības plāna 3.5. un 3.6.pasākumu īstenošanai. </t>
    </r>
  </si>
  <si>
    <t>Izstrādāta/izpilotēta un SPKC apstiprināta (t.sk., saskaņota ar iesaistītajām pašvaldībām) lekciju programma, kā arī informatīvais materiāls „Ieteikumi Tavas psihiskās veselības veicināšanai”.</t>
  </si>
  <si>
    <t>Izstrādāta/izpilotēta un SPKC apstiprināta (t.sk., saskaņota ar iesaistītajām pašvaldībām un to attiecīgajām izglītības iestādēm) nodarbību (pasākumu) kopumu programma, kā arī  informatīvais materiāls „Darba burtnīca izglītojamiem “Izzini sevi – saproti citus!”” un „Palīgmateriāls pedagogiem pasākumu kopuma ilgtspējas nodrošināšanai”.</t>
  </si>
  <si>
    <t>Ārpakalpojuma ietvaros izstrādātā/izpilotētā un SPKC apstiprinātā semināru programma, kā arī informatīvais materiāls „Ieteikumi Tavas psihiskās veselības veicināšanai” saskaņots arī ar saistītajām pašvaldībām.</t>
  </si>
  <si>
    <t>Ārpakalpojuma ietvaros izstrādātā/izpilotētā un SPKC apstiprinātā nodarbību (pasākumu) kopumu programma, kā arī  informatīvais materiāls „Darba burtnīca izglītojamiem “Izzini sevi – saproti citus!”” un „Palīgmateriāls pedagogiem pasākumu kopuma ilgtspējas nodrošināšanai” saskaņots arī ar saistītajām pašvaldībām un to attiecīgajām izglītības iestādēm.</t>
  </si>
  <si>
    <t>Nodarbību (pasākumu) kopums bērniem un pusaudžiem (7. – 9.klase) par pozitīvas savstarpējās komunikācijas veidošanu un konfliktu risināšanu ņirgāšanās profilaksei (14 sākotnējās pašvaldībās)</t>
  </si>
  <si>
    <r>
      <t xml:space="preserve">SAM 9.2.4.2. "Pasākumi vietējās sabiedrības veselības veicināšanai un slimību profilaksei" ietvaros tiek īstenoti pašvaldības projekti (to budžeti nav Veselības ministrijas pārziņā) un Slimību profilakses un kontroles centra (turpmāk - SPKC) projekts. SPKC īsteno 4 līgumus par garīgo (psihisko) veselību projekta 9.2.4.2/16/I/106 ietvaros </t>
    </r>
    <r>
      <rPr>
        <b/>
        <sz val="12"/>
        <color theme="1"/>
        <rFont val="Times New Roman"/>
        <family val="1"/>
        <charset val="186"/>
      </rPr>
      <t>par kopējo summu 2019.gadā 47 341 euro</t>
    </r>
    <r>
      <rPr>
        <sz val="12"/>
        <color theme="1"/>
        <rFont val="Times New Roman"/>
        <family val="1"/>
        <charset val="186"/>
      </rPr>
      <t xml:space="preserve"> (projektu beigu datums ir 31.12.2019), kas paredzēta lekcijām par psihisko veselību un nodarbībām par pozitīvo savstarpējās komunikācijas veidošanu un konfliktu risināšanu ņirgāšanās profilaksei (63.07.00. "Eiropas Sociālā fonda (ESF) projektu īstenošana (2014-2020)") Rīcības plāna 3.5. un 3.6.pasākumu īstenošanai. </t>
    </r>
    <r>
      <rPr>
        <b/>
        <sz val="12"/>
        <color theme="1"/>
        <rFont val="Times New Roman"/>
        <family val="1"/>
        <charset val="186"/>
      </rPr>
      <t>Finansējums kopsavilkuma tabulā ir attēlots pie 3.5.pasākuma.</t>
    </r>
  </si>
  <si>
    <t xml:space="preserve">Pielikums par Psihiskās veselības aprūpes pieejamības uzlabošanas  
plānā 2019.-2020.gadam iekļauto uzdevumu īstenošanai nepieciešamo valsts budžeta finansējumu </t>
  </si>
  <si>
    <r>
      <t xml:space="preserve">Papildus nepieciešamais - </t>
    </r>
    <r>
      <rPr>
        <u/>
        <sz val="12"/>
        <rFont val="Times New Roman"/>
        <family val="1"/>
        <charset val="186"/>
      </rPr>
      <t>piešķirtais</t>
    </r>
    <r>
      <rPr>
        <sz val="12"/>
        <rFont val="Times New Roman"/>
        <family val="1"/>
        <charset val="186"/>
      </rPr>
      <t xml:space="preserve"> finansējums , EUR</t>
    </r>
  </si>
  <si>
    <r>
      <t xml:space="preserve">Papildus nepieciešamais - </t>
    </r>
    <r>
      <rPr>
        <u/>
        <sz val="12"/>
        <color theme="1"/>
        <rFont val="Times New Roman"/>
        <family val="1"/>
        <charset val="186"/>
      </rPr>
      <t>piešķirtais</t>
    </r>
    <r>
      <rPr>
        <sz val="12"/>
        <color theme="1"/>
        <rFont val="Times New Roman"/>
        <family val="1"/>
        <charset val="186"/>
      </rPr>
      <t xml:space="preserve"> finansējums, sākot no 2019.gada 1.aprīļa</t>
    </r>
    <r>
      <rPr>
        <i/>
        <sz val="12"/>
        <color theme="1"/>
        <rFont val="Times New Roman"/>
        <family val="1"/>
        <charset val="186"/>
      </rPr>
      <t>, EUR</t>
    </r>
  </si>
  <si>
    <r>
      <t xml:space="preserve">Nepieciešamais - </t>
    </r>
    <r>
      <rPr>
        <u/>
        <sz val="12"/>
        <color theme="1"/>
        <rFont val="Times New Roman"/>
        <family val="1"/>
        <charset val="186"/>
      </rPr>
      <t>piešķirtais</t>
    </r>
    <r>
      <rPr>
        <sz val="12"/>
        <color theme="1"/>
        <rFont val="Times New Roman"/>
        <family val="1"/>
        <charset val="186"/>
      </rPr>
      <t xml:space="preserve"> finansējums no 2019.gada 1.aprīļa, EUR</t>
    </r>
  </si>
  <si>
    <r>
      <t xml:space="preserve">2019.gadā papildus nepieciešams - </t>
    </r>
    <r>
      <rPr>
        <u/>
        <sz val="12"/>
        <color theme="1"/>
        <rFont val="Times New Roman"/>
        <family val="1"/>
        <charset val="186"/>
      </rPr>
      <t>piešķirtais</t>
    </r>
    <r>
      <rPr>
        <sz val="12"/>
        <color theme="1"/>
        <rFont val="Times New Roman"/>
        <family val="1"/>
        <charset val="186"/>
      </rPr>
      <t>, EUR</t>
    </r>
  </si>
  <si>
    <r>
      <t xml:space="preserve">Papildus nepieciešamais - </t>
    </r>
    <r>
      <rPr>
        <u/>
        <sz val="12"/>
        <rFont val="Times New Roman"/>
        <family val="1"/>
        <charset val="186"/>
      </rPr>
      <t>piešķirtais</t>
    </r>
    <r>
      <rPr>
        <sz val="12"/>
        <rFont val="Times New Roman"/>
        <family val="1"/>
        <charset val="186"/>
      </rPr>
      <t xml:space="preserve"> finansējums sākot no 2019.gada 1.aprīļa EUR</t>
    </r>
  </si>
  <si>
    <r>
      <t xml:space="preserve">Papildus nepieciešamais - </t>
    </r>
    <r>
      <rPr>
        <u/>
        <sz val="12"/>
        <color theme="1"/>
        <rFont val="Times New Roman"/>
        <family val="1"/>
        <charset val="186"/>
      </rPr>
      <t>piešķirtais</t>
    </r>
    <r>
      <rPr>
        <sz val="12"/>
        <color theme="1"/>
        <rFont val="Times New Roman"/>
        <family val="1"/>
        <charset val="186"/>
      </rPr>
      <t xml:space="preserve"> finansējums gadam sākot no 2019.gada 1.aprīļa, EUR</t>
    </r>
  </si>
  <si>
    <r>
      <t xml:space="preserve">Papildus nepieciešamais - </t>
    </r>
    <r>
      <rPr>
        <u/>
        <sz val="12"/>
        <rFont val="Times New Roman"/>
        <family val="1"/>
        <charset val="186"/>
      </rPr>
      <t>piešķirtais</t>
    </r>
    <r>
      <rPr>
        <sz val="12"/>
        <rFont val="Times New Roman"/>
        <family val="1"/>
        <charset val="186"/>
      </rPr>
      <t xml:space="preserve"> finansējums gada 9 mēnešiem, EUR</t>
    </r>
  </si>
  <si>
    <r>
      <t xml:space="preserve">Papildus nepieciešamais - </t>
    </r>
    <r>
      <rPr>
        <u/>
        <sz val="12"/>
        <color theme="1"/>
        <rFont val="Times New Roman"/>
        <family val="1"/>
        <charset val="186"/>
      </rPr>
      <t>piešķirtais</t>
    </r>
    <r>
      <rPr>
        <sz val="12"/>
        <color theme="1"/>
        <rFont val="Times New Roman"/>
        <family val="1"/>
        <charset val="186"/>
      </rPr>
      <t xml:space="preserve"> finansējums no 2019.gada 1.aprīļa, EUR</t>
    </r>
  </si>
  <si>
    <t>Pakalpojuma vidējās izmaksas*, EUR</t>
  </si>
  <si>
    <r>
      <t xml:space="preserve">1. 2020.gadā un turpmāk ik gadu papildus nepieciešamais finansējums, definējot primārās, sekundārās un terciārās </t>
    </r>
    <r>
      <rPr>
        <b/>
        <u/>
        <sz val="12"/>
        <rFont val="Times New Roman"/>
        <family val="1"/>
        <charset val="186"/>
      </rPr>
      <t>veselības aprūpes pakalpojumu līmeņus psihiatriskā profila stacionāriem</t>
    </r>
    <r>
      <rPr>
        <b/>
        <sz val="12"/>
        <rFont val="Times New Roman"/>
        <family val="1"/>
        <charset val="186"/>
      </rPr>
      <t>, sasaistot tos ar multiprofesionālās komandas sastāvu.</t>
    </r>
  </si>
  <si>
    <r>
      <t xml:space="preserve">2. 2020.gadā un turpmāk ik gadu papildus nepieciešamā finansējuma </t>
    </r>
    <r>
      <rPr>
        <b/>
        <u/>
        <sz val="12"/>
        <rFont val="Times New Roman"/>
        <family val="1"/>
        <charset val="186"/>
      </rPr>
      <t>observācijai</t>
    </r>
    <r>
      <rPr>
        <b/>
        <sz val="12"/>
        <rFont val="Times New Roman"/>
        <family val="1"/>
        <charset val="186"/>
      </rPr>
      <t xml:space="preserve"> aprēķins, definējot primārās, sekundārās un terciārās veselības aprūpes pakalpojumu līmeņus psihiatriskā profila stacionāriem.
</t>
    </r>
    <r>
      <rPr>
        <sz val="12"/>
        <rFont val="Times New Roman"/>
        <family val="1"/>
        <charset val="186"/>
      </rPr>
      <t xml:space="preserve">Aprēķins balstās uz starpību starp 2020.gadam nepieciešamo finansējumu 2019.gada līmenī ar gultas dienas tarifu 57.15 euro un 2020.gadam nepieciešamo finansējumu, ja observācijas gultas dienas tarifs ir paaugstināts līdz terciāram līmenim - 92.01 euro un 63.05 euro: 118 896 - 93 726 = </t>
    </r>
    <r>
      <rPr>
        <b/>
        <sz val="12"/>
        <rFont val="Times New Roman"/>
        <family val="1"/>
        <charset val="186"/>
      </rPr>
      <t>25 170 (euro)</t>
    </r>
  </si>
  <si>
    <t xml:space="preserve">Projekts Nr.9.2.6.0/17/I/001 “Ārstniecības un ārstniecības atbalsta personāla kvalifikācijas uzlabošana”  </t>
  </si>
  <si>
    <t xml:space="preserve">Projekts “Ārstniecības un ārstniecības atbalsta personāla pieejamības uzlabošana ārpus Rīgas”  Nr.9.2.5.0/17/I/001 </t>
  </si>
  <si>
    <t xml:space="preserve">Projekts  “Ārstniecības un ārstniecības atbalsta personāla pieejamības uzlabošana ārpus Rīgas”  Nr.9.2.5.0/17/I/001 </t>
  </si>
  <si>
    <t>Projekts  „Kompleksi veselības veicināšanas un slimību profilakses pasākumi” Nr.9.2.4.1/16/I/001</t>
  </si>
  <si>
    <t>Projekts  „Kompleksi veselības veicināšanas un slimību profilakses pasākumi” Nr.9.2.4.1/16/I/001</t>
  </si>
  <si>
    <t>"Pasākumi vietējās sabiedrības veselības veicināšanai un slimību profilaksei" projekta 9.2.4.2/16/I/106 ietvaros</t>
  </si>
  <si>
    <t>"Veselības tīklu attīstības vadlīniju un kvalitātes nodrošināšanas sistēmas izstrāde un ieviešana prioritāro veselības jomu ietvaros" nr.9.2.3.0/15/I/001</t>
  </si>
  <si>
    <t>Veselības tīklu attīstības vadlīniju un kvalitātes nodrošināšanas sistēmas izstrāde un ieviešana prioritāro veselības jomu ietvaros nr.9.2.3.0/15/I/001</t>
  </si>
  <si>
    <t>Projekts Nr.9.2.6.0/17/I/001 “Ārstniecības un ārstniecības atbalsta personāla kvalifikācijas uzlabošana”</t>
  </si>
  <si>
    <t>Vidēja termiņa budžeta ietvara likumā plānotais finansējums*</t>
  </si>
  <si>
    <t>* Atbilstoši Veselības ministrijas apstiprinātajām maksimāli pieļaujamajām valsts pamatbudžeta izdevuma apjomam 2019., 2020., 2021.gadam.</t>
  </si>
  <si>
    <t xml:space="preserve"> Pacientu iemaksas kompensācija par atbrīvotajām kategorijām**, EUR</t>
  </si>
  <si>
    <t>**Pacientu iemaksas kompensācijas par atbrīvotajām kategorijām kopsumma veidojas plānoto pacientu/gultas dienu skaitu sareizinot ar viena pacienta iemaksu 7,11 euro.</t>
  </si>
  <si>
    <t>Papildus nepieciešamais finanansējums 2020.gadā kopā:</t>
  </si>
  <si>
    <t>Pilnveidot normatīvo regulējumu, pārskatot kompensācijas apmēru un iespēju iekļaut zāļu kompensācijas sistēmā jaunas diagnozes</t>
  </si>
  <si>
    <t>2019.gada finansējums, EUR</t>
  </si>
  <si>
    <t>2019.gadā pieejamais finansējums, EUR</t>
  </si>
  <si>
    <t>2020.gada finansējums, EUR</t>
  </si>
  <si>
    <t>Bērnu skaits gadā</t>
  </si>
  <si>
    <t>Pasākums 2019.gadā finansēts no budžeta resora "74. Gadskārtējā valsts budžeta izpildes procesā pārdalāmais finansējums" 08.00.00 uz Veselības ministrijas budžetu pārdalīta finansējuma reformas pasākumu veselības aprūpes pakalpojumu jomā īstenošanai.</t>
  </si>
  <si>
    <t>Papildus nepieciešamais apjoms pasākumam 2019.gadā finansēts no budžeta resora "74. Gadskārtējā valsts budžeta izpildes procesā pārdalāmais finansējums" 08.00.00 uz Veselības ministrijas budžetu pārdalīta finansējuma reformas pasākumu veselības aprūpes pakalpojumu jomā īstenošanai.</t>
  </si>
  <si>
    <t>Nr.p.k.</t>
  </si>
  <si>
    <t>Aprēķinam izmantoto vērtību lielumi</t>
  </si>
  <si>
    <t>Mērvienība</t>
  </si>
  <si>
    <t>Piezīmes</t>
  </si>
  <si>
    <t>1.</t>
  </si>
  <si>
    <t>Interešu izglītības pedagogs</t>
  </si>
  <si>
    <t>Slodzes</t>
  </si>
  <si>
    <t>Nepieciešamais papildus slodžu skaits, lai pilnvērtīgi veiktu Veselības ministrijas budžeta apakšprogrammmu 33.09.00 "Interešu izglītības nodrošināšana VSIA "BKUS"</t>
  </si>
  <si>
    <t>2.</t>
  </si>
  <si>
    <t>Stundas likme EUR</t>
  </si>
  <si>
    <t>3.</t>
  </si>
  <si>
    <t xml:space="preserve">Stundas  </t>
  </si>
  <si>
    <t>Darba stundu skaits vidēji mēnesī  (20,83 dienas mēnesī *6 stundas dienā)</t>
  </si>
  <si>
    <t>4.</t>
  </si>
  <si>
    <t>Mēnešalga (5,92 EUR stundā * 125 stundas mēnesī)</t>
  </si>
  <si>
    <t>5.</t>
  </si>
  <si>
    <t>Papildus nepieciešamais budžets atlīdzībai gadam (1.*4.*12mēn*VSAOI)</t>
  </si>
  <si>
    <t>Esošais slodžu skaits</t>
  </si>
  <si>
    <t>Mēnešalga (5,67 EUR stundā * 125 stundas mēnesī)</t>
  </si>
  <si>
    <t>Pieejamais budžets atlīdzībai (1.*4.*12mēn*VSAOI)</t>
  </si>
  <si>
    <t>Papildus slodzes 2019.gadā funkcionāliem speciālistiem</t>
  </si>
  <si>
    <t>KOPĀ ar VSAOI mēnesim</t>
  </si>
  <si>
    <t>gadam</t>
  </si>
  <si>
    <t>9 mēnešiem</t>
  </si>
  <si>
    <t>Ārsti, funkcionālie speciālisti</t>
  </si>
  <si>
    <t>Māsas</t>
  </si>
  <si>
    <t>Māsu palīgi</t>
  </si>
  <si>
    <t xml:space="preserve">Aprēķinātais amatalgas fonds ar VSAOI mēnesim </t>
  </si>
  <si>
    <t xml:space="preserve">Amatalgas fonds ar VSAOI gadam </t>
  </si>
  <si>
    <t>Gultas dienas izmaksām pieejamais finansējums gadam</t>
  </si>
  <si>
    <t>Vidējā darba samaksa (MK not.555. ar 2019.gada 1.janvāri), EUR</t>
  </si>
  <si>
    <t>Algu fonds ar VSAOI</t>
  </si>
  <si>
    <t>Papildus nepieciešamā finansējuma detalizēts aprēķins gadam</t>
  </si>
  <si>
    <t>Faktiski pieejamā finansējuma detalizēts aprēķins gadam</t>
  </si>
  <si>
    <t>N.p.k.</t>
  </si>
  <si>
    <t>Kabinetu skaits</t>
  </si>
  <si>
    <t>Ārsts</t>
  </si>
  <si>
    <t>Ārstniecības un pacientu aprūpes persona</t>
  </si>
  <si>
    <t>Darba samaksa*, EUR</t>
  </si>
  <si>
    <t>Piemksa par darbu ar psihiski slimu personu,** EUR</t>
  </si>
  <si>
    <t>Valsts sociālās apdrošināšanas obligātās iemaksas, EUR</t>
  </si>
  <si>
    <t>Darbības nodrošināšanai nepieciešamie līdzekļi, EUR ***</t>
  </si>
  <si>
    <t>Finansējuma gada apjoms, EUR</t>
  </si>
  <si>
    <t>Personu skaits</t>
  </si>
  <si>
    <t>Slodzes apjoms (2019) ****</t>
  </si>
  <si>
    <t xml:space="preserve">Slodzes apjoms </t>
  </si>
  <si>
    <t>Psihiatra kabineta finansējums</t>
  </si>
  <si>
    <t>Garīgās aprūpes māsa</t>
  </si>
  <si>
    <t>Psihologa/psihoterapeita kabinets</t>
  </si>
  <si>
    <t>Citi speciālisti (funkcionālie)</t>
  </si>
  <si>
    <t>* Darba samaksas aprēķinam izmantotas sekojošas likmes: Psihiatram un psihologam/prihoterapeitam - 1755 euro (1350*1.30), funkcionāliem speciālistiem -1350 euro, māsai - 810 euro</t>
  </si>
  <si>
    <t>** Speciālā piemaksa ārstniecības personām par darbu, kas saistīts ar īpašu risku (30 % no pamatalgas)</t>
  </si>
  <si>
    <t>*** Kabinetu uzturēšanas izmaksas (telpu noma, komunālie, utt.)</t>
  </si>
  <si>
    <t>**** Pirmajā pakalpojuma gadā ir paredzēts, ka slodzes apjoms pieaugs pakāpeniski, piesaistot speciālistus laika gaitā</t>
  </si>
  <si>
    <t>Finansējuma gada apjoms</t>
  </si>
  <si>
    <t>Detalizēts aprēķins pasākumam - Stiprināt esošās psihiatriskās prakses 2019.gadā</t>
  </si>
  <si>
    <t>Speciālisti</t>
  </si>
  <si>
    <t>Garīgās aprūpes māsas</t>
  </si>
  <si>
    <t>Detalizēts aprēķins pasākumam - Stiprināt esošās psihiatriskās prakses (centros) 2019.gadā</t>
  </si>
  <si>
    <t>Finansējuma apjoms, EUR</t>
  </si>
  <si>
    <t>Slodzes apjoms</t>
  </si>
  <si>
    <t>Detalizēts aprēķins pasākumam - Stiprināt esošās psihiatriskās prakses 2020.gadā</t>
  </si>
  <si>
    <t>Detalizēts aprēķins pasākumam - Stiprināt esošās psihiatriskās prakses (centros) 2020.gadā</t>
  </si>
  <si>
    <t>Multiprofesionālas rehabilitācijas komandas darba nodrošināšana stacionārā, iestādēs, kurās nodrošināts tāmes finansējums - detalizēts aprēķins</t>
  </si>
  <si>
    <t>DETALIZĒTS FINANSĒJUMA APRĒĶINS</t>
  </si>
  <si>
    <t>* detalizēts aprēķins ir 1.6.pielikumā</t>
  </si>
  <si>
    <t>** skatīt detalizēto finansējuma aprēķinu</t>
  </si>
  <si>
    <t>Pakalpojuma vidējās izmaksas**, EUR</t>
  </si>
  <si>
    <t>Prakšu finansējuma aprēķins 9 mēnešiem (no 01.04.2019.)</t>
  </si>
  <si>
    <t>Centru finansējuma aprēķins 9 mēnešiem (no 01.04.2019.)</t>
  </si>
  <si>
    <t>Multiprofesionālas rehabilitācijas komandas darba nodrošināšana stacionārā, nodrošināts stacionārās iestādēs, kurās nodrošināts tāmes finansējums***</t>
  </si>
  <si>
    <t>Gultasdienas izmaksu palielinājums tāmes finansētās iestādēs***</t>
  </si>
  <si>
    <t>*** Skatīt detalizēto aprēķinu</t>
  </si>
  <si>
    <t>Vidējā darba samaksa (MK not.555. ar 2019.gada 1.janvāri)****</t>
  </si>
  <si>
    <t>Plānotais slodžu skaits</t>
  </si>
  <si>
    <t>Gultasdienas izmaksu palielinājumam nepieciešamais finansējums gadam</t>
  </si>
  <si>
    <t>Gultasdienas izmaksu palielinājumam nepieciešamais finansējums 9 mēnešiem</t>
  </si>
  <si>
    <t>Darba samaksa***, EUR</t>
  </si>
  <si>
    <t>Psihoterapeits</t>
  </si>
  <si>
    <t>Pedagogs</t>
  </si>
  <si>
    <t>Sociālais darbinieks</t>
  </si>
  <si>
    <t>***Darba samaksas aprēķinam izmantotas sekojošas likmes: prihoterapeitam - 1755 euro (1350*1.30), pedagogam un sociālajam darbiniekam - 810 euro</t>
  </si>
  <si>
    <t>Piemaksa par darbu ar psihiski slimu personu****, EUR</t>
  </si>
  <si>
    <t>**** Speciālā piemaksa ārstniecības personām par darbu, kas saistīts ar īpašu risku (30 % no pamatalgas)</t>
  </si>
  <si>
    <t xml:space="preserve">Darbības nodrošināšanai nepieciešamie līdzekļi*****, EUR </t>
  </si>
  <si>
    <t>***** Kabinetu uzturēšanas izmaksas (telpu noma, komunālie, utt.)</t>
  </si>
  <si>
    <t>Piemaksa par darbu ar psihiski slimu personu**, EUR</t>
  </si>
  <si>
    <t xml:space="preserve">Darbības nodrošināšanai nepieciešamie līdzekļi***, EUR </t>
  </si>
  <si>
    <t xml:space="preserve">Citi speciālisti (funkcionālie) </t>
  </si>
  <si>
    <t>Pakalpojuma vidējās izmaksas (Skatīt detalizēto finansējuma aprēķinu), EUR</t>
  </si>
  <si>
    <t>Pakalpojumu vidējo izmaksu pieaugums 2020.gadā salīdzinājumā ar 2019.gadu ir saistīts ar psihologa, psihoterapeita un funkcionālo speciālistu kopējās slodzes palielinājumu psihiatrijas praksēs par 1,8 slodzēm un praksēs ambulatorajās iestādēs par 1,366 slodzēm, ņemot vērā, ka šo speciālistu slodzes apjoms pieaugs pakāpeniski, piesaistot papildus speciālistus gada laikā. Skatīt detalizēto finansējuma aprēķinu.</t>
  </si>
  <si>
    <t>Detalizēts finansējuma aprēķins vidējām izmaksām pārējiem speciālistiem, piesaistot kabinetā psihoterapeitu, pedagogu un sociālo darbinieku</t>
  </si>
  <si>
    <t>**** 1350 euro x 2 specialisti = 2700 euro</t>
  </si>
  <si>
    <t>19.Tieslietu ministrija</t>
  </si>
  <si>
    <t>19.Tieslietus ministrija</t>
  </si>
  <si>
    <t>Izglītot ieslodzījuma vietu ārstniecības personas (ārstus, ārsta palīgus un medmāsas).</t>
  </si>
  <si>
    <t>1.11. Izglītot ieslodzījuma vietu ārstniecības personas (ārstus, ārsta palīgus un medmāsas).</t>
  </si>
  <si>
    <t>Paaugstināta ieslodzījuma vietu ārstniecības personu kompetence psihiatriskajā aprūpē.</t>
  </si>
  <si>
    <t>1. Apmācītas ieslodzījuma vietu ārstniecības personas. 
2.Organizēti kvalifikācijas kursi ārstiem (internistiem), kas sniedz ārstniecības pakalpojumus personām ar psihiskiem un uzvedības traucējumiem, ieslodzījuma vietās  (Daugavgrīvas cietumā 2 personām, Jēkabpils cietumā 1 personai un Valmieras cietumā 1 personai).</t>
  </si>
  <si>
    <t>04.01.00 apakšprogramma "Ieslodzījuma vietas"</t>
  </si>
  <si>
    <r>
      <t xml:space="preserve">Apmaksāt kvalifikācijas kursus ārstiem (internistiem) ieslodzījuma vietās, kur nevar nokomplektēt psihiatru likmes: Daugavgrīvas cietumā 2 personām, Jēkabpils cietumā 1 personai un Valmieras cietumā 1 personai:
1 024 </t>
    </r>
    <r>
      <rPr>
        <i/>
        <sz val="12"/>
        <color theme="1"/>
        <rFont val="Times New Roman"/>
        <family val="1"/>
        <charset val="186"/>
      </rPr>
      <t>euro (</t>
    </r>
    <r>
      <rPr>
        <sz val="12"/>
        <color theme="1"/>
        <rFont val="Times New Roman"/>
        <family val="1"/>
        <charset val="186"/>
      </rPr>
      <t xml:space="preserve">kursu cena vienai personai) x 4 (apmācāmo personu skaits) = </t>
    </r>
    <r>
      <rPr>
        <b/>
        <sz val="12"/>
        <color theme="1"/>
        <rFont val="Times New Roman"/>
        <family val="1"/>
        <charset val="186"/>
      </rPr>
      <t>4 096 </t>
    </r>
    <r>
      <rPr>
        <b/>
        <i/>
        <sz val="12"/>
        <color theme="1"/>
        <rFont val="Times New Roman"/>
        <family val="1"/>
        <charset val="186"/>
      </rPr>
      <t>euro</t>
    </r>
    <r>
      <rPr>
        <sz val="12"/>
        <color theme="1"/>
        <rFont val="Times New Roman"/>
        <family val="1"/>
        <charset val="186"/>
      </rPr>
      <t>.</t>
    </r>
  </si>
  <si>
    <r>
      <t xml:space="preserve">3.Rīcības virziens kopā, </t>
    </r>
    <r>
      <rPr>
        <sz val="11"/>
        <rFont val="Times New Roman"/>
        <family val="1"/>
        <charset val="186"/>
      </rPr>
      <t>tajā skaitā:</t>
    </r>
  </si>
  <si>
    <r>
      <t xml:space="preserve">4.Rīcības virziens kopā, </t>
    </r>
    <r>
      <rPr>
        <sz val="11"/>
        <rFont val="Times New Roman"/>
        <family val="1"/>
        <charset val="186"/>
      </rPr>
      <t>tajā skaitā:</t>
    </r>
  </si>
  <si>
    <r>
      <t xml:space="preserve">2.Rīcības virziens kopā, </t>
    </r>
    <r>
      <rPr>
        <sz val="11"/>
        <rFont val="Times New Roman"/>
        <family val="1"/>
        <charset val="186"/>
      </rPr>
      <t>tajā skaitā:</t>
    </r>
  </si>
  <si>
    <r>
      <t xml:space="preserve">1.Rīcības virziens kopā, </t>
    </r>
    <r>
      <rPr>
        <sz val="11"/>
        <rFont val="Times New Roman"/>
        <family val="1"/>
        <charset val="186"/>
      </rPr>
      <t>tajā skaitā:</t>
    </r>
  </si>
  <si>
    <t>2.5. Pilnveidot normatīvo regulējumu, pārskatot finansējuma apmēru un kārtību psihisko un uzvedības traucējumu pacientu stacionārajā ārstēšanā ieslodzījuma vietās, paredzot multidisciplināras komandas pakalpojumu pieejamību.</t>
  </si>
  <si>
    <t>1.Uzlabota veselības aprūpe stacionārā, nodrošinot kvalificētu speciālistu palīdzību un pieejamību.
2. Nodrošināta nemedikamentozas terapijas pieejamība pacientiem ar dažādiem psihiskiem un uzvedības  traucējumiem.</t>
  </si>
  <si>
    <t>1.Iztrādāti grozījumi Ministra kabineta 2015.gada 2. jūnija noteikumos Nr.276 “Apcietināto un notiesāto personu veselības aprūpes īstenošanas kārtība”. 
2. 40% pacientu saņēmuši ārstēšanas un rehabilitācijas pakalpojumus stacionārā.</t>
  </si>
  <si>
    <t>2.6. Izveidot observācijas gultas slimnīcās, kuras nodrošina akūto psihiatrisko un narkoloģisko pacientu ārstēšanu ieslodzījuma vietās.</t>
  </si>
  <si>
    <t xml:space="preserve">Samazinās nepamatotu stacionēšanas gadījumu skaits ieslodzījuma vietās. </t>
  </si>
  <si>
    <t>1.Izstrādāti grozījumi 
Ministra kabineta 2015.gada 2. jūnija noteikumos Nr.276 “Apcietināto un notiesāto personu veselības aprūpes īstenošanas kārtība”. 
2. Katru gadu 10% no visiem stacionētiem pacientiem ir saņēmuši veselības aprūpes pakalpojumus observācijas gultās.</t>
  </si>
  <si>
    <t>2.6.pielikums</t>
  </si>
  <si>
    <t>1.9.pielikums</t>
  </si>
  <si>
    <t>1.11.pielikums</t>
  </si>
  <si>
    <t>Izveidot observācijas gultas slimnīcās, kuras nodrošina akūto psihiatrisko un narkoloģisko pacientu ārstēšanu ieslodzījuma vietās.</t>
  </si>
  <si>
    <t>Darba nosaukums</t>
  </si>
  <si>
    <t>Daudzums</t>
  </si>
  <si>
    <t>Demontēt flīzes un flīžu līmi no sienām, izlietni, WC podu sanitārajā mezglā un sanitārā mezgla norobežojumu</t>
  </si>
  <si>
    <t>kompl.</t>
  </si>
  <si>
    <t>Demontēt slēdžus, rozetes un gaismekļus</t>
  </si>
  <si>
    <t>Sienā paredzēt izsaukuma pogu pie palātas durvīm iekšpusē, ārpusē izbūvēt ar īslaicīgu skaņas signālu un mirgojošo gaismas ķermeni</t>
  </si>
  <si>
    <t>Sagatavot sienas mīkstā materiāla piestiprināšanai</t>
  </si>
  <si>
    <r>
      <t>m</t>
    </r>
    <r>
      <rPr>
        <vertAlign val="superscript"/>
        <sz val="11"/>
        <color theme="1"/>
        <rFont val="Times New Roman"/>
        <family val="1"/>
        <charset val="186"/>
      </rPr>
      <t>2</t>
    </r>
  </si>
  <si>
    <t>Sagatavot griestus un grīdu mīkstā materiāla piestiprināšanai</t>
  </si>
  <si>
    <t>14,14x2=28,28m2</t>
  </si>
  <si>
    <r>
      <t xml:space="preserve">Anti vandal </t>
    </r>
    <r>
      <rPr>
        <sz val="11"/>
        <color theme="1"/>
        <rFont val="Times New Roman"/>
        <family val="1"/>
        <charset val="186"/>
      </rPr>
      <t>mīkstā seguma</t>
    </r>
    <r>
      <rPr>
        <b/>
        <sz val="11"/>
        <color theme="1"/>
        <rFont val="Times New Roman"/>
        <family val="1"/>
        <charset val="186"/>
      </rPr>
      <t xml:space="preserve"> </t>
    </r>
    <r>
      <rPr>
        <sz val="11"/>
        <color theme="1"/>
        <rFont val="Times New Roman"/>
        <family val="1"/>
        <charset val="186"/>
      </rPr>
      <t>izbūve (grīda, griesti, sienas)</t>
    </r>
  </si>
  <si>
    <r>
      <t>Anti vandal</t>
    </r>
    <r>
      <rPr>
        <sz val="11"/>
        <color theme="1"/>
        <rFont val="Times New Roman"/>
        <family val="1"/>
        <charset val="186"/>
      </rPr>
      <t xml:space="preserve"> loga uzstādīšana</t>
    </r>
  </si>
  <si>
    <t>Apkures sistēmas pārbūve (siltās grīdas izbūve, radiatora demontāža, u.c.)</t>
  </si>
  <si>
    <t>14,14</t>
  </si>
  <si>
    <t>Telpu aprīkot ar mākslīgo apgaismojumu (griestos), kura nodrošinās apgaismojuma līmeni, ne mazāk, kā 500 lux un nakts apgaismojums ne mazāk, kā 5 lux</t>
  </si>
  <si>
    <r>
      <t xml:space="preserve">Telpā ierīkot ar </t>
    </r>
    <r>
      <rPr>
        <b/>
        <sz val="11"/>
        <color theme="1"/>
        <rFont val="Times New Roman"/>
        <family val="1"/>
        <charset val="186"/>
      </rPr>
      <t>Anti vandal</t>
    </r>
    <r>
      <rPr>
        <sz val="11"/>
        <color theme="1"/>
        <rFont val="Times New Roman"/>
        <family val="1"/>
        <charset val="186"/>
      </rPr>
      <t xml:space="preserve"> klozetpodu kopā ar izlietni un pieslēgt pie esošajiem tīkliem</t>
    </r>
  </si>
  <si>
    <t>Būvgružu savākšana/utilizēšana</t>
  </si>
  <si>
    <t>Plānotās izmaksas</t>
  </si>
  <si>
    <t>Neparedzētās izmaksas</t>
  </si>
  <si>
    <t>%</t>
  </si>
  <si>
    <t>Summa kopā:</t>
  </si>
  <si>
    <r>
      <t>Olaines cietuma (Latvijas Cietumu slimnīcas) 3.stāvs 301.palāta ar kopējo platību – 14,14 m</t>
    </r>
    <r>
      <rPr>
        <b/>
        <vertAlign val="superscript"/>
        <sz val="11"/>
        <color theme="1"/>
        <rFont val="Times New Roman"/>
        <family val="1"/>
        <charset val="186"/>
      </rPr>
      <t>2</t>
    </r>
  </si>
  <si>
    <r>
      <t xml:space="preserve">Anti vandal </t>
    </r>
    <r>
      <rPr>
        <sz val="11"/>
        <color theme="1"/>
        <rFont val="Times New Roman"/>
        <family val="1"/>
        <charset val="186"/>
      </rPr>
      <t>gaismeklis dienas un nakts apgaismojumam</t>
    </r>
  </si>
  <si>
    <r>
      <t xml:space="preserve">Lai samazinātu nepamatotu stacionēšanu skaitu Olaines cietuma (Latvijas cietumu slimnīcas) (turpmāk – LCS) Psihiatrijas nodaļā, izveidot observācijas gultas. Ar katru gadu pieaug stacionēto pacientu skaits LCS Psihiatrijas nodaļā: 2015.gadā – 202, 2016.gadā- 211, 2017.gadā- 221, 2018.gadā- 270. 26% no stacionētajiem pacientiem atsakās no zālēm, agresīvi,ar  manipulatīvu uzvedību. Observācijas palātas izveidošanas izdevumi sastādīs </t>
    </r>
    <r>
      <rPr>
        <b/>
        <sz val="12"/>
        <color theme="1"/>
        <rFont val="Times New Roman"/>
        <family val="1"/>
        <charset val="186"/>
      </rPr>
      <t>25 795 euro</t>
    </r>
    <r>
      <rPr>
        <sz val="12"/>
        <color theme="1"/>
        <rFont val="Times New Roman"/>
        <family val="1"/>
        <charset val="186"/>
      </rPr>
      <t xml:space="preserve"> apmērā.</t>
    </r>
  </si>
  <si>
    <r>
      <t xml:space="preserve">Pasākumu īstenos </t>
    </r>
    <r>
      <rPr>
        <b/>
        <sz val="12"/>
        <rFont val="Times New Roman"/>
        <family val="1"/>
        <charset val="186"/>
      </rPr>
      <t>Tieslietu ministrija</t>
    </r>
    <r>
      <rPr>
        <sz val="12"/>
        <rFont val="Times New Roman"/>
        <family val="1"/>
        <charset val="186"/>
      </rPr>
      <t xml:space="preserve"> 2020.gadā. </t>
    </r>
  </si>
  <si>
    <r>
      <t xml:space="preserve">Papildus finansējums </t>
    </r>
    <r>
      <rPr>
        <b/>
        <sz val="12"/>
        <color theme="1"/>
        <rFont val="Times New Roman"/>
        <family val="1"/>
        <charset val="186"/>
      </rPr>
      <t>Tieslietu ministrijai</t>
    </r>
    <r>
      <rPr>
        <sz val="12"/>
        <color theme="1"/>
        <rFont val="Times New Roman"/>
        <family val="1"/>
        <charset val="186"/>
      </rPr>
      <t xml:space="preserve"> ir nepieciešams 2020.gadā 04.01.00 apakšprogrammā "Ieslodzījuma vietas".</t>
    </r>
  </si>
  <si>
    <t>Ir pilnveidotas ieslodzījuma vietu darbinieku zināšanas un prasmes  par uzvedības izpausmēm  personām, kurām ir psihiskās veselības un uzvedības traucējumi.</t>
  </si>
  <si>
    <t>Īstenotas apmācības un izveidota informatīvie videomateriāli ieslodzījuma vietu darbiniekiem.</t>
  </si>
  <si>
    <r>
      <t xml:space="preserve">Nepieciešamais - </t>
    </r>
    <r>
      <rPr>
        <u/>
        <sz val="12"/>
        <color theme="1"/>
        <rFont val="Times New Roman"/>
        <family val="1"/>
        <charset val="186"/>
      </rPr>
      <t>piešķirtais</t>
    </r>
    <r>
      <rPr>
        <sz val="12"/>
        <color theme="1"/>
        <rFont val="Times New Roman"/>
        <family val="1"/>
        <charset val="186"/>
      </rPr>
      <t xml:space="preserve"> finansējums no 2019.gada 1.aprīļa: </t>
    </r>
  </si>
  <si>
    <r>
      <t xml:space="preserve">40 bērni un pusaudži 2019.gadā saņēmuši palīdzību pilotprojekta ietvaros, </t>
    </r>
    <r>
      <rPr>
        <b/>
        <u/>
        <sz val="11"/>
        <rFont val="Times New Roman"/>
        <family val="1"/>
        <charset val="186"/>
      </rPr>
      <t>2020.gadā paredzēts dubultot palīdzības ieguvušo skaitu</t>
    </r>
    <r>
      <rPr>
        <b/>
        <sz val="11"/>
        <rFont val="Times New Roman"/>
        <family val="1"/>
        <charset val="186"/>
      </rPr>
      <t>.</t>
    </r>
  </si>
  <si>
    <r>
      <t xml:space="preserve">**Multiprofesionālas rehabilitācijas komandas darbu stacionārā  ir plānots apmaksāt ar manipulācijas tarifu (kods 55069) </t>
    </r>
    <r>
      <rPr>
        <b/>
        <u/>
        <sz val="12"/>
        <rFont val="Times New Roman"/>
        <family val="1"/>
        <charset val="186"/>
      </rPr>
      <t>43.26 euro</t>
    </r>
    <r>
      <rPr>
        <sz val="12"/>
        <rFont val="Times New Roman"/>
        <family val="1"/>
        <charset val="186"/>
      </rPr>
      <t xml:space="preserve"> apmērā.</t>
    </r>
  </si>
  <si>
    <t xml:space="preserve">40% pacientu saņēmuši ārstēšanas un rehabilitācijas pakalpojumus stacionārā. 
</t>
  </si>
  <si>
    <t>Katru gadu 10% no visiem stacionētiem pacientiem ir saņēmuši veselības aprūpes pakalpojumus observācijas gultās.</t>
  </si>
  <si>
    <t>230 bērniem gadā nodrošināta  viena likumiskā pārstāvja vai viena audžuģimenes pārstāvja klātbūtne stacionārā.</t>
  </si>
  <si>
    <t xml:space="preserve">3.2. Izstrādāt un īstenot Psihiskās
veselības
veicināšanas
un profilakses
programmu specifiskām mērķgrupām 
</t>
  </si>
  <si>
    <t xml:space="preserve">Izstrādāt un īstenot Psihiskās veselības veicināšanas un profilakses programmu specifiskām mērķgrupām </t>
  </si>
  <si>
    <t>Izstrādāta un īstenota Psihiskās veselības veicināšanas un profilakses programma grūtniecēm un jaunajiem vecākiem, pusaudžiem un senioriem.</t>
  </si>
  <si>
    <t>Pilnveidotas pedagogu zināšanas (t.sk. speciālo un profesionālo izglītības iestāžu pedagogiem) un prasmes par veselības izglītības jautājumiem, tostarp par psihiskās veselības veicināšanu.</t>
  </si>
  <si>
    <t>3.8. Organizēt izglītojošus pasākumus Ieslodzījuma vietu pārvaldes amatpersonām un darbiniekiem par psihisko veselību un tās veicināšanu.</t>
  </si>
  <si>
    <t>Gultasdienas izmaksu palielinājuma tāmes finansētās iestādēs detalizēts aprēķins 2019.gadam</t>
  </si>
  <si>
    <t>Gultasdienas izmaksu palielinājuma tāmes finansētās iestādēs detalizēts aprēķins 2020.gadam un turpmāk ik gadu</t>
  </si>
  <si>
    <t xml:space="preserve">2020.gadā un turpmāk ik gadu papildus nepieciešamais finansējums: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</si>
</sst>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quot;-&quot;"/>
    <numFmt numFmtId="166" formatCode="0.0"/>
    <numFmt numFmtId="167" formatCode="#,##0.0"/>
    <numFmt numFmtId="168" formatCode="0.0000"/>
    <numFmt numFmtId="169" formatCode="#,##0.0000"/>
    <numFmt numFmtId="170" formatCode="0.000"/>
  </numFmts>
  <fonts count="48" x14ac:knownFonts="1">
    <font>
      <sz val="11"/>
      <color theme="1"/>
      <name val="Calibri"/>
      <family val="2"/>
      <charset val="186"/>
      <scheme val="minor"/>
    </font>
    <font>
      <sz val="12"/>
      <name val="Times New Roman"/>
      <family val="1"/>
      <charset val="186"/>
    </font>
    <font>
      <sz val="11"/>
      <color theme="1"/>
      <name val="Calibri"/>
      <family val="2"/>
      <charset val="186"/>
      <scheme val="minor"/>
    </font>
    <font>
      <b/>
      <sz val="12"/>
      <name val="Times New Roman"/>
      <family val="1"/>
      <charset val="186"/>
    </font>
    <font>
      <strike/>
      <sz val="12"/>
      <name val="Times New Roman"/>
      <family val="1"/>
      <charset val="186"/>
    </font>
    <font>
      <sz val="12"/>
      <name val="Calibri"/>
      <family val="2"/>
      <charset val="186"/>
      <scheme val="minor"/>
    </font>
    <font>
      <sz val="10"/>
      <color indexed="8"/>
      <name val="Helvetica"/>
    </font>
    <font>
      <sz val="11"/>
      <color rgb="FF000000"/>
      <name val="Calibri"/>
      <family val="2"/>
      <charset val="186"/>
    </font>
    <font>
      <sz val="10"/>
      <name val="Arial"/>
      <family val="2"/>
      <charset val="186"/>
    </font>
    <font>
      <sz val="10"/>
      <name val="Times New Roman"/>
      <family val="1"/>
      <charset val="186"/>
    </font>
    <font>
      <b/>
      <sz val="11"/>
      <name val="Times New Roman"/>
      <family val="1"/>
      <charset val="186"/>
    </font>
    <font>
      <sz val="11"/>
      <name val="Times New Roman"/>
      <family val="1"/>
      <charset val="186"/>
    </font>
    <font>
      <sz val="10"/>
      <name val="Arial Cyr"/>
      <charset val="204"/>
    </font>
    <font>
      <sz val="11"/>
      <color theme="1"/>
      <name val="Times New Roman"/>
      <family val="1"/>
      <charset val="186"/>
    </font>
    <font>
      <b/>
      <sz val="12"/>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sz val="12"/>
      <color rgb="FFC00000"/>
      <name val="Times New Roman"/>
      <family val="1"/>
      <charset val="186"/>
    </font>
    <font>
      <sz val="12"/>
      <color rgb="FF000000"/>
      <name val="Times New Roman"/>
      <family val="1"/>
      <charset val="186"/>
    </font>
    <font>
      <sz val="12"/>
      <name val="Arial"/>
      <family val="2"/>
      <charset val="186"/>
    </font>
    <font>
      <sz val="12"/>
      <color theme="9" tint="-0.249977111117893"/>
      <name val="Times New Roman"/>
      <family val="1"/>
      <charset val="186"/>
    </font>
    <font>
      <sz val="12"/>
      <color theme="9" tint="-0.249977111117893"/>
      <name val="Calibri"/>
      <family val="2"/>
      <charset val="186"/>
      <scheme val="minor"/>
    </font>
    <font>
      <b/>
      <i/>
      <sz val="12"/>
      <name val="Times New Roman"/>
      <family val="1"/>
      <charset val="186"/>
    </font>
    <font>
      <sz val="11"/>
      <name val="Calibri"/>
      <family val="2"/>
      <charset val="186"/>
      <scheme val="minor"/>
    </font>
    <font>
      <sz val="12"/>
      <color rgb="FFFF0000"/>
      <name val="Times New Roman"/>
      <family val="1"/>
      <charset val="186"/>
    </font>
    <font>
      <sz val="12"/>
      <color rgb="FFFF0000"/>
      <name val="Arial"/>
      <family val="2"/>
      <charset val="186"/>
    </font>
    <font>
      <sz val="12"/>
      <color rgb="FF0070C0"/>
      <name val="Times New Roman"/>
      <family val="1"/>
      <charset val="186"/>
    </font>
    <font>
      <sz val="12"/>
      <color rgb="FF0070C0"/>
      <name val="Calibri"/>
      <family val="2"/>
      <charset val="186"/>
      <scheme val="minor"/>
    </font>
    <font>
      <i/>
      <sz val="12"/>
      <name val="Times New Roman"/>
      <family val="1"/>
      <charset val="186"/>
    </font>
    <font>
      <b/>
      <sz val="12"/>
      <name val="Arial"/>
      <family val="2"/>
      <charset val="186"/>
    </font>
    <font>
      <sz val="12"/>
      <color theme="1"/>
      <name val="Calibri"/>
      <family val="2"/>
      <charset val="186"/>
      <scheme val="minor"/>
    </font>
    <font>
      <sz val="11"/>
      <name val="Times New Roman"/>
      <family val="1"/>
    </font>
    <font>
      <b/>
      <sz val="11"/>
      <name val="Times New Roman"/>
      <family val="1"/>
    </font>
    <font>
      <sz val="12"/>
      <color rgb="FF000000"/>
      <name val="Calibri"/>
      <family val="2"/>
      <charset val="186"/>
      <scheme val="minor"/>
    </font>
    <font>
      <u/>
      <sz val="12"/>
      <name val="Times New Roman"/>
      <family val="1"/>
      <charset val="186"/>
    </font>
    <font>
      <u/>
      <sz val="12"/>
      <color theme="1"/>
      <name val="Times New Roman"/>
      <family val="1"/>
      <charset val="186"/>
    </font>
    <font>
      <b/>
      <u/>
      <sz val="12"/>
      <name val="Times New Roman"/>
      <family val="1"/>
      <charset val="186"/>
    </font>
    <font>
      <b/>
      <sz val="11"/>
      <color theme="1"/>
      <name val="Times New Roman"/>
      <family val="1"/>
      <charset val="186"/>
    </font>
    <font>
      <b/>
      <sz val="10"/>
      <name val="Times New Roman"/>
      <family val="1"/>
      <charset val="186"/>
    </font>
    <font>
      <sz val="11"/>
      <name val="Arial"/>
      <family val="2"/>
      <charset val="186"/>
    </font>
    <font>
      <b/>
      <u/>
      <sz val="12"/>
      <color theme="1"/>
      <name val="Times New Roman"/>
      <family val="1"/>
      <charset val="186"/>
    </font>
    <font>
      <b/>
      <i/>
      <sz val="12"/>
      <color theme="1"/>
      <name val="Times New Roman"/>
      <family val="1"/>
      <charset val="186"/>
    </font>
    <font>
      <b/>
      <i/>
      <sz val="12"/>
      <name val="Calibri"/>
      <family val="2"/>
      <charset val="186"/>
      <scheme val="minor"/>
    </font>
    <font>
      <vertAlign val="superscript"/>
      <sz val="11"/>
      <color theme="1"/>
      <name val="Times New Roman"/>
      <family val="1"/>
      <charset val="186"/>
    </font>
    <font>
      <b/>
      <vertAlign val="superscript"/>
      <sz val="11"/>
      <color theme="1"/>
      <name val="Times New Roman"/>
      <family val="1"/>
      <charset val="186"/>
    </font>
    <font>
      <i/>
      <sz val="12"/>
      <name val="Calibri"/>
      <family val="2"/>
      <charset val="186"/>
      <scheme val="minor"/>
    </font>
    <font>
      <b/>
      <u/>
      <sz val="11"/>
      <name val="Times New Roman"/>
      <family val="1"/>
      <charset val="186"/>
    </font>
  </fonts>
  <fills count="3">
    <fill>
      <patternFill patternType="none"/>
    </fill>
    <fill>
      <patternFill patternType="gray125"/>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dashed">
        <color indexed="64"/>
      </left>
      <right style="dashed">
        <color indexed="64"/>
      </right>
      <top style="dashed">
        <color indexed="64"/>
      </top>
      <bottom style="dashed">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Protection="0">
      <alignment vertical="top" wrapText="1"/>
    </xf>
    <xf numFmtId="0" fontId="7" fillId="0" borderId="0"/>
    <xf numFmtId="0" fontId="2" fillId="0" borderId="0"/>
    <xf numFmtId="0" fontId="8" fillId="0" borderId="0"/>
    <xf numFmtId="0" fontId="8" fillId="0" borderId="0"/>
    <xf numFmtId="9" fontId="2" fillId="0" borderId="0" applyFont="0" applyFill="0" applyBorder="0" applyAlignment="0" applyProtection="0"/>
    <xf numFmtId="0" fontId="12" fillId="0" borderId="0"/>
    <xf numFmtId="0" fontId="8" fillId="0" borderId="0"/>
    <xf numFmtId="0" fontId="8" fillId="0" borderId="0"/>
    <xf numFmtId="0" fontId="2" fillId="0" borderId="0"/>
    <xf numFmtId="43" fontId="2" fillId="0" borderId="0" applyFont="0" applyFill="0" applyBorder="0" applyAlignment="0" applyProtection="0"/>
    <xf numFmtId="43" fontId="8" fillId="0" borderId="0" applyFont="0" applyFill="0" applyBorder="0" applyAlignment="0" applyProtection="0"/>
    <xf numFmtId="0" fontId="2" fillId="0" borderId="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cellStyleXfs>
  <cellXfs count="566">
    <xf numFmtId="0" fontId="0" fillId="0" borderId="0" xfId="0"/>
    <xf numFmtId="0" fontId="5" fillId="0" borderId="0" xfId="0" applyFont="1" applyAlignment="1">
      <alignment wrapText="1"/>
    </xf>
    <xf numFmtId="0" fontId="14" fillId="0" borderId="0" xfId="0" applyFont="1" applyAlignment="1">
      <alignment wrapText="1"/>
    </xf>
    <xf numFmtId="0" fontId="9" fillId="0" borderId="0" xfId="0" applyFont="1"/>
    <xf numFmtId="0" fontId="3" fillId="0" borderId="0" xfId="0" applyFont="1" applyAlignment="1">
      <alignment vertical="center"/>
    </xf>
    <xf numFmtId="0" fontId="16" fillId="0" borderId="0" xfId="0" applyFont="1"/>
    <xf numFmtId="0" fontId="16" fillId="0" borderId="1" xfId="0" applyFont="1" applyBorder="1" applyAlignment="1">
      <alignment horizontal="center" vertical="center" wrapText="1"/>
    </xf>
    <xf numFmtId="0" fontId="16" fillId="0" borderId="0" xfId="0" applyFont="1" applyAlignment="1">
      <alignment horizontal="right"/>
    </xf>
    <xf numFmtId="0" fontId="16" fillId="0" borderId="1" xfId="0" applyFont="1" applyBorder="1"/>
    <xf numFmtId="0" fontId="16" fillId="0" borderId="0" xfId="0" applyFont="1" applyAlignment="1">
      <alignment vertical="center"/>
    </xf>
    <xf numFmtId="0" fontId="1" fillId="0" borderId="0" xfId="17" applyFont="1" applyAlignment="1">
      <alignment vertical="center"/>
    </xf>
    <xf numFmtId="0" fontId="11" fillId="0" borderId="1" xfId="0" applyFont="1" applyBorder="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left" wrapText="1"/>
    </xf>
    <xf numFmtId="0" fontId="1" fillId="0" borderId="0" xfId="0" applyFont="1" applyAlignment="1">
      <alignment wrapText="1"/>
    </xf>
    <xf numFmtId="0" fontId="22" fillId="0" borderId="0" xfId="0" applyFont="1" applyAlignment="1">
      <alignment wrapText="1"/>
    </xf>
    <xf numFmtId="0" fontId="1" fillId="0" borderId="0" xfId="17" applyFont="1"/>
    <xf numFmtId="0" fontId="15" fillId="0" borderId="0" xfId="0" applyFont="1" applyAlignment="1">
      <alignment vertical="center" wrapText="1"/>
    </xf>
    <xf numFmtId="0" fontId="1" fillId="0" borderId="1" xfId="0" applyFont="1" applyBorder="1" applyAlignment="1">
      <alignment horizontal="center" vertical="center" wrapText="1"/>
    </xf>
    <xf numFmtId="0" fontId="23" fillId="0" borderId="0" xfId="17" applyFont="1"/>
    <xf numFmtId="0" fontId="1" fillId="0" borderId="1" xfId="17" applyFont="1" applyBorder="1" applyAlignment="1">
      <alignment horizontal="center" vertical="center" wrapText="1"/>
    </xf>
    <xf numFmtId="0" fontId="1" fillId="0" borderId="1" xfId="17" applyFont="1" applyBorder="1" applyAlignment="1">
      <alignment horizontal="center"/>
    </xf>
    <xf numFmtId="3" fontId="1" fillId="0" borderId="1" xfId="17" applyNumberFormat="1" applyFont="1" applyBorder="1" applyAlignment="1">
      <alignment horizontal="center"/>
    </xf>
    <xf numFmtId="9" fontId="1" fillId="0" borderId="0" xfId="7" applyFont="1"/>
    <xf numFmtId="9" fontId="16" fillId="0" borderId="0" xfId="7" applyFont="1"/>
    <xf numFmtId="9" fontId="16" fillId="0" borderId="1" xfId="7" applyFont="1" applyBorder="1" applyAlignment="1">
      <alignment horizontal="center" vertical="center" wrapText="1"/>
    </xf>
    <xf numFmtId="0" fontId="1" fillId="0" borderId="0" xfId="17" applyFont="1" applyAlignment="1">
      <alignment horizontal="center" vertical="center" wrapText="1"/>
    </xf>
    <xf numFmtId="2" fontId="16" fillId="0" borderId="0" xfId="7" applyNumberFormat="1" applyFont="1"/>
    <xf numFmtId="0" fontId="16" fillId="0" borderId="32" xfId="0" applyFont="1" applyBorder="1" applyAlignment="1">
      <alignment horizontal="center" vertical="center" wrapText="1"/>
    </xf>
    <xf numFmtId="0" fontId="16" fillId="0" borderId="32" xfId="0" applyFont="1" applyBorder="1" applyAlignment="1">
      <alignment horizontal="left" vertical="center" wrapText="1"/>
    </xf>
    <xf numFmtId="0" fontId="13" fillId="0" borderId="1" xfId="0" applyFont="1" applyBorder="1" applyAlignment="1">
      <alignment horizontal="center" vertical="center" wrapText="1"/>
    </xf>
    <xf numFmtId="0" fontId="11" fillId="0" borderId="1" xfId="17" applyFont="1" applyBorder="1" applyAlignment="1">
      <alignment horizontal="center" vertical="center" wrapText="1"/>
    </xf>
    <xf numFmtId="0" fontId="1" fillId="0" borderId="1" xfId="21" applyFont="1" applyBorder="1" applyAlignment="1">
      <alignment vertical="center" wrapText="1"/>
    </xf>
    <xf numFmtId="3" fontId="11" fillId="0" borderId="1" xfId="0" applyNumberFormat="1" applyFont="1" applyBorder="1" applyAlignment="1">
      <alignment horizontal="center" vertical="center"/>
    </xf>
    <xf numFmtId="9" fontId="11" fillId="0" borderId="1" xfId="15" applyFont="1" applyBorder="1" applyAlignment="1">
      <alignment horizontal="center" vertical="center"/>
    </xf>
    <xf numFmtId="3" fontId="11" fillId="0" borderId="1" xfId="15" applyNumberFormat="1" applyFont="1" applyBorder="1" applyAlignment="1">
      <alignment horizontal="center" vertical="center"/>
    </xf>
    <xf numFmtId="4" fontId="11" fillId="0" borderId="1" xfId="15" applyNumberFormat="1" applyFont="1" applyBorder="1" applyAlignment="1">
      <alignment horizontal="center" vertical="center"/>
    </xf>
    <xf numFmtId="0" fontId="24" fillId="0" borderId="0" xfId="0" applyFont="1"/>
    <xf numFmtId="0" fontId="1" fillId="0" borderId="0" xfId="0" applyFont="1"/>
    <xf numFmtId="0" fontId="1" fillId="0" borderId="0" xfId="0" applyFont="1" applyAlignment="1">
      <alignment horizontal="right"/>
    </xf>
    <xf numFmtId="3" fontId="16" fillId="0" borderId="0" xfId="0" applyNumberFormat="1" applyFont="1"/>
    <xf numFmtId="0" fontId="16" fillId="0" borderId="1" xfId="0" applyFont="1" applyBorder="1" applyAlignment="1">
      <alignment horizontal="center" vertical="center"/>
    </xf>
    <xf numFmtId="0" fontId="16" fillId="0" borderId="1" xfId="0" applyFont="1" applyBorder="1" applyAlignment="1">
      <alignment wrapText="1"/>
    </xf>
    <xf numFmtId="3" fontId="1" fillId="0" borderId="1" xfId="17" applyNumberFormat="1" applyFont="1" applyBorder="1" applyAlignment="1">
      <alignment horizontal="center" vertical="center"/>
    </xf>
    <xf numFmtId="1" fontId="1" fillId="0" borderId="1" xfId="17" applyNumberFormat="1" applyFont="1" applyBorder="1" applyAlignment="1">
      <alignment horizontal="center"/>
    </xf>
    <xf numFmtId="2" fontId="16" fillId="0" borderId="1" xfId="7" applyNumberFormat="1" applyFont="1" applyBorder="1" applyAlignment="1">
      <alignment horizontal="center"/>
    </xf>
    <xf numFmtId="3" fontId="16" fillId="0" borderId="1" xfId="7" applyNumberFormat="1" applyFont="1" applyBorder="1" applyAlignment="1">
      <alignment horizontal="center"/>
    </xf>
    <xf numFmtId="0" fontId="15" fillId="0" borderId="0" xfId="0" applyFont="1"/>
    <xf numFmtId="0" fontId="1" fillId="0" borderId="0" xfId="17" applyFont="1" applyAlignment="1">
      <alignment horizontal="left" wrapText="1"/>
    </xf>
    <xf numFmtId="0" fontId="1" fillId="0" borderId="0" xfId="17" applyFont="1" applyAlignment="1">
      <alignment horizontal="left"/>
    </xf>
    <xf numFmtId="0" fontId="16" fillId="0" borderId="31" xfId="0" applyFont="1" applyBorder="1" applyAlignment="1">
      <alignment horizontal="center" vertical="center" wrapText="1"/>
    </xf>
    <xf numFmtId="0" fontId="11" fillId="0" borderId="0" xfId="0" applyFont="1" applyAlignment="1">
      <alignment horizontal="left" vertical="center" wrapText="1"/>
    </xf>
    <xf numFmtId="0" fontId="25" fillId="0" borderId="0" xfId="17" applyFont="1"/>
    <xf numFmtId="0" fontId="25" fillId="0" borderId="0" xfId="0" applyFont="1"/>
    <xf numFmtId="0" fontId="25" fillId="0" borderId="0" xfId="0" applyFont="1" applyAlignment="1">
      <alignment vertical="center"/>
    </xf>
    <xf numFmtId="0" fontId="1" fillId="0" borderId="0" xfId="0" applyFont="1" applyAlignment="1">
      <alignment horizontal="left"/>
    </xf>
    <xf numFmtId="0" fontId="28" fillId="0" borderId="0" xfId="0" applyFont="1" applyAlignment="1">
      <alignment wrapText="1"/>
    </xf>
    <xf numFmtId="0" fontId="16" fillId="0" borderId="1" xfId="0" applyFont="1" applyBorder="1" applyAlignment="1">
      <alignment horizontal="right"/>
    </xf>
    <xf numFmtId="3" fontId="16" fillId="0" borderId="1" xfId="0" applyNumberFormat="1" applyFont="1" applyBorder="1"/>
    <xf numFmtId="164" fontId="1" fillId="0" borderId="1" xfId="1" applyNumberFormat="1" applyFont="1" applyBorder="1" applyAlignment="1">
      <alignment horizontal="left" vertical="top" wrapText="1"/>
    </xf>
    <xf numFmtId="0" fontId="16" fillId="0" borderId="0" xfId="24" applyFont="1" applyAlignment="1">
      <alignment vertical="center"/>
    </xf>
    <xf numFmtId="0" fontId="16" fillId="0" borderId="1" xfId="24" applyFont="1" applyBorder="1" applyAlignment="1">
      <alignment horizontal="center" vertical="center" wrapText="1"/>
    </xf>
    <xf numFmtId="4" fontId="1" fillId="0" borderId="1" xfId="17" applyNumberFormat="1" applyFont="1" applyBorder="1" applyAlignment="1">
      <alignment horizontal="center" vertical="center"/>
    </xf>
    <xf numFmtId="0" fontId="1" fillId="0" borderId="1" xfId="17" applyFont="1" applyBorder="1" applyAlignment="1">
      <alignment horizontal="center" vertical="center"/>
    </xf>
    <xf numFmtId="0" fontId="16" fillId="0" borderId="0" xfId="0" applyFont="1" applyAlignment="1">
      <alignment horizontal="center"/>
    </xf>
    <xf numFmtId="0" fontId="3" fillId="0" borderId="0" xfId="17" applyFont="1" applyAlignment="1">
      <alignment vertical="center"/>
    </xf>
    <xf numFmtId="0" fontId="1" fillId="0" borderId="1" xfId="0" applyFont="1" applyBorder="1"/>
    <xf numFmtId="164" fontId="16" fillId="0" borderId="1" xfId="0" applyNumberFormat="1" applyFont="1" applyBorder="1"/>
    <xf numFmtId="0" fontId="1"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0" borderId="0" xfId="0" applyFont="1" applyAlignment="1">
      <alignment wrapText="1"/>
    </xf>
    <xf numFmtId="3" fontId="1" fillId="0" borderId="1" xfId="0" applyNumberFormat="1" applyFont="1" applyBorder="1" applyAlignment="1">
      <alignment horizontal="center"/>
    </xf>
    <xf numFmtId="0" fontId="19" fillId="0" borderId="0" xfId="0" applyFont="1" applyFill="1" applyAlignment="1">
      <alignment wrapText="1"/>
    </xf>
    <xf numFmtId="0" fontId="1" fillId="0" borderId="0" xfId="0" applyFont="1" applyFill="1" applyAlignment="1">
      <alignment wrapText="1"/>
    </xf>
    <xf numFmtId="4" fontId="11" fillId="0" borderId="1" xfId="17" applyNumberFormat="1" applyFont="1" applyFill="1" applyBorder="1" applyAlignment="1">
      <alignment horizontal="center" vertical="center"/>
    </xf>
    <xf numFmtId="0" fontId="13" fillId="0" borderId="0" xfId="4" applyFont="1" applyFill="1" applyAlignment="1">
      <alignment vertical="center"/>
    </xf>
    <xf numFmtId="0" fontId="3" fillId="0" borderId="0" xfId="0" applyFont="1" applyFill="1"/>
    <xf numFmtId="0" fontId="1" fillId="0" borderId="0" xfId="0" applyFont="1" applyFill="1" applyAlignment="1">
      <alignment vertical="center"/>
    </xf>
    <xf numFmtId="0" fontId="16" fillId="0" borderId="0" xfId="4" applyFont="1" applyFill="1" applyAlignment="1">
      <alignment vertical="center"/>
    </xf>
    <xf numFmtId="0" fontId="1"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right" wrapText="1"/>
    </xf>
    <xf numFmtId="3" fontId="1" fillId="0" borderId="1" xfId="0" applyNumberFormat="1" applyFont="1" applyFill="1" applyBorder="1"/>
    <xf numFmtId="4" fontId="1" fillId="0" borderId="1" xfId="0" applyNumberFormat="1" applyFont="1" applyFill="1" applyBorder="1"/>
    <xf numFmtId="0" fontId="1" fillId="0" borderId="1" xfId="0" applyFont="1" applyFill="1" applyBorder="1" applyAlignment="1">
      <alignment horizontal="left" vertical="center"/>
    </xf>
    <xf numFmtId="0" fontId="1" fillId="0" borderId="1" xfId="0" applyFont="1" applyFill="1" applyBorder="1"/>
    <xf numFmtId="0" fontId="1" fillId="0" borderId="1" xfId="0" applyFont="1" applyFill="1" applyBorder="1" applyAlignment="1">
      <alignment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1" fillId="0" borderId="1" xfId="17" applyFont="1" applyFill="1" applyBorder="1" applyAlignment="1">
      <alignment horizontal="center" vertical="center" wrapText="1"/>
    </xf>
    <xf numFmtId="0" fontId="1" fillId="0" borderId="1" xfId="17" applyFont="1" applyFill="1" applyBorder="1" applyAlignment="1">
      <alignment horizontal="center" vertical="center" wrapText="1"/>
    </xf>
    <xf numFmtId="0" fontId="1" fillId="0" borderId="1" xfId="17" applyFont="1" applyFill="1" applyBorder="1" applyAlignment="1">
      <alignment horizontal="center" vertical="center"/>
    </xf>
    <xf numFmtId="4" fontId="1" fillId="0" borderId="1" xfId="17" applyNumberFormat="1" applyFont="1" applyFill="1" applyBorder="1" applyAlignment="1">
      <alignment horizontal="center" vertical="center"/>
    </xf>
    <xf numFmtId="0" fontId="1" fillId="0" borderId="1" xfId="17" applyFont="1" applyFill="1" applyBorder="1" applyAlignment="1">
      <alignment wrapText="1"/>
    </xf>
    <xf numFmtId="0" fontId="1" fillId="0" borderId="1" xfId="17" applyFont="1" applyFill="1" applyBorder="1" applyAlignment="1">
      <alignment vertical="center" wrapText="1"/>
    </xf>
    <xf numFmtId="3" fontId="1" fillId="0" borderId="1" xfId="17" applyNumberFormat="1" applyFont="1" applyFill="1" applyBorder="1" applyAlignment="1">
      <alignment horizontal="center" vertical="center"/>
    </xf>
    <xf numFmtId="4" fontId="23" fillId="0" borderId="1" xfId="17" applyNumberFormat="1" applyFont="1" applyFill="1" applyBorder="1" applyAlignment="1">
      <alignment horizontal="center" vertical="center"/>
    </xf>
    <xf numFmtId="0" fontId="13" fillId="0" borderId="0" xfId="22" applyFont="1" applyFill="1" applyAlignment="1">
      <alignment vertical="center"/>
    </xf>
    <xf numFmtId="0" fontId="38" fillId="0" borderId="0" xfId="24" applyFont="1" applyFill="1" applyAlignment="1">
      <alignment vertical="center"/>
    </xf>
    <xf numFmtId="0" fontId="11" fillId="0" borderId="0" xfId="17" applyFont="1" applyFill="1" applyAlignment="1">
      <alignment vertical="center"/>
    </xf>
    <xf numFmtId="0" fontId="13" fillId="0" borderId="1" xfId="24" applyFont="1" applyFill="1" applyBorder="1" applyAlignment="1">
      <alignment horizontal="center" vertical="center" wrapText="1"/>
    </xf>
    <xf numFmtId="3" fontId="13" fillId="0" borderId="0" xfId="4" applyNumberFormat="1" applyFont="1" applyFill="1" applyAlignment="1">
      <alignment vertical="center"/>
    </xf>
    <xf numFmtId="2" fontId="13" fillId="0" borderId="0" xfId="4" applyNumberFormat="1" applyFont="1" applyFill="1" applyAlignment="1">
      <alignment vertical="center"/>
    </xf>
    <xf numFmtId="0" fontId="11" fillId="0" borderId="0" xfId="17" applyFont="1" applyFill="1"/>
    <xf numFmtId="0" fontId="11" fillId="0" borderId="0" xfId="22" applyFont="1" applyFill="1"/>
    <xf numFmtId="0" fontId="3" fillId="0" borderId="0" xfId="17" applyFont="1" applyFill="1"/>
    <xf numFmtId="0" fontId="16" fillId="0" borderId="0" xfId="0" applyFont="1" applyFill="1"/>
    <xf numFmtId="0" fontId="1" fillId="0" borderId="0" xfId="0" applyFont="1" applyFill="1" applyAlignment="1">
      <alignment horizontal="right"/>
    </xf>
    <xf numFmtId="0" fontId="1" fillId="0" borderId="0" xfId="17" applyFont="1" applyFill="1" applyAlignment="1">
      <alignment horizontal="left"/>
    </xf>
    <xf numFmtId="0" fontId="1" fillId="0" borderId="0" xfId="17" applyFont="1" applyFill="1"/>
    <xf numFmtId="0" fontId="1" fillId="0" borderId="0" xfId="0" applyFont="1" applyFill="1" applyAlignment="1">
      <alignment horizontal="left"/>
    </xf>
    <xf numFmtId="0" fontId="27" fillId="0" borderId="0" xfId="0" applyFont="1" applyFill="1" applyAlignment="1">
      <alignment horizontal="left"/>
    </xf>
    <xf numFmtId="0" fontId="15" fillId="0" borderId="0" xfId="0" applyFont="1" applyFill="1" applyAlignment="1">
      <alignment horizontal="left" vertical="center"/>
    </xf>
    <xf numFmtId="0" fontId="16" fillId="0" borderId="1" xfId="0" applyFont="1" applyFill="1" applyBorder="1" applyAlignment="1">
      <alignment horizontal="center" vertical="center" wrapText="1"/>
    </xf>
    <xf numFmtId="0" fontId="25" fillId="0" borderId="0" xfId="0" applyFont="1" applyFill="1"/>
    <xf numFmtId="4"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0" xfId="0" applyNumberFormat="1" applyFont="1" applyFill="1"/>
    <xf numFmtId="0" fontId="3" fillId="0" borderId="0" xfId="0" applyFont="1" applyFill="1" applyAlignment="1">
      <alignment horizontal="left" vertical="center"/>
    </xf>
    <xf numFmtId="0" fontId="21" fillId="0" borderId="0" xfId="0" applyFont="1" applyFill="1"/>
    <xf numFmtId="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1" fillId="0" borderId="0" xfId="0" applyNumberFormat="1" applyFont="1" applyFill="1"/>
    <xf numFmtId="0" fontId="3" fillId="0" borderId="0" xfId="17" applyFont="1" applyFill="1" applyAlignment="1">
      <alignment vertical="center"/>
    </xf>
    <xf numFmtId="0" fontId="1" fillId="0" borderId="0" xfId="17" applyFont="1" applyFill="1" applyAlignment="1">
      <alignment vertical="center"/>
    </xf>
    <xf numFmtId="0" fontId="1" fillId="0" borderId="0" xfId="17" applyFont="1" applyFill="1" applyBorder="1" applyAlignment="1">
      <alignment vertical="center"/>
    </xf>
    <xf numFmtId="0" fontId="1" fillId="0" borderId="0" xfId="4" applyFont="1" applyFill="1" applyAlignment="1">
      <alignment vertical="center"/>
    </xf>
    <xf numFmtId="0" fontId="8" fillId="0" borderId="0" xfId="17" applyFill="1"/>
    <xf numFmtId="0" fontId="39" fillId="0" borderId="0" xfId="21" applyFont="1" applyFill="1" applyBorder="1" applyAlignment="1">
      <alignment horizontal="center" vertical="center" wrapText="1"/>
    </xf>
    <xf numFmtId="167" fontId="10" fillId="0" borderId="0" xfId="21" applyNumberFormat="1" applyFont="1" applyFill="1" applyBorder="1" applyAlignment="1">
      <alignment horizontal="center" vertical="center" wrapText="1"/>
    </xf>
    <xf numFmtId="167" fontId="10" fillId="0" borderId="0" xfId="17" applyNumberFormat="1" applyFont="1" applyFill="1" applyBorder="1" applyAlignment="1">
      <alignment horizontal="center"/>
    </xf>
    <xf numFmtId="0" fontId="40" fillId="0" borderId="0" xfId="17" applyFont="1" applyFill="1"/>
    <xf numFmtId="167" fontId="8" fillId="0" borderId="0" xfId="17" applyNumberFormat="1" applyFill="1"/>
    <xf numFmtId="0" fontId="0" fillId="0" borderId="0" xfId="0" applyFill="1"/>
    <xf numFmtId="3" fontId="13" fillId="0" borderId="0" xfId="22" applyNumberFormat="1" applyFont="1" applyFill="1" applyAlignment="1">
      <alignment vertical="center"/>
    </xf>
    <xf numFmtId="164" fontId="1" fillId="0" borderId="1" xfId="1" applyNumberFormat="1" applyFont="1" applyFill="1" applyBorder="1" applyAlignment="1">
      <alignment horizontal="left" vertical="top" wrapText="1"/>
    </xf>
    <xf numFmtId="0" fontId="16" fillId="0" borderId="0" xfId="0" applyFont="1" applyFill="1" applyAlignment="1">
      <alignment horizontal="right"/>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 fillId="0" borderId="9" xfId="0" applyFont="1" applyFill="1" applyBorder="1" applyAlignment="1">
      <alignment horizontal="left"/>
    </xf>
    <xf numFmtId="164" fontId="1" fillId="0" borderId="1" xfId="1" applyNumberFormat="1" applyFont="1" applyFill="1" applyBorder="1" applyAlignment="1">
      <alignment horizontal="center" vertical="top" wrapText="1"/>
    </xf>
    <xf numFmtId="0" fontId="23" fillId="0" borderId="0" xfId="17" applyFont="1" applyFill="1"/>
    <xf numFmtId="0" fontId="1" fillId="0" borderId="1" xfId="17" applyFont="1" applyFill="1" applyBorder="1" applyAlignment="1">
      <alignment horizontal="center"/>
    </xf>
    <xf numFmtId="3" fontId="1" fillId="0" borderId="1" xfId="17" applyNumberFormat="1" applyFont="1" applyFill="1" applyBorder="1" applyAlignment="1">
      <alignment horizontal="center"/>
    </xf>
    <xf numFmtId="9" fontId="1" fillId="0" borderId="0" xfId="7" applyFont="1" applyFill="1"/>
    <xf numFmtId="9" fontId="1" fillId="0" borderId="1" xfId="7" applyFont="1" applyFill="1" applyBorder="1" applyAlignment="1">
      <alignment horizontal="center" vertical="center" wrapText="1"/>
    </xf>
    <xf numFmtId="9" fontId="1" fillId="0" borderId="0" xfId="7" applyFont="1" applyFill="1" applyAlignment="1">
      <alignment wrapText="1"/>
    </xf>
    <xf numFmtId="3" fontId="1" fillId="0" borderId="1" xfId="7" applyNumberFormat="1" applyFont="1" applyFill="1" applyBorder="1" applyAlignment="1">
      <alignment horizontal="center"/>
    </xf>
    <xf numFmtId="2" fontId="1" fillId="0" borderId="1" xfId="7" applyNumberFormat="1" applyFont="1" applyFill="1" applyBorder="1" applyAlignment="1">
      <alignment horizontal="center"/>
    </xf>
    <xf numFmtId="0" fontId="16" fillId="0" borderId="0" xfId="22" applyFont="1" applyFill="1" applyAlignment="1">
      <alignment vertical="center"/>
    </xf>
    <xf numFmtId="0" fontId="20" fillId="0" borderId="0" xfId="5" applyFont="1" applyFill="1"/>
    <xf numFmtId="0" fontId="30" fillId="0" borderId="0" xfId="5" applyFont="1" applyFill="1"/>
    <xf numFmtId="0" fontId="3" fillId="0" borderId="0" xfId="22" applyFont="1" applyFill="1" applyAlignment="1">
      <alignment vertical="center"/>
    </xf>
    <xf numFmtId="0" fontId="16" fillId="0" borderId="0" xfId="22" applyFont="1" applyFill="1" applyAlignment="1">
      <alignment shrinkToFit="1"/>
    </xf>
    <xf numFmtId="0" fontId="21" fillId="0" borderId="0" xfId="0" applyFont="1" applyFill="1" applyAlignment="1">
      <alignment horizontal="left"/>
    </xf>
    <xf numFmtId="0" fontId="1" fillId="0" borderId="3" xfId="17" applyFont="1" applyFill="1" applyBorder="1"/>
    <xf numFmtId="0" fontId="1" fillId="0" borderId="2" xfId="17" applyFont="1" applyFill="1" applyBorder="1"/>
    <xf numFmtId="0" fontId="16" fillId="0" borderId="1" xfId="22" applyFont="1" applyFill="1" applyBorder="1" applyAlignment="1">
      <alignment wrapText="1" shrinkToFit="1"/>
    </xf>
    <xf numFmtId="3" fontId="1" fillId="0" borderId="4" xfId="17" applyNumberFormat="1" applyFont="1" applyFill="1" applyBorder="1" applyAlignment="1">
      <alignment horizontal="center"/>
    </xf>
    <xf numFmtId="164" fontId="1" fillId="0" borderId="1" xfId="1" applyNumberFormat="1" applyFont="1" applyFill="1" applyBorder="1" applyAlignment="1">
      <alignment horizontal="center"/>
    </xf>
    <xf numFmtId="0" fontId="15" fillId="0" borderId="0" xfId="22" applyFont="1" applyFill="1" applyAlignment="1">
      <alignment vertical="center"/>
    </xf>
    <xf numFmtId="0" fontId="34" fillId="0" borderId="0" xfId="0" applyFont="1" applyFill="1"/>
    <xf numFmtId="0" fontId="16" fillId="0" borderId="0" xfId="22" applyFont="1" applyFill="1"/>
    <xf numFmtId="0" fontId="1" fillId="0" borderId="3" xfId="17" applyFont="1" applyFill="1" applyBorder="1" applyAlignment="1">
      <alignment horizontal="center" vertical="center"/>
    </xf>
    <xf numFmtId="0" fontId="1" fillId="0" borderId="1" xfId="17" applyFont="1" applyFill="1" applyBorder="1" applyAlignment="1">
      <alignment horizontal="left" vertical="center" wrapText="1"/>
    </xf>
    <xf numFmtId="2" fontId="1" fillId="0" borderId="1" xfId="17" applyNumberFormat="1" applyFont="1" applyFill="1" applyBorder="1" applyAlignment="1">
      <alignment horizontal="center" vertical="center"/>
    </xf>
    <xf numFmtId="0" fontId="25" fillId="0" borderId="0" xfId="22" applyFont="1" applyFill="1" applyAlignment="1">
      <alignment vertical="center"/>
    </xf>
    <xf numFmtId="3" fontId="1" fillId="0" borderId="1" xfId="17" applyNumberFormat="1" applyFont="1" applyFill="1" applyBorder="1" applyAlignment="1">
      <alignment horizontal="center" vertical="center" wrapText="1"/>
    </xf>
    <xf numFmtId="0" fontId="1" fillId="0" borderId="1" xfId="17" applyFont="1" applyFill="1" applyBorder="1" applyAlignment="1">
      <alignment horizontal="right" vertical="center" wrapText="1"/>
    </xf>
    <xf numFmtId="0" fontId="11" fillId="0" borderId="2" xfId="17" applyFont="1" applyFill="1" applyBorder="1" applyAlignment="1">
      <alignment horizontal="center" vertical="center" wrapText="1"/>
    </xf>
    <xf numFmtId="0" fontId="1" fillId="0" borderId="2" xfId="17" applyFont="1" applyFill="1" applyBorder="1" applyAlignment="1">
      <alignment horizontal="center" vertical="center" wrapText="1"/>
    </xf>
    <xf numFmtId="0" fontId="1" fillId="0" borderId="6" xfId="17" applyFont="1" applyFill="1" applyBorder="1" applyAlignment="1">
      <alignment horizontal="left" wrapText="1"/>
    </xf>
    <xf numFmtId="4" fontId="1" fillId="0" borderId="1" xfId="17" applyNumberFormat="1" applyFont="1" applyFill="1" applyBorder="1" applyAlignment="1">
      <alignment horizontal="center"/>
    </xf>
    <xf numFmtId="3" fontId="1" fillId="0" borderId="8" xfId="17" applyNumberFormat="1" applyFont="1" applyFill="1" applyBorder="1" applyAlignment="1">
      <alignment horizontal="center"/>
    </xf>
    <xf numFmtId="0" fontId="1" fillId="0" borderId="1" xfId="17" applyFont="1" applyFill="1" applyBorder="1" applyAlignment="1">
      <alignment horizontal="left" wrapText="1"/>
    </xf>
    <xf numFmtId="0" fontId="1" fillId="0" borderId="1" xfId="17" applyFont="1" applyFill="1" applyBorder="1" applyAlignment="1">
      <alignment horizontal="right" wrapText="1"/>
    </xf>
    <xf numFmtId="2" fontId="1" fillId="0" borderId="1" xfId="17" applyNumberFormat="1" applyFont="1" applyFill="1" applyBorder="1" applyAlignment="1">
      <alignment horizontal="center"/>
    </xf>
    <xf numFmtId="3" fontId="1" fillId="0" borderId="0" xfId="22" applyNumberFormat="1" applyFont="1" applyFill="1"/>
    <xf numFmtId="0" fontId="1" fillId="0" borderId="0" xfId="22" applyFont="1" applyFill="1"/>
    <xf numFmtId="0" fontId="15" fillId="0" borderId="0" xfId="0" applyFont="1" applyFill="1" applyAlignment="1">
      <alignment horizontal="center" vertical="center"/>
    </xf>
    <xf numFmtId="0" fontId="15" fillId="0" borderId="0" xfId="0" applyFont="1" applyFill="1" applyAlignment="1"/>
    <xf numFmtId="0" fontId="16" fillId="0" borderId="0" xfId="0" applyFont="1" applyFill="1" applyAlignment="1">
      <alignment vertical="center" wrapText="1"/>
    </xf>
    <xf numFmtId="0" fontId="19" fillId="0" borderId="1" xfId="0" applyFont="1" applyFill="1" applyBorder="1" applyAlignment="1">
      <alignment horizontal="center" vertical="center" wrapText="1"/>
    </xf>
    <xf numFmtId="3" fontId="1" fillId="0" borderId="0" xfId="5" applyNumberFormat="1" applyFont="1" applyFill="1" applyAlignment="1">
      <alignment vertical="center"/>
    </xf>
    <xf numFmtId="0" fontId="16" fillId="0" borderId="1" xfId="0" applyFont="1" applyFill="1" applyBorder="1" applyAlignment="1">
      <alignment horizontal="left" vertical="center" wrapText="1"/>
    </xf>
    <xf numFmtId="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vertical="center"/>
    </xf>
    <xf numFmtId="3" fontId="16" fillId="0" borderId="1" xfId="0" applyNumberFormat="1" applyFont="1" applyFill="1" applyBorder="1" applyAlignment="1">
      <alignment horizontal="center" vertical="center"/>
    </xf>
    <xf numFmtId="0" fontId="16" fillId="0" borderId="0" xfId="0" applyFont="1" applyFill="1" applyBorder="1" applyAlignment="1">
      <alignment vertical="center" wrapText="1"/>
    </xf>
    <xf numFmtId="0" fontId="16" fillId="0" borderId="1" xfId="0" applyFont="1" applyFill="1" applyBorder="1" applyAlignment="1">
      <alignment horizontal="justify" vertical="center" wrapText="1"/>
    </xf>
    <xf numFmtId="3" fontId="19" fillId="0" borderId="1" xfId="0" applyNumberFormat="1" applyFont="1" applyFill="1" applyBorder="1" applyAlignment="1">
      <alignment horizontal="center" vertical="center" wrapText="1"/>
    </xf>
    <xf numFmtId="0" fontId="16" fillId="0" borderId="1" xfId="0" applyFont="1" applyFill="1" applyBorder="1" applyAlignment="1">
      <alignment horizontal="center"/>
    </xf>
    <xf numFmtId="0" fontId="16" fillId="0" borderId="1" xfId="0" applyFont="1" applyFill="1" applyBorder="1"/>
    <xf numFmtId="0" fontId="1" fillId="0" borderId="0" xfId="5" applyFont="1" applyFill="1" applyAlignment="1">
      <alignment vertical="center"/>
    </xf>
    <xf numFmtId="0" fontId="16" fillId="0" borderId="1" xfId="0" applyFont="1" applyFill="1" applyBorder="1" applyAlignment="1">
      <alignment wrapText="1"/>
    </xf>
    <xf numFmtId="0" fontId="19" fillId="0" borderId="1" xfId="0" applyFont="1" applyFill="1" applyBorder="1" applyAlignment="1">
      <alignment horizontal="center" vertical="center"/>
    </xf>
    <xf numFmtId="0" fontId="15" fillId="0" borderId="1" xfId="0" applyFont="1" applyFill="1" applyBorder="1" applyAlignment="1">
      <alignment horizontal="right"/>
    </xf>
    <xf numFmtId="3" fontId="15" fillId="0" borderId="1" xfId="0" applyNumberFormat="1" applyFont="1" applyFill="1" applyBorder="1" applyAlignment="1">
      <alignment horizontal="center" vertical="center"/>
    </xf>
    <xf numFmtId="0" fontId="3" fillId="0" borderId="0" xfId="0" applyFont="1" applyFill="1" applyAlignment="1">
      <alignment horizontal="left" vertical="center" wrapText="1"/>
    </xf>
    <xf numFmtId="0" fontId="1" fillId="0" borderId="1" xfId="0" applyFont="1" applyFill="1" applyBorder="1" applyAlignment="1">
      <alignment horizontal="left" vertical="center" wrapText="1"/>
    </xf>
    <xf numFmtId="3" fontId="16" fillId="0" borderId="1" xfId="0" applyNumberFormat="1" applyFont="1" applyFill="1" applyBorder="1"/>
    <xf numFmtId="0" fontId="1" fillId="0" borderId="1" xfId="17" applyFont="1" applyFill="1" applyBorder="1" applyAlignment="1">
      <alignment horizontal="center" wrapText="1"/>
    </xf>
    <xf numFmtId="0" fontId="1" fillId="0" borderId="1" xfId="25" applyFont="1" applyFill="1" applyBorder="1" applyAlignment="1">
      <alignment vertical="center" wrapText="1"/>
    </xf>
    <xf numFmtId="4" fontId="1"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1" fillId="0" borderId="1" xfId="0" applyFont="1" applyFill="1" applyBorder="1" applyAlignment="1">
      <alignment horizontal="right"/>
    </xf>
    <xf numFmtId="3" fontId="1" fillId="0" borderId="1" xfId="0" applyNumberFormat="1" applyFont="1" applyFill="1" applyBorder="1" applyAlignment="1">
      <alignment wrapText="1"/>
    </xf>
    <xf numFmtId="0" fontId="3" fillId="0" borderId="0" xfId="0" applyFont="1" applyFill="1" applyAlignment="1">
      <alignment horizontal="left" wrapText="1"/>
    </xf>
    <xf numFmtId="165" fontId="1" fillId="0" borderId="0" xfId="17" applyNumberFormat="1" applyFont="1" applyFill="1"/>
    <xf numFmtId="0" fontId="1" fillId="0" borderId="0" xfId="17" applyFont="1" applyFill="1" applyAlignment="1">
      <alignment horizontal="center" vertical="center" wrapText="1"/>
    </xf>
    <xf numFmtId="0" fontId="31" fillId="0" borderId="0" xfId="0" applyFont="1" applyFill="1"/>
    <xf numFmtId="3" fontId="1" fillId="0" borderId="1" xfId="17" applyNumberFormat="1" applyFont="1" applyFill="1" applyBorder="1" applyAlignment="1">
      <alignment vertical="center"/>
    </xf>
    <xf numFmtId="0" fontId="1" fillId="0" borderId="1" xfId="17" applyFont="1" applyFill="1" applyBorder="1" applyAlignment="1">
      <alignment horizontal="right"/>
    </xf>
    <xf numFmtId="3" fontId="1" fillId="0" borderId="1" xfId="17" applyNumberFormat="1" applyFont="1" applyFill="1" applyBorder="1" applyAlignment="1">
      <alignment horizontal="center" wrapText="1"/>
    </xf>
    <xf numFmtId="3" fontId="1" fillId="0" borderId="1" xfId="17" applyNumberFormat="1" applyFont="1" applyFill="1" applyBorder="1"/>
    <xf numFmtId="0" fontId="1" fillId="0" borderId="0" xfId="17" applyFont="1" applyFill="1" applyAlignment="1">
      <alignment wrapText="1"/>
    </xf>
    <xf numFmtId="0" fontId="15" fillId="0" borderId="0" xfId="0" applyFont="1" applyFill="1" applyAlignment="1">
      <alignment wrapText="1"/>
    </xf>
    <xf numFmtId="0" fontId="16" fillId="0" borderId="0" xfId="4" applyFont="1" applyFill="1"/>
    <xf numFmtId="0" fontId="16" fillId="0" borderId="0" xfId="4" applyFont="1" applyFill="1" applyAlignment="1">
      <alignment horizontal="right"/>
    </xf>
    <xf numFmtId="0" fontId="15" fillId="0" borderId="0" xfId="4" applyFont="1" applyFill="1" applyAlignment="1">
      <alignment horizontal="center" vertical="center"/>
    </xf>
    <xf numFmtId="0" fontId="1" fillId="0" borderId="21" xfId="5" applyFont="1" applyFill="1" applyBorder="1" applyAlignment="1">
      <alignment vertical="center"/>
    </xf>
    <xf numFmtId="0" fontId="1" fillId="0" borderId="21"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0" xfId="5" applyFont="1" applyFill="1"/>
    <xf numFmtId="0" fontId="1" fillId="0" borderId="23" xfId="5" applyFont="1" applyFill="1" applyBorder="1" applyAlignment="1">
      <alignment horizontal="left" vertical="center"/>
    </xf>
    <xf numFmtId="0" fontId="19" fillId="0" borderId="23" xfId="5" applyFont="1" applyFill="1" applyBorder="1" applyAlignment="1">
      <alignment horizontal="center" vertical="center"/>
    </xf>
    <xf numFmtId="0" fontId="1" fillId="0" borderId="23" xfId="5" applyFont="1" applyFill="1" applyBorder="1" applyAlignment="1">
      <alignment vertical="center"/>
    </xf>
    <xf numFmtId="0" fontId="1" fillId="0" borderId="24" xfId="5" applyFont="1" applyFill="1" applyBorder="1" applyAlignment="1">
      <alignment horizontal="center" vertical="center"/>
    </xf>
    <xf numFmtId="0" fontId="1" fillId="0" borderId="23" xfId="5" applyFont="1" applyFill="1" applyBorder="1" applyAlignment="1">
      <alignment vertical="center" wrapText="1"/>
    </xf>
    <xf numFmtId="0" fontId="1" fillId="0" borderId="23" xfId="5" applyFont="1" applyFill="1" applyBorder="1" applyAlignment="1">
      <alignment horizontal="center" vertical="center"/>
    </xf>
    <xf numFmtId="2" fontId="1" fillId="0" borderId="24" xfId="5" applyNumberFormat="1" applyFont="1" applyFill="1" applyBorder="1" applyAlignment="1">
      <alignment horizontal="center" vertical="center"/>
    </xf>
    <xf numFmtId="0" fontId="16" fillId="0" borderId="25" xfId="4" applyFont="1" applyFill="1" applyBorder="1" applyAlignment="1">
      <alignment horizontal="left" vertical="center" wrapText="1"/>
    </xf>
    <xf numFmtId="10" fontId="1" fillId="0" borderId="25" xfId="5" applyNumberFormat="1" applyFont="1" applyFill="1" applyBorder="1" applyAlignment="1">
      <alignment horizontal="center" vertical="center"/>
    </xf>
    <xf numFmtId="0" fontId="1" fillId="0" borderId="25" xfId="5" applyFont="1" applyFill="1" applyBorder="1" applyAlignment="1">
      <alignment vertical="center"/>
    </xf>
    <xf numFmtId="0" fontId="1" fillId="0" borderId="26" xfId="5" applyFont="1" applyFill="1" applyBorder="1" applyAlignment="1">
      <alignment horizontal="center" vertical="center"/>
    </xf>
    <xf numFmtId="0" fontId="26" fillId="0" borderId="0" xfId="5" applyFont="1" applyFill="1"/>
    <xf numFmtId="0" fontId="16" fillId="0" borderId="0" xfId="4" applyFont="1" applyFill="1" applyAlignment="1">
      <alignment horizontal="right" wrapText="1"/>
    </xf>
    <xf numFmtId="1" fontId="1" fillId="0" borderId="0" xfId="5" applyNumberFormat="1" applyFont="1" applyFill="1" applyAlignment="1">
      <alignment horizontal="center"/>
    </xf>
    <xf numFmtId="0" fontId="1" fillId="0" borderId="0" xfId="5" applyFont="1" applyFill="1" applyAlignment="1">
      <alignment horizontal="center"/>
    </xf>
    <xf numFmtId="9" fontId="1" fillId="0" borderId="27" xfId="5" applyNumberFormat="1" applyFont="1" applyFill="1" applyBorder="1" applyAlignment="1">
      <alignment horizontal="left" vertical="center" wrapText="1"/>
    </xf>
    <xf numFmtId="0" fontId="16" fillId="0" borderId="21" xfId="4" applyFont="1" applyFill="1" applyBorder="1" applyAlignment="1">
      <alignment horizontal="center" vertical="center"/>
    </xf>
    <xf numFmtId="0" fontId="16" fillId="0" borderId="28" xfId="4" applyFont="1" applyFill="1" applyBorder="1" applyAlignment="1">
      <alignment horizontal="left" vertical="center" wrapText="1"/>
    </xf>
    <xf numFmtId="1" fontId="16" fillId="0" borderId="23" xfId="4" applyNumberFormat="1" applyFont="1" applyFill="1" applyBorder="1" applyAlignment="1">
      <alignment horizontal="center" vertical="center"/>
    </xf>
    <xf numFmtId="0" fontId="1" fillId="0" borderId="28" xfId="5" applyFont="1" applyFill="1" applyBorder="1" applyAlignment="1">
      <alignment horizontal="left" vertical="center" wrapText="1"/>
    </xf>
    <xf numFmtId="2" fontId="16" fillId="0" borderId="23" xfId="4" applyNumberFormat="1" applyFont="1" applyFill="1" applyBorder="1" applyAlignment="1">
      <alignment horizontal="center" vertical="center"/>
    </xf>
    <xf numFmtId="9" fontId="1" fillId="0" borderId="29" xfId="5" applyNumberFormat="1" applyFont="1" applyFill="1" applyBorder="1" applyAlignment="1">
      <alignment horizontal="left" vertical="center" wrapText="1"/>
    </xf>
    <xf numFmtId="3" fontId="16" fillId="0" borderId="25" xfId="4" applyNumberFormat="1" applyFont="1" applyFill="1" applyBorder="1" applyAlignment="1">
      <alignment horizontal="center" vertical="center"/>
    </xf>
    <xf numFmtId="9" fontId="25" fillId="0" borderId="0" xfId="5" applyNumberFormat="1" applyFont="1" applyFill="1" applyAlignment="1">
      <alignment horizontal="right" vertical="center"/>
    </xf>
    <xf numFmtId="0" fontId="16" fillId="0" borderId="21" xfId="4" applyFont="1" applyFill="1" applyBorder="1" applyAlignment="1">
      <alignment horizontal="center" vertical="center" wrapText="1"/>
    </xf>
    <xf numFmtId="0" fontId="1" fillId="0" borderId="25" xfId="17" applyFont="1" applyFill="1" applyBorder="1" applyAlignment="1">
      <alignment horizontal="center" vertical="center" wrapText="1"/>
    </xf>
    <xf numFmtId="0" fontId="1" fillId="0" borderId="25" xfId="23" applyFont="1" applyFill="1" applyBorder="1" applyAlignment="1">
      <alignment vertical="center" wrapText="1"/>
    </xf>
    <xf numFmtId="2" fontId="1" fillId="0" borderId="25" xfId="5" applyNumberFormat="1" applyFont="1" applyFill="1" applyBorder="1" applyAlignment="1">
      <alignment horizontal="center" vertical="center" wrapText="1"/>
    </xf>
    <xf numFmtId="3" fontId="1" fillId="0" borderId="26" xfId="4" applyNumberFormat="1" applyFont="1" applyFill="1" applyBorder="1" applyAlignment="1">
      <alignment horizontal="center" vertical="center"/>
    </xf>
    <xf numFmtId="0" fontId="16" fillId="0" borderId="0" xfId="0" applyFont="1" applyFill="1" applyAlignment="1">
      <alignment horizontal="center" vertical="center"/>
    </xf>
    <xf numFmtId="3" fontId="17" fillId="0" borderId="1" xfId="0" applyNumberFormat="1" applyFont="1" applyFill="1" applyBorder="1" applyAlignment="1">
      <alignment horizontal="center"/>
    </xf>
    <xf numFmtId="3" fontId="16" fillId="0" borderId="1" xfId="0" applyNumberFormat="1" applyFont="1" applyFill="1" applyBorder="1" applyAlignment="1">
      <alignment horizontal="center"/>
    </xf>
    <xf numFmtId="0" fontId="16" fillId="0" borderId="1" xfId="0" applyFont="1" applyFill="1" applyBorder="1" applyAlignment="1">
      <alignment horizontal="right"/>
    </xf>
    <xf numFmtId="3" fontId="17" fillId="0" borderId="0" xfId="0" applyNumberFormat="1" applyFont="1" applyFill="1" applyAlignment="1">
      <alignment horizontal="center"/>
    </xf>
    <xf numFmtId="0" fontId="15" fillId="0" borderId="0" xfId="0" applyFont="1" applyFill="1"/>
    <xf numFmtId="0" fontId="16" fillId="0" borderId="0" xfId="0" applyFont="1" applyFill="1" applyAlignment="1">
      <alignment wrapText="1"/>
    </xf>
    <xf numFmtId="0" fontId="16" fillId="0" borderId="1" xfId="0" applyFont="1" applyFill="1" applyBorder="1" applyAlignment="1">
      <alignment vertical="center" wrapText="1"/>
    </xf>
    <xf numFmtId="3" fontId="16" fillId="0" borderId="1" xfId="0" applyNumberFormat="1" applyFont="1" applyFill="1" applyBorder="1" applyAlignment="1">
      <alignment vertical="center"/>
    </xf>
    <xf numFmtId="0" fontId="16" fillId="0" borderId="0" xfId="0" applyFont="1" applyFill="1" applyAlignment="1">
      <alignment vertical="center"/>
    </xf>
    <xf numFmtId="0" fontId="25" fillId="0" borderId="0" xfId="0" applyFont="1" applyFill="1" applyAlignment="1">
      <alignment vertical="center"/>
    </xf>
    <xf numFmtId="0" fontId="16" fillId="0" borderId="1" xfId="0" applyFont="1" applyFill="1" applyBorder="1" applyAlignment="1">
      <alignment horizontal="right" vertical="center"/>
    </xf>
    <xf numFmtId="3" fontId="16" fillId="0" borderId="0" xfId="0" applyNumberFormat="1" applyFont="1" applyFill="1" applyAlignment="1">
      <alignment vertical="center"/>
    </xf>
    <xf numFmtId="0" fontId="15" fillId="0" borderId="0" xfId="0" applyFont="1" applyFill="1" applyAlignment="1">
      <alignment horizontal="center" wrapText="1"/>
    </xf>
    <xf numFmtId="4" fontId="16" fillId="0" borderId="1" xfId="0" applyNumberFormat="1" applyFont="1" applyFill="1" applyBorder="1"/>
    <xf numFmtId="3" fontId="15" fillId="0" borderId="1" xfId="0" applyNumberFormat="1" applyFont="1" applyFill="1" applyBorder="1"/>
    <xf numFmtId="4" fontId="0" fillId="0" borderId="0" xfId="0" applyNumberFormat="1" applyFill="1"/>
    <xf numFmtId="0" fontId="1" fillId="0" borderId="0" xfId="17" applyFont="1" applyFill="1" applyAlignment="1">
      <alignment horizontal="center" vertical="center"/>
    </xf>
    <xf numFmtId="3" fontId="11" fillId="0" borderId="1" xfId="21" applyNumberFormat="1" applyFont="1" applyFill="1" applyBorder="1" applyAlignment="1">
      <alignment horizontal="center" vertical="center" wrapText="1"/>
    </xf>
    <xf numFmtId="0" fontId="13" fillId="0" borderId="1" xfId="22" applyFont="1" applyFill="1" applyBorder="1" applyAlignment="1">
      <alignment horizontal="center" vertical="center"/>
    </xf>
    <xf numFmtId="0" fontId="13" fillId="0" borderId="1" xfId="22" applyFont="1" applyFill="1" applyBorder="1" applyAlignment="1">
      <alignment vertical="center"/>
    </xf>
    <xf numFmtId="2" fontId="13" fillId="0" borderId="1" xfId="22" applyNumberFormat="1" applyFont="1" applyFill="1" applyBorder="1" applyAlignment="1">
      <alignment horizontal="center" vertical="center"/>
    </xf>
    <xf numFmtId="3" fontId="11" fillId="0" borderId="1" xfId="0" applyNumberFormat="1" applyFont="1" applyFill="1" applyBorder="1" applyAlignment="1">
      <alignment horizontal="center" vertical="center" wrapText="1"/>
    </xf>
    <xf numFmtId="0" fontId="10" fillId="0" borderId="1" xfId="17" applyFont="1" applyFill="1" applyBorder="1" applyAlignment="1">
      <alignment horizontal="right" vertical="center"/>
    </xf>
    <xf numFmtId="0" fontId="41" fillId="0" borderId="0" xfId="0" applyFont="1"/>
    <xf numFmtId="0" fontId="16" fillId="0" borderId="40" xfId="24" applyFont="1" applyFill="1" applyBorder="1" applyAlignment="1">
      <alignment horizontal="center" vertical="center" wrapText="1"/>
    </xf>
    <xf numFmtId="3" fontId="1" fillId="0" borderId="1" xfId="21" applyNumberFormat="1" applyFont="1" applyFill="1" applyBorder="1" applyAlignment="1">
      <alignment horizontal="center" vertical="center" wrapText="1"/>
    </xf>
    <xf numFmtId="0" fontId="16" fillId="0" borderId="1" xfId="22" applyFont="1" applyFill="1" applyBorder="1" applyAlignment="1">
      <alignment horizontal="center" vertical="center"/>
    </xf>
    <xf numFmtId="0" fontId="16" fillId="0" borderId="1" xfId="22" applyFont="1" applyFill="1" applyBorder="1" applyAlignment="1">
      <alignment vertical="center"/>
    </xf>
    <xf numFmtId="2" fontId="16" fillId="0" borderId="1" xfId="22" applyNumberFormat="1" applyFont="1" applyFill="1" applyBorder="1" applyAlignment="1">
      <alignment horizontal="center" vertical="center"/>
    </xf>
    <xf numFmtId="0" fontId="1" fillId="0" borderId="1" xfId="17" applyFont="1" applyBorder="1" applyAlignment="1">
      <alignment vertical="center"/>
    </xf>
    <xf numFmtId="0" fontId="3" fillId="0" borderId="1" xfId="17" applyFont="1" applyFill="1" applyBorder="1" applyAlignment="1">
      <alignment horizontal="right" vertical="center"/>
    </xf>
    <xf numFmtId="0" fontId="3" fillId="0" borderId="1" xfId="17" applyFont="1" applyBorder="1" applyAlignment="1">
      <alignment horizontal="center" vertical="center"/>
    </xf>
    <xf numFmtId="3" fontId="3" fillId="0" borderId="1" xfId="17" applyNumberFormat="1" applyFont="1" applyBorder="1" applyAlignment="1">
      <alignment horizontal="center" vertical="center"/>
    </xf>
    <xf numFmtId="4" fontId="1" fillId="0" borderId="0" xfId="17" applyNumberFormat="1" applyFont="1" applyBorder="1" applyAlignment="1">
      <alignment horizontal="left" vertical="center"/>
    </xf>
    <xf numFmtId="3" fontId="1" fillId="0" borderId="0" xfId="17" applyNumberFormat="1" applyFont="1" applyBorder="1" applyAlignment="1">
      <alignment horizontal="left" vertical="center"/>
    </xf>
    <xf numFmtId="4" fontId="3" fillId="0" borderId="1" xfId="17" applyNumberFormat="1" applyFont="1" applyFill="1" applyBorder="1" applyAlignment="1">
      <alignment horizontal="center" vertical="center"/>
    </xf>
    <xf numFmtId="4" fontId="3" fillId="0" borderId="1" xfId="21" applyNumberFormat="1" applyFont="1" applyFill="1" applyBorder="1" applyAlignment="1">
      <alignment horizontal="center" vertical="center" wrapText="1"/>
    </xf>
    <xf numFmtId="0" fontId="1" fillId="0" borderId="1" xfId="21" applyFont="1" applyFill="1" applyBorder="1" applyAlignment="1">
      <alignment horizontal="center" vertical="center" wrapText="1"/>
    </xf>
    <xf numFmtId="1" fontId="16" fillId="0" borderId="1" xfId="22" applyNumberFormat="1" applyFont="1" applyFill="1" applyBorder="1" applyAlignment="1">
      <alignment horizontal="center" vertical="center"/>
    </xf>
    <xf numFmtId="0" fontId="11" fillId="0" borderId="1" xfId="21" applyFont="1" applyFill="1" applyBorder="1" applyAlignment="1">
      <alignment horizontal="center" vertical="center" wrapText="1"/>
    </xf>
    <xf numFmtId="0" fontId="13" fillId="0" borderId="1" xfId="22" applyFont="1" applyFill="1" applyBorder="1" applyAlignment="1">
      <alignment horizontal="center"/>
    </xf>
    <xf numFmtId="0" fontId="13" fillId="0" borderId="1" xfId="22" applyFont="1" applyFill="1" applyBorder="1"/>
    <xf numFmtId="2" fontId="13" fillId="0" borderId="1" xfId="22" applyNumberFormat="1" applyFont="1" applyFill="1" applyBorder="1" applyAlignment="1">
      <alignment horizontal="center"/>
    </xf>
    <xf numFmtId="3" fontId="11" fillId="0" borderId="1" xfId="17" applyNumberFormat="1" applyFont="1" applyFill="1" applyBorder="1" applyAlignment="1">
      <alignment horizontal="center" vertical="center" wrapText="1"/>
    </xf>
    <xf numFmtId="4" fontId="10" fillId="0" borderId="1" xfId="21" applyNumberFormat="1" applyFont="1" applyFill="1" applyBorder="1" applyAlignment="1">
      <alignment horizontal="center" vertical="center" wrapText="1"/>
    </xf>
    <xf numFmtId="0" fontId="11" fillId="0" borderId="1" xfId="21" applyFont="1" applyFill="1" applyBorder="1" applyAlignment="1">
      <alignment horizontal="center" vertical="center"/>
    </xf>
    <xf numFmtId="0" fontId="11" fillId="0" borderId="1" xfId="21" applyFont="1" applyFill="1" applyBorder="1" applyAlignment="1">
      <alignment horizontal="left" vertical="center"/>
    </xf>
    <xf numFmtId="166" fontId="11" fillId="0" borderId="1" xfId="21" applyNumberFormat="1" applyFont="1" applyFill="1" applyBorder="1" applyAlignment="1">
      <alignment horizontal="center" vertical="center" wrapText="1"/>
    </xf>
    <xf numFmtId="0" fontId="11" fillId="0" borderId="1" xfId="21" applyFont="1" applyFill="1" applyBorder="1" applyAlignment="1">
      <alignment horizontal="left" vertical="center" wrapText="1"/>
    </xf>
    <xf numFmtId="2" fontId="11" fillId="0" borderId="1" xfId="21" applyNumberFormat="1" applyFont="1" applyFill="1" applyBorder="1" applyAlignment="1">
      <alignment horizontal="center" vertical="center" wrapText="1"/>
    </xf>
    <xf numFmtId="0" fontId="11" fillId="0" borderId="1" xfId="17" applyFont="1" applyFill="1" applyBorder="1"/>
    <xf numFmtId="0" fontId="10" fillId="0" borderId="1" xfId="17" applyFont="1" applyFill="1" applyBorder="1" applyAlignment="1">
      <alignment horizontal="right"/>
    </xf>
    <xf numFmtId="0" fontId="10" fillId="0" borderId="1" xfId="17" applyFont="1" applyFill="1" applyBorder="1" applyAlignment="1">
      <alignment horizontal="center"/>
    </xf>
    <xf numFmtId="3" fontId="10" fillId="0" borderId="1" xfId="17" applyNumberFormat="1" applyFont="1" applyFill="1" applyBorder="1" applyAlignment="1">
      <alignment horizontal="center"/>
    </xf>
    <xf numFmtId="4" fontId="10" fillId="0" borderId="1" xfId="17" applyNumberFormat="1" applyFont="1" applyFill="1" applyBorder="1" applyAlignment="1">
      <alignment horizontal="center"/>
    </xf>
    <xf numFmtId="3" fontId="10" fillId="0" borderId="1" xfId="17" applyNumberFormat="1" applyFont="1" applyFill="1" applyBorder="1" applyAlignment="1">
      <alignment horizontal="center" vertical="center"/>
    </xf>
    <xf numFmtId="4" fontId="13" fillId="0" borderId="1" xfId="4" applyNumberFormat="1" applyFont="1" applyFill="1" applyBorder="1" applyAlignment="1">
      <alignment horizontal="center" vertical="center"/>
    </xf>
    <xf numFmtId="3" fontId="13" fillId="0" borderId="1" xfId="4" applyNumberFormat="1" applyFont="1" applyFill="1" applyBorder="1" applyAlignment="1">
      <alignment horizontal="center" vertical="center"/>
    </xf>
    <xf numFmtId="168" fontId="11" fillId="0" borderId="1" xfId="21" applyNumberFormat="1" applyFont="1" applyFill="1" applyBorder="1" applyAlignment="1">
      <alignment horizontal="center" vertical="center" wrapText="1"/>
    </xf>
    <xf numFmtId="169" fontId="10" fillId="0" borderId="1" xfId="17" applyNumberFormat="1" applyFont="1" applyFill="1" applyBorder="1" applyAlignment="1">
      <alignment horizontal="center" vertical="center"/>
    </xf>
    <xf numFmtId="170" fontId="11" fillId="0" borderId="1" xfId="21" applyNumberFormat="1" applyFont="1" applyFill="1" applyBorder="1" applyAlignment="1">
      <alignment horizontal="center" vertical="center" wrapText="1"/>
    </xf>
    <xf numFmtId="0" fontId="11" fillId="0" borderId="1" xfId="17" applyFont="1" applyFill="1" applyBorder="1" applyAlignment="1">
      <alignment vertical="center"/>
    </xf>
    <xf numFmtId="0" fontId="10" fillId="0" borderId="1" xfId="17" applyFont="1" applyFill="1" applyBorder="1" applyAlignment="1">
      <alignment horizontal="center" vertical="center"/>
    </xf>
    <xf numFmtId="2" fontId="10" fillId="0" borderId="1" xfId="17" applyNumberFormat="1" applyFont="1" applyFill="1" applyBorder="1" applyAlignment="1">
      <alignment horizontal="center" vertical="center"/>
    </xf>
    <xf numFmtId="3" fontId="10" fillId="0" borderId="1" xfId="0" applyNumberFormat="1" applyFont="1" applyFill="1" applyBorder="1" applyAlignment="1">
      <alignment horizontal="center"/>
    </xf>
    <xf numFmtId="4" fontId="10" fillId="0" borderId="1" xfId="17" applyNumberFormat="1" applyFont="1" applyFill="1" applyBorder="1" applyAlignment="1">
      <alignment horizontal="center" vertical="center"/>
    </xf>
    <xf numFmtId="4" fontId="10" fillId="0" borderId="1" xfId="0" applyNumberFormat="1" applyFont="1" applyFill="1" applyBorder="1" applyAlignment="1">
      <alignment horizontal="center"/>
    </xf>
    <xf numFmtId="0" fontId="37" fillId="0" borderId="0" xfId="0" applyFont="1" applyFill="1"/>
    <xf numFmtId="0" fontId="1" fillId="0" borderId="0" xfId="0" applyFont="1" applyFill="1" applyAlignment="1">
      <alignment horizontal="center"/>
    </xf>
    <xf numFmtId="0" fontId="36" fillId="0" borderId="0" xfId="0" applyFont="1"/>
    <xf numFmtId="0" fontId="10" fillId="0" borderId="1" xfId="0" applyFont="1" applyFill="1" applyBorder="1" applyAlignment="1">
      <alignment horizontal="center" vertical="top" wrapText="1"/>
    </xf>
    <xf numFmtId="0" fontId="1" fillId="0" borderId="0" xfId="17" applyFont="1" applyAlignment="1">
      <alignment horizontal="left"/>
    </xf>
    <xf numFmtId="0" fontId="1" fillId="0" borderId="0" xfId="0" applyFont="1" applyAlignment="1">
      <alignment horizontal="left"/>
    </xf>
    <xf numFmtId="0" fontId="15" fillId="0" borderId="0" xfId="0" applyFont="1" applyAlignment="1">
      <alignment horizontal="center" vertical="center" wrapText="1"/>
    </xf>
    <xf numFmtId="0" fontId="1" fillId="0" borderId="5" xfId="0" applyFont="1" applyFill="1" applyBorder="1" applyAlignment="1">
      <alignment wrapText="1"/>
    </xf>
    <xf numFmtId="0" fontId="3" fillId="0" borderId="5" xfId="0" applyFont="1" applyFill="1" applyBorder="1" applyAlignment="1">
      <alignment wrapText="1"/>
    </xf>
    <xf numFmtId="164" fontId="10" fillId="0" borderId="3"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2" fillId="0" borderId="36" xfId="0" applyFont="1" applyFill="1" applyBorder="1" applyAlignment="1">
      <alignment horizontal="center" vertical="top" wrapText="1"/>
    </xf>
    <xf numFmtId="0" fontId="32" fillId="0" borderId="2" xfId="0" applyFont="1" applyFill="1" applyBorder="1" applyAlignment="1">
      <alignment horizontal="left" vertical="top" wrapText="1"/>
    </xf>
    <xf numFmtId="0" fontId="22" fillId="0" borderId="0" xfId="0" applyFont="1" applyFill="1" applyAlignment="1">
      <alignment wrapText="1"/>
    </xf>
    <xf numFmtId="164" fontId="32" fillId="0" borderId="15" xfId="1" applyNumberFormat="1" applyFont="1" applyFill="1" applyBorder="1" applyAlignment="1">
      <alignment horizontal="center" vertical="top" wrapText="1"/>
    </xf>
    <xf numFmtId="164" fontId="32" fillId="0" borderId="10" xfId="1" applyNumberFormat="1" applyFont="1" applyFill="1" applyBorder="1" applyAlignment="1">
      <alignment horizontal="center" vertical="top" wrapText="1"/>
    </xf>
    <xf numFmtId="0" fontId="32" fillId="0" borderId="16" xfId="0" applyFont="1" applyFill="1" applyBorder="1" applyAlignment="1">
      <alignment horizontal="center" vertical="top"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1" xfId="0" applyFont="1" applyFill="1" applyBorder="1" applyAlignment="1">
      <alignment horizontal="justify" vertical="top" wrapText="1"/>
    </xf>
    <xf numFmtId="164" fontId="33" fillId="0" borderId="1" xfId="1" applyNumberFormat="1" applyFont="1" applyFill="1" applyBorder="1" applyAlignment="1">
      <alignment horizontal="justify" vertical="top" wrapText="1"/>
    </xf>
    <xf numFmtId="164" fontId="33" fillId="0" borderId="17" xfId="1" applyNumberFormat="1" applyFont="1" applyFill="1" applyBorder="1" applyAlignment="1">
      <alignment horizontal="justify" vertical="top" wrapText="1"/>
    </xf>
    <xf numFmtId="0" fontId="32" fillId="0" borderId="11" xfId="0" applyFont="1" applyFill="1" applyBorder="1" applyAlignment="1">
      <alignment horizontal="center" vertical="top" wrapText="1"/>
    </xf>
    <xf numFmtId="0" fontId="33" fillId="0" borderId="18" xfId="0" applyFont="1" applyFill="1" applyBorder="1" applyAlignment="1">
      <alignment horizontal="center" vertical="center" wrapText="1"/>
    </xf>
    <xf numFmtId="0" fontId="33" fillId="0" borderId="18" xfId="0" applyFont="1" applyFill="1" applyBorder="1" applyAlignment="1">
      <alignment horizontal="left" vertical="top" wrapText="1"/>
    </xf>
    <xf numFmtId="0" fontId="32" fillId="0" borderId="18" xfId="0" applyFont="1" applyFill="1" applyBorder="1" applyAlignment="1">
      <alignment horizontal="justify" vertical="top" wrapText="1"/>
    </xf>
    <xf numFmtId="164" fontId="32" fillId="0" borderId="18" xfId="1" applyNumberFormat="1" applyFont="1" applyFill="1" applyBorder="1" applyAlignment="1">
      <alignment horizontal="justify" vertical="top" wrapText="1"/>
    </xf>
    <xf numFmtId="164" fontId="32" fillId="0" borderId="12" xfId="1" applyNumberFormat="1" applyFont="1" applyFill="1" applyBorder="1" applyAlignment="1">
      <alignment horizontal="justify" vertical="top" wrapText="1"/>
    </xf>
    <xf numFmtId="0" fontId="32" fillId="0" borderId="35" xfId="0" applyFont="1" applyFill="1" applyBorder="1" applyAlignment="1">
      <alignment horizontal="center" vertical="top" wrapText="1"/>
    </xf>
    <xf numFmtId="0" fontId="32" fillId="0" borderId="15" xfId="0" applyFont="1" applyFill="1" applyBorder="1" applyAlignment="1">
      <alignment horizontal="left" vertical="top" wrapText="1"/>
    </xf>
    <xf numFmtId="164" fontId="32" fillId="0" borderId="15" xfId="1" applyNumberFormat="1" applyFont="1" applyFill="1" applyBorder="1" applyAlignment="1">
      <alignment horizontal="justify" vertical="top" wrapText="1"/>
    </xf>
    <xf numFmtId="164" fontId="32" fillId="0" borderId="10" xfId="1" applyNumberFormat="1" applyFont="1" applyFill="1" applyBorder="1" applyAlignment="1">
      <alignment horizontal="justify" vertical="top" wrapText="1"/>
    </xf>
    <xf numFmtId="0" fontId="32" fillId="0" borderId="1" xfId="0" applyFont="1" applyFill="1" applyBorder="1" applyAlignment="1">
      <alignment horizontal="justify" vertical="top" wrapText="1"/>
    </xf>
    <xf numFmtId="164" fontId="10" fillId="0" borderId="5" xfId="1" applyNumberFormat="1" applyFont="1" applyFill="1" applyBorder="1" applyAlignment="1">
      <alignment horizontal="justify" vertical="top" wrapText="1"/>
    </xf>
    <xf numFmtId="164" fontId="32" fillId="0" borderId="1" xfId="1" applyNumberFormat="1" applyFont="1" applyFill="1" applyBorder="1" applyAlignment="1">
      <alignment horizontal="justify" vertical="top" wrapText="1"/>
    </xf>
    <xf numFmtId="164" fontId="32" fillId="0" borderId="17" xfId="1" applyNumberFormat="1" applyFont="1" applyFill="1" applyBorder="1" applyAlignment="1">
      <alignment horizontal="justify" vertical="top" wrapText="1"/>
    </xf>
    <xf numFmtId="164" fontId="11" fillId="0" borderId="5" xfId="1" applyNumberFormat="1" applyFont="1" applyFill="1" applyBorder="1" applyAlignment="1">
      <alignment horizontal="justify" vertical="top" wrapText="1"/>
    </xf>
    <xf numFmtId="0" fontId="33" fillId="0" borderId="38" xfId="0" applyFont="1" applyFill="1" applyBorder="1" applyAlignment="1">
      <alignment horizontal="left" vertical="top" wrapText="1"/>
    </xf>
    <xf numFmtId="0" fontId="32" fillId="0" borderId="15" xfId="0" applyFont="1" applyFill="1" applyBorder="1" applyAlignment="1">
      <alignment horizontal="justify" vertical="top" wrapText="1"/>
    </xf>
    <xf numFmtId="164" fontId="11" fillId="0" borderId="1" xfId="1" applyNumberFormat="1" applyFont="1" applyFill="1" applyBorder="1" applyAlignment="1">
      <alignment horizontal="justify" vertical="top" wrapText="1"/>
    </xf>
    <xf numFmtId="164" fontId="11" fillId="0" borderId="17" xfId="1" applyNumberFormat="1" applyFont="1" applyFill="1" applyBorder="1" applyAlignment="1">
      <alignment horizontal="justify" vertical="top" wrapText="1"/>
    </xf>
    <xf numFmtId="0" fontId="4" fillId="0" borderId="5" xfId="0" applyFont="1" applyFill="1" applyBorder="1" applyAlignment="1">
      <alignment wrapText="1"/>
    </xf>
    <xf numFmtId="164" fontId="11" fillId="0" borderId="34" xfId="1" applyNumberFormat="1" applyFont="1" applyFill="1" applyBorder="1" applyAlignment="1">
      <alignment horizontal="justify" vertical="top" wrapText="1"/>
    </xf>
    <xf numFmtId="164" fontId="11" fillId="0" borderId="18" xfId="1" applyNumberFormat="1" applyFont="1" applyFill="1" applyBorder="1" applyAlignment="1">
      <alignment horizontal="justify" vertical="top" wrapText="1"/>
    </xf>
    <xf numFmtId="164" fontId="11" fillId="0" borderId="12" xfId="1" applyNumberFormat="1" applyFont="1" applyFill="1" applyBorder="1" applyAlignment="1">
      <alignment horizontal="justify" vertical="top" wrapText="1"/>
    </xf>
    <xf numFmtId="0" fontId="32" fillId="0" borderId="15" xfId="0" applyFont="1" applyFill="1" applyBorder="1" applyAlignment="1">
      <alignment horizontal="center" wrapText="1"/>
    </xf>
    <xf numFmtId="0" fontId="11" fillId="0" borderId="15" xfId="0" applyFont="1" applyFill="1" applyBorder="1" applyAlignment="1">
      <alignment horizontal="left" vertical="top" wrapText="1"/>
    </xf>
    <xf numFmtId="0" fontId="11" fillId="0" borderId="15" xfId="0" applyFont="1" applyFill="1" applyBorder="1" applyAlignment="1">
      <alignment horizontal="justify"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1" fillId="0" borderId="1" xfId="0" applyFont="1" applyFill="1" applyBorder="1" applyAlignment="1">
      <alignment horizontal="justify" vertical="top"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5" fillId="0" borderId="18" xfId="0" applyFont="1" applyFill="1" applyBorder="1" applyAlignment="1">
      <alignment wrapText="1"/>
    </xf>
    <xf numFmtId="0" fontId="10" fillId="0" borderId="3" xfId="0" applyFont="1" applyFill="1" applyBorder="1" applyAlignment="1">
      <alignment horizontal="left" vertical="top" wrapText="1"/>
    </xf>
    <xf numFmtId="0" fontId="10" fillId="0" borderId="1" xfId="0" applyFont="1" applyFill="1" applyBorder="1" applyAlignment="1">
      <alignment horizontal="justify" vertical="top" wrapText="1"/>
    </xf>
    <xf numFmtId="0" fontId="5" fillId="0" borderId="0" xfId="0" applyFont="1" applyFill="1" applyAlignment="1">
      <alignment wrapText="1"/>
    </xf>
    <xf numFmtId="0" fontId="32" fillId="0" borderId="19" xfId="0" applyFont="1" applyFill="1" applyBorder="1" applyAlignment="1">
      <alignment horizontal="center" vertical="top" wrapText="1"/>
    </xf>
    <xf numFmtId="0" fontId="33" fillId="0" borderId="3" xfId="0" applyFont="1" applyFill="1" applyBorder="1" applyAlignment="1">
      <alignment horizontal="center" vertical="center" wrapText="1"/>
    </xf>
    <xf numFmtId="0" fontId="32" fillId="0" borderId="3" xfId="0" applyFont="1" applyFill="1" applyBorder="1" applyAlignment="1">
      <alignment horizontal="justify" vertical="top" wrapText="1"/>
    </xf>
    <xf numFmtId="164" fontId="32" fillId="0" borderId="3" xfId="1" applyNumberFormat="1" applyFont="1" applyFill="1" applyBorder="1" applyAlignment="1">
      <alignment horizontal="justify" vertical="top" wrapText="1"/>
    </xf>
    <xf numFmtId="164" fontId="32" fillId="0" borderId="30" xfId="1" applyNumberFormat="1" applyFont="1" applyFill="1" applyBorder="1" applyAlignment="1">
      <alignment horizontal="justify" vertical="top" wrapText="1"/>
    </xf>
    <xf numFmtId="0" fontId="32" fillId="0" borderId="2" xfId="0" applyFont="1" applyFill="1" applyBorder="1" applyAlignment="1">
      <alignment horizontal="justify" vertical="top" wrapText="1"/>
    </xf>
    <xf numFmtId="164" fontId="32" fillId="0" borderId="2" xfId="1" applyNumberFormat="1" applyFont="1" applyFill="1" applyBorder="1" applyAlignment="1">
      <alignment horizontal="justify" vertical="top" wrapText="1"/>
    </xf>
    <xf numFmtId="164" fontId="32" fillId="0" borderId="37" xfId="1" applyNumberFormat="1" applyFont="1" applyFill="1" applyBorder="1" applyAlignment="1">
      <alignment horizontal="justify" vertical="top" wrapText="1"/>
    </xf>
    <xf numFmtId="0" fontId="32" fillId="0" borderId="18" xfId="0" applyFont="1" applyFill="1" applyBorder="1" applyAlignment="1">
      <alignment horizontal="left" wrapText="1"/>
    </xf>
    <xf numFmtId="0" fontId="11" fillId="0" borderId="1"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8" xfId="0" applyFont="1" applyFill="1" applyBorder="1" applyAlignment="1">
      <alignment horizontal="justify" vertical="top" wrapText="1"/>
    </xf>
    <xf numFmtId="164" fontId="32" fillId="0" borderId="2" xfId="1" applyNumberFormat="1" applyFont="1" applyFill="1" applyBorder="1" applyAlignment="1">
      <alignment horizontal="center" vertical="top" wrapText="1"/>
    </xf>
    <xf numFmtId="164" fontId="32" fillId="0" borderId="37" xfId="1" applyNumberFormat="1" applyFont="1" applyFill="1" applyBorder="1" applyAlignment="1">
      <alignment horizontal="center" vertical="top" wrapText="1"/>
    </xf>
    <xf numFmtId="164" fontId="10" fillId="0" borderId="18" xfId="1" applyNumberFormat="1" applyFont="1" applyFill="1" applyBorder="1" applyAlignment="1">
      <alignment horizontal="center" vertical="top" wrapText="1"/>
    </xf>
    <xf numFmtId="0" fontId="13" fillId="0" borderId="0" xfId="0" applyFont="1" applyAlignment="1">
      <alignment horizontal="justify" vertical="center"/>
    </xf>
    <xf numFmtId="0" fontId="33" fillId="0" borderId="2" xfId="0" applyFont="1" applyFill="1" applyBorder="1" applyAlignment="1">
      <alignment horizontal="center" vertical="center" wrapText="1"/>
    </xf>
    <xf numFmtId="0" fontId="33" fillId="0" borderId="2" xfId="0" applyFont="1" applyFill="1" applyBorder="1" applyAlignment="1">
      <alignment horizontal="left" vertical="top" wrapText="1"/>
    </xf>
    <xf numFmtId="0" fontId="33" fillId="0" borderId="2" xfId="0" applyFont="1" applyFill="1" applyBorder="1" applyAlignment="1">
      <alignment horizontal="justify" vertical="top" wrapText="1"/>
    </xf>
    <xf numFmtId="164" fontId="33" fillId="0" borderId="2" xfId="1" applyNumberFormat="1" applyFont="1" applyFill="1" applyBorder="1" applyAlignment="1">
      <alignment horizontal="justify" vertical="top" wrapText="1"/>
    </xf>
    <xf numFmtId="164" fontId="33" fillId="0" borderId="37" xfId="1" applyNumberFormat="1" applyFont="1" applyFill="1" applyBorder="1" applyAlignment="1">
      <alignment horizontal="justify" vertical="top" wrapText="1"/>
    </xf>
    <xf numFmtId="0" fontId="32" fillId="0" borderId="2" xfId="0" applyFont="1" applyFill="1" applyBorder="1" applyAlignment="1">
      <alignment horizontal="center" wrapText="1"/>
    </xf>
    <xf numFmtId="0" fontId="23" fillId="0" borderId="5" xfId="0" applyFont="1" applyFill="1" applyBorder="1" applyAlignment="1">
      <alignment wrapText="1"/>
    </xf>
    <xf numFmtId="0" fontId="43" fillId="0" borderId="0" xfId="0" applyFont="1" applyAlignment="1">
      <alignment wrapText="1"/>
    </xf>
    <xf numFmtId="164" fontId="10" fillId="0" borderId="33" xfId="0" applyNumberFormat="1" applyFont="1" applyFill="1" applyBorder="1" applyAlignment="1">
      <alignment horizontal="center" wrapText="1"/>
    </xf>
    <xf numFmtId="0" fontId="16" fillId="0" borderId="0" xfId="0" applyFont="1" applyAlignment="1">
      <alignment wrapText="1"/>
    </xf>
    <xf numFmtId="0" fontId="38" fillId="0" borderId="1" xfId="0" applyFont="1" applyBorder="1" applyAlignment="1">
      <alignment horizontal="center" vertical="center" wrapText="1"/>
    </xf>
    <xf numFmtId="0" fontId="15"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164" fontId="3" fillId="0" borderId="1" xfId="1" applyNumberFormat="1" applyFont="1" applyFill="1" applyBorder="1" applyAlignment="1">
      <alignment horizontal="center" vertical="top" wrapText="1"/>
    </xf>
    <xf numFmtId="0" fontId="29" fillId="0" borderId="5" xfId="0" applyFont="1" applyFill="1" applyBorder="1" applyAlignment="1">
      <alignment wrapText="1"/>
    </xf>
    <xf numFmtId="0" fontId="46" fillId="0" borderId="0" xfId="0" applyFont="1" applyAlignment="1">
      <alignment wrapText="1"/>
    </xf>
    <xf numFmtId="164" fontId="23" fillId="0" borderId="1" xfId="1" applyNumberFormat="1" applyFont="1" applyFill="1" applyBorder="1" applyAlignment="1">
      <alignment horizontal="center" vertical="top" wrapText="1"/>
    </xf>
    <xf numFmtId="0" fontId="1" fillId="0" borderId="0" xfId="17" applyFont="1" applyFill="1" applyAlignment="1">
      <alignment horizontal="left"/>
    </xf>
    <xf numFmtId="0" fontId="19" fillId="0" borderId="0" xfId="0" applyFont="1" applyFill="1" applyAlignment="1">
      <alignment horizontal="left" wrapText="1"/>
    </xf>
    <xf numFmtId="0" fontId="16" fillId="0" borderId="0" xfId="0" applyFont="1" applyFill="1" applyAlignment="1">
      <alignment horizontal="left" vertical="center"/>
    </xf>
    <xf numFmtId="3" fontId="1" fillId="0" borderId="0" xfId="0" applyNumberFormat="1" applyFont="1" applyFill="1"/>
    <xf numFmtId="4" fontId="37"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14" fillId="0" borderId="0" xfId="0" applyFont="1" applyAlignment="1">
      <alignment vertical="center" wrapText="1"/>
    </xf>
    <xf numFmtId="164" fontId="10" fillId="0" borderId="1" xfId="1" applyNumberFormat="1" applyFont="1" applyFill="1" applyBorder="1" applyAlignment="1">
      <alignment horizontal="center" vertical="center" wrapText="1"/>
    </xf>
    <xf numFmtId="164" fontId="3" fillId="0" borderId="5" xfId="1" applyNumberFormat="1" applyFont="1" applyFill="1" applyBorder="1" applyAlignment="1">
      <alignment horizontal="center" vertical="center" wrapText="1"/>
    </xf>
    <xf numFmtId="164" fontId="10" fillId="0" borderId="18" xfId="0" applyNumberFormat="1" applyFont="1" applyBorder="1" applyAlignment="1">
      <alignment vertical="center" wrapText="1"/>
    </xf>
    <xf numFmtId="0" fontId="5" fillId="0" borderId="0" xfId="0" applyFont="1" applyAlignment="1">
      <alignment vertical="center" wrapText="1"/>
    </xf>
    <xf numFmtId="164" fontId="10" fillId="0" borderId="3" xfId="0" applyNumberFormat="1" applyFont="1" applyFill="1" applyBorder="1" applyAlignment="1">
      <alignment horizontal="left" vertical="center" wrapText="1"/>
    </xf>
    <xf numFmtId="164" fontId="10" fillId="0" borderId="3" xfId="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3" fontId="16"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1" fillId="0" borderId="0" xfId="4" applyFont="1" applyFill="1" applyAlignment="1">
      <alignment vertical="center"/>
    </xf>
    <xf numFmtId="0" fontId="1" fillId="0" borderId="1" xfId="4" applyFont="1" applyFill="1" applyBorder="1" applyAlignment="1">
      <alignment horizontal="center" vertical="center" wrapText="1"/>
    </xf>
    <xf numFmtId="0" fontId="1" fillId="0" borderId="1" xfId="4" applyFont="1" applyFill="1" applyBorder="1" applyAlignment="1">
      <alignment horizontal="center" vertical="center"/>
    </xf>
    <xf numFmtId="0" fontId="11" fillId="0" borderId="0" xfId="0" applyFont="1" applyFill="1" applyAlignment="1">
      <alignment horizontal="center"/>
    </xf>
    <xf numFmtId="3" fontId="1" fillId="0" borderId="1" xfId="4" applyNumberFormat="1" applyFont="1" applyFill="1" applyBorder="1" applyAlignment="1">
      <alignment horizontal="center" vertical="center"/>
    </xf>
    <xf numFmtId="3" fontId="1" fillId="0" borderId="0" xfId="4" applyNumberFormat="1" applyFont="1" applyFill="1" applyBorder="1" applyAlignment="1">
      <alignment horizontal="left" vertical="center"/>
    </xf>
    <xf numFmtId="3" fontId="1" fillId="0" borderId="0" xfId="4" applyNumberFormat="1" applyFont="1" applyFill="1" applyBorder="1" applyAlignment="1">
      <alignment horizontal="center" vertical="center"/>
    </xf>
    <xf numFmtId="0" fontId="11" fillId="0" borderId="0" xfId="0" applyFont="1" applyFill="1"/>
    <xf numFmtId="4" fontId="37" fillId="0" borderId="1" xfId="0" applyNumberFormat="1" applyFont="1" applyFill="1" applyBorder="1"/>
    <xf numFmtId="0" fontId="37" fillId="0" borderId="1" xfId="0" applyFont="1" applyFill="1" applyBorder="1"/>
    <xf numFmtId="164" fontId="11" fillId="0" borderId="2" xfId="1" applyNumberFormat="1" applyFont="1" applyFill="1" applyBorder="1" applyAlignment="1">
      <alignment horizontal="center" vertical="top" wrapText="1"/>
    </xf>
    <xf numFmtId="164" fontId="11" fillId="0" borderId="37" xfId="1" applyNumberFormat="1" applyFont="1" applyFill="1" applyBorder="1" applyAlignment="1">
      <alignment horizontal="center" vertical="top" wrapText="1"/>
    </xf>
    <xf numFmtId="164" fontId="11" fillId="0" borderId="15" xfId="1" applyNumberFormat="1" applyFont="1" applyFill="1" applyBorder="1" applyAlignment="1">
      <alignment horizontal="justify" vertical="top" wrapText="1"/>
    </xf>
    <xf numFmtId="164" fontId="11" fillId="0" borderId="10" xfId="1" applyNumberFormat="1" applyFont="1" applyFill="1" applyBorder="1" applyAlignment="1">
      <alignment horizontal="justify" vertical="top" wrapText="1"/>
    </xf>
    <xf numFmtId="0" fontId="3" fillId="0" borderId="0" xfId="0" applyFont="1" applyFill="1" applyAlignment="1">
      <alignment horizontal="center" wrapText="1"/>
    </xf>
    <xf numFmtId="0" fontId="10"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23" fillId="0" borderId="2" xfId="0" applyFont="1" applyFill="1" applyBorder="1" applyAlignment="1">
      <alignment horizontal="center" wrapText="1"/>
    </xf>
    <xf numFmtId="0" fontId="10" fillId="0" borderId="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4" xfId="0" applyFont="1" applyFill="1" applyBorder="1" applyAlignment="1">
      <alignment horizontal="left" wrapText="1"/>
    </xf>
    <xf numFmtId="0" fontId="1" fillId="0" borderId="8" xfId="0" applyFont="1" applyFill="1" applyBorder="1" applyAlignment="1">
      <alignment horizontal="left" wrapText="1"/>
    </xf>
    <xf numFmtId="0" fontId="1" fillId="0" borderId="5" xfId="0" applyFont="1" applyFill="1" applyBorder="1" applyAlignment="1">
      <alignment horizontal="left" wrapText="1"/>
    </xf>
    <xf numFmtId="0" fontId="1" fillId="0" borderId="39" xfId="0" applyFont="1" applyFill="1" applyBorder="1" applyAlignment="1">
      <alignment horizontal="left"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5" xfId="0" applyFont="1" applyFill="1" applyBorder="1" applyAlignment="1">
      <alignment horizontal="left" wrapText="1"/>
    </xf>
    <xf numFmtId="0" fontId="23" fillId="0" borderId="1" xfId="0" applyFont="1" applyFill="1" applyBorder="1" applyAlignment="1">
      <alignment horizontal="left" vertical="center" wrapText="1"/>
    </xf>
    <xf numFmtId="0" fontId="1" fillId="0" borderId="0" xfId="0" applyFont="1" applyFill="1" applyAlignment="1">
      <alignment horizontal="left"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3" xfId="1" applyNumberFormat="1" applyFont="1" applyFill="1" applyBorder="1" applyAlignment="1">
      <alignment horizontal="left" vertical="top" wrapText="1"/>
    </xf>
    <xf numFmtId="0" fontId="1" fillId="0" borderId="0" xfId="0" applyFont="1" applyFill="1" applyAlignment="1">
      <alignment horizontal="left"/>
    </xf>
    <xf numFmtId="0" fontId="1" fillId="0" borderId="0" xfId="17" applyFont="1" applyFill="1" applyAlignment="1">
      <alignment horizontal="left" wrapText="1"/>
    </xf>
    <xf numFmtId="0" fontId="15" fillId="0" borderId="0" xfId="0" applyFont="1" applyFill="1" applyAlignment="1">
      <alignment horizontal="center" vertical="center" wrapText="1"/>
    </xf>
    <xf numFmtId="0" fontId="1" fillId="0" borderId="0" xfId="17" applyFont="1" applyFill="1" applyAlignment="1">
      <alignment horizontal="left"/>
    </xf>
    <xf numFmtId="0" fontId="1" fillId="0" borderId="1" xfId="0" applyFont="1" applyFill="1" applyBorder="1" applyAlignment="1">
      <alignment horizontal="left" wrapText="1"/>
    </xf>
    <xf numFmtId="0" fontId="3" fillId="0" borderId="0" xfId="17" applyFont="1" applyAlignment="1">
      <alignment horizontal="center" wrapText="1"/>
    </xf>
    <xf numFmtId="0" fontId="1" fillId="0" borderId="0" xfId="17" applyFont="1" applyAlignment="1">
      <alignment horizontal="left" wrapText="1"/>
    </xf>
    <xf numFmtId="0" fontId="1" fillId="0" borderId="0" xfId="17" applyFont="1" applyAlignment="1">
      <alignment horizontal="left"/>
    </xf>
    <xf numFmtId="0" fontId="1" fillId="0" borderId="0" xfId="0" applyFont="1" applyAlignment="1">
      <alignment horizontal="left"/>
    </xf>
    <xf numFmtId="0" fontId="3"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wrapText="1"/>
    </xf>
    <xf numFmtId="0" fontId="1" fillId="0" borderId="0" xfId="22" applyFont="1" applyFill="1" applyAlignment="1">
      <alignment horizontal="left" vertical="center" wrapText="1"/>
    </xf>
    <xf numFmtId="0" fontId="3" fillId="0" borderId="0" xfId="17" applyFont="1" applyFill="1" applyAlignment="1">
      <alignment horizontal="center" vertical="center" wrapText="1"/>
    </xf>
    <xf numFmtId="0" fontId="1" fillId="0" borderId="1" xfId="17" applyFont="1" applyFill="1" applyBorder="1" applyAlignment="1">
      <alignment horizontal="center" vertical="center"/>
    </xf>
    <xf numFmtId="0" fontId="1" fillId="0" borderId="4" xfId="17" applyFont="1" applyFill="1" applyBorder="1" applyAlignment="1">
      <alignment horizontal="center" vertical="center" wrapText="1"/>
    </xf>
    <xf numFmtId="0" fontId="1" fillId="0" borderId="1" xfId="17" applyFont="1" applyFill="1" applyBorder="1" applyAlignment="1">
      <alignment horizontal="center" vertical="center" wrapText="1"/>
    </xf>
    <xf numFmtId="0" fontId="1" fillId="0" borderId="6" xfId="17" applyFont="1" applyFill="1" applyBorder="1" applyAlignment="1">
      <alignment horizontal="center" vertical="center" wrapText="1" shrinkToFit="1"/>
    </xf>
    <xf numFmtId="0" fontId="1" fillId="0" borderId="14" xfId="17" applyFont="1" applyFill="1" applyBorder="1" applyAlignment="1">
      <alignment horizontal="center" vertical="center" wrapText="1" shrinkToFit="1"/>
    </xf>
    <xf numFmtId="0" fontId="1" fillId="0" borderId="7" xfId="17" applyFont="1" applyFill="1" applyBorder="1" applyAlignment="1">
      <alignment horizontal="center" vertical="center" wrapText="1" shrinkToFit="1"/>
    </xf>
    <xf numFmtId="0" fontId="1" fillId="0" borderId="20" xfId="17" applyFont="1" applyFill="1" applyBorder="1" applyAlignment="1">
      <alignment horizontal="center" vertical="center" wrapText="1" shrinkToFit="1"/>
    </xf>
    <xf numFmtId="3" fontId="1" fillId="0" borderId="1" xfId="17" applyNumberFormat="1" applyFont="1" applyFill="1" applyBorder="1" applyAlignment="1">
      <alignment horizontal="center"/>
    </xf>
    <xf numFmtId="0" fontId="16" fillId="0" borderId="0" xfId="22" applyFont="1" applyFill="1" applyAlignment="1">
      <alignment horizontal="left" vertical="center" wrapText="1"/>
    </xf>
    <xf numFmtId="0" fontId="19" fillId="0" borderId="0" xfId="0" applyFont="1" applyFill="1" applyAlignment="1">
      <alignment horizontal="left" wrapText="1"/>
    </xf>
    <xf numFmtId="0" fontId="11" fillId="0" borderId="1" xfId="21" applyFont="1" applyFill="1" applyBorder="1" applyAlignment="1">
      <alignment horizontal="center" vertical="center"/>
    </xf>
    <xf numFmtId="2" fontId="11" fillId="0" borderId="1" xfId="21" applyNumberFormat="1" applyFont="1" applyFill="1" applyBorder="1" applyAlignment="1">
      <alignment horizontal="center" vertical="center" wrapText="1"/>
    </xf>
    <xf numFmtId="0" fontId="11" fillId="0" borderId="1" xfId="21" applyFont="1" applyFill="1" applyBorder="1" applyAlignment="1">
      <alignment horizontal="center" vertical="center" wrapText="1"/>
    </xf>
    <xf numFmtId="0" fontId="10" fillId="0" borderId="1" xfId="2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38" fillId="0" borderId="0" xfId="4" applyFont="1" applyFill="1" applyBorder="1" applyAlignment="1">
      <alignment horizontal="left" vertical="center"/>
    </xf>
    <xf numFmtId="0" fontId="11" fillId="0" borderId="1" xfId="17" applyFont="1" applyFill="1" applyBorder="1" applyAlignment="1">
      <alignment horizontal="right" vertical="center"/>
    </xf>
    <xf numFmtId="0" fontId="1" fillId="0" borderId="1" xfId="21" applyFont="1" applyFill="1" applyBorder="1" applyAlignment="1">
      <alignment horizontal="center" vertical="center" wrapText="1"/>
    </xf>
    <xf numFmtId="0" fontId="1" fillId="0" borderId="1" xfId="21" applyFont="1" applyFill="1" applyBorder="1" applyAlignment="1">
      <alignment horizontal="center" vertical="center"/>
    </xf>
    <xf numFmtId="2" fontId="1" fillId="0" borderId="1" xfId="21"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0" xfId="24" applyFont="1" applyAlignment="1">
      <alignment horizontal="left" vertical="center" wrapText="1"/>
    </xf>
    <xf numFmtId="0" fontId="16" fillId="0" borderId="0" xfId="24" applyFont="1" applyAlignment="1">
      <alignment horizontal="left" vertical="center"/>
    </xf>
    <xf numFmtId="3" fontId="15" fillId="0" borderId="1" xfId="0" applyNumberFormat="1" applyFont="1" applyBorder="1" applyAlignment="1">
      <alignment horizontal="center" wrapText="1"/>
    </xf>
    <xf numFmtId="0" fontId="16" fillId="0" borderId="0" xfId="0" applyFont="1" applyAlignment="1">
      <alignment horizontal="left"/>
    </xf>
    <xf numFmtId="0" fontId="15" fillId="0" borderId="0" xfId="0" applyFont="1" applyAlignment="1">
      <alignment horizontal="left" wrapText="1"/>
    </xf>
    <xf numFmtId="0" fontId="16" fillId="0" borderId="0" xfId="0" applyFont="1" applyFill="1" applyAlignment="1">
      <alignment horizontal="left"/>
    </xf>
    <xf numFmtId="0" fontId="16" fillId="0" borderId="9" xfId="0" applyFont="1" applyFill="1" applyBorder="1" applyAlignment="1">
      <alignment horizontal="left" vertical="center" wrapText="1"/>
    </xf>
    <xf numFmtId="0" fontId="16" fillId="0" borderId="0" xfId="0" applyFont="1" applyFill="1" applyAlignment="1">
      <alignment horizontal="left" vertical="center" wrapText="1"/>
    </xf>
    <xf numFmtId="0" fontId="15" fillId="0" borderId="0" xfId="0" applyFont="1" applyFill="1" applyAlignment="1">
      <alignment horizontal="center" wrapText="1"/>
    </xf>
    <xf numFmtId="0" fontId="16" fillId="0" borderId="0" xfId="0" applyFont="1" applyAlignment="1">
      <alignment horizontal="left" wrapText="1"/>
    </xf>
    <xf numFmtId="0" fontId="3" fillId="0" borderId="0" xfId="0" applyFont="1" applyFill="1" applyAlignment="1">
      <alignment horizontal="left" wrapText="1"/>
    </xf>
    <xf numFmtId="0" fontId="1" fillId="0" borderId="0" xfId="0" applyFont="1" applyFill="1" applyAlignment="1">
      <alignment horizont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center"/>
    </xf>
    <xf numFmtId="0" fontId="1" fillId="0" borderId="4" xfId="0" applyFont="1" applyFill="1" applyBorder="1" applyAlignment="1">
      <alignment horizontal="right" vertical="center" wrapText="1"/>
    </xf>
    <xf numFmtId="0" fontId="1" fillId="0" borderId="8"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1" xfId="17" applyFont="1" applyFill="1" applyBorder="1" applyAlignment="1">
      <alignment horizontal="center" wrapText="1"/>
    </xf>
    <xf numFmtId="0" fontId="1" fillId="0" borderId="1" xfId="0" applyFont="1" applyFill="1" applyBorder="1" applyAlignment="1">
      <alignment horizontal="center" wrapText="1"/>
    </xf>
    <xf numFmtId="0" fontId="1" fillId="0" borderId="1" xfId="17" applyFont="1" applyFill="1" applyBorder="1" applyAlignment="1">
      <alignment horizontal="center"/>
    </xf>
    <xf numFmtId="0" fontId="3" fillId="0" borderId="9" xfId="0" applyFont="1" applyFill="1" applyBorder="1" applyAlignment="1">
      <alignment horizontal="left" vertical="center" wrapText="1"/>
    </xf>
    <xf numFmtId="0" fontId="16" fillId="0" borderId="0" xfId="4" applyFont="1" applyFill="1" applyAlignment="1">
      <alignment horizontal="left" wrapText="1"/>
    </xf>
    <xf numFmtId="0" fontId="15" fillId="0" borderId="0" xfId="4" applyFont="1" applyFill="1" applyAlignment="1">
      <alignment horizontal="center" vertical="center"/>
    </xf>
    <xf numFmtId="0" fontId="13" fillId="0" borderId="1" xfId="0" applyFont="1" applyBorder="1" applyAlignment="1">
      <alignment horizontal="right" vertical="center" wrapText="1"/>
    </xf>
    <xf numFmtId="0" fontId="15" fillId="0" borderId="1" xfId="0" applyFont="1" applyBorder="1" applyAlignment="1">
      <alignment horizontal="right" vertical="center" wrapText="1"/>
    </xf>
    <xf numFmtId="0" fontId="38" fillId="0" borderId="0" xfId="0" applyFont="1" applyBorder="1" applyAlignment="1">
      <alignment horizontal="center"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top" wrapText="1"/>
    </xf>
    <xf numFmtId="0" fontId="19" fillId="0" borderId="0" xfId="0" applyFont="1" applyAlignment="1">
      <alignment horizontal="left" wrapText="1"/>
    </xf>
    <xf numFmtId="0" fontId="16" fillId="0" borderId="3"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Fill="1" applyBorder="1" applyAlignment="1">
      <alignment horizontal="center" vertical="top"/>
    </xf>
    <xf numFmtId="0" fontId="16" fillId="0" borderId="3" xfId="0" applyFont="1" applyFill="1" applyBorder="1" applyAlignment="1">
      <alignment horizontal="center" vertical="top"/>
    </xf>
    <xf numFmtId="0" fontId="16" fillId="0" borderId="33" xfId="0" applyFont="1" applyFill="1" applyBorder="1" applyAlignment="1">
      <alignment horizontal="center" vertical="top"/>
    </xf>
    <xf numFmtId="0" fontId="16" fillId="0" borderId="2" xfId="0" applyFont="1" applyFill="1" applyBorder="1" applyAlignment="1">
      <alignment horizontal="center" vertical="top"/>
    </xf>
    <xf numFmtId="0" fontId="1" fillId="0" borderId="4" xfId="0" applyFont="1" applyBorder="1" applyAlignment="1">
      <alignment horizontal="right"/>
    </xf>
    <xf numFmtId="0" fontId="1" fillId="0" borderId="8" xfId="0" applyFont="1" applyBorder="1" applyAlignment="1">
      <alignment horizontal="right"/>
    </xf>
    <xf numFmtId="0" fontId="1" fillId="0" borderId="5" xfId="0" applyFont="1" applyBorder="1" applyAlignment="1">
      <alignment horizontal="right"/>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3" fontId="1" fillId="2" borderId="1"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3" fillId="0" borderId="0" xfId="0" applyFont="1" applyAlignment="1">
      <alignment horizontal="center" wrapText="1"/>
    </xf>
    <xf numFmtId="0" fontId="1" fillId="0" borderId="0" xfId="0" applyFont="1" applyAlignment="1">
      <alignment horizontal="left" wrapText="1"/>
    </xf>
    <xf numFmtId="0" fontId="1" fillId="2" borderId="1" xfId="0" applyFont="1" applyFill="1" applyBorder="1" applyAlignment="1">
      <alignment vertical="center" wrapText="1"/>
    </xf>
    <xf numFmtId="0" fontId="15" fillId="0" borderId="0" xfId="0" applyFont="1" applyAlignment="1">
      <alignment horizontal="center" wrapText="1"/>
    </xf>
    <xf numFmtId="49" fontId="1" fillId="0" borderId="0" xfId="1" applyNumberFormat="1" applyFont="1" applyFill="1" applyAlignment="1">
      <alignment horizontal="left" vertical="top" wrapText="1"/>
    </xf>
    <xf numFmtId="0" fontId="16" fillId="0" borderId="0" xfId="0" applyFont="1" applyFill="1" applyAlignment="1">
      <alignment horizontal="left" wrapText="1"/>
    </xf>
    <xf numFmtId="49" fontId="1" fillId="0" borderId="0" xfId="1" applyNumberFormat="1" applyFont="1" applyAlignment="1">
      <alignment horizontal="justify" vertical="top" wrapText="1"/>
    </xf>
    <xf numFmtId="49" fontId="16" fillId="0" borderId="0" xfId="0" applyNumberFormat="1" applyFont="1" applyAlignment="1">
      <alignment horizontal="justify" vertical="top" wrapText="1"/>
    </xf>
    <xf numFmtId="0" fontId="15" fillId="0" borderId="0" xfId="0" applyFont="1" applyAlignment="1">
      <alignment horizontal="center"/>
    </xf>
    <xf numFmtId="0" fontId="29" fillId="0" borderId="1" xfId="17" applyFont="1" applyFill="1" applyBorder="1" applyAlignment="1">
      <alignment horizontal="center" vertical="center" textRotation="90" wrapText="1"/>
    </xf>
  </cellXfs>
  <cellStyles count="26">
    <cellStyle name="Comma" xfId="1" builtinId="3"/>
    <cellStyle name="Comma 2" xfId="12" xr:uid="{00000000-0005-0000-0000-000001000000}"/>
    <cellStyle name="Comma 2 2" xfId="13" xr:uid="{00000000-0005-0000-0000-000002000000}"/>
    <cellStyle name="Normal" xfId="0" builtinId="0"/>
    <cellStyle name="Normal 10 2" xfId="5" xr:uid="{00000000-0005-0000-0000-000005000000}"/>
    <cellStyle name="Normal 10 2 2" xfId="17" xr:uid="{8B48E456-2F32-4310-91F9-B5344A7A3B97}"/>
    <cellStyle name="Normal 12" xfId="25" xr:uid="{B7EE5544-A158-49AC-8CCF-06E174A8A0D4}"/>
    <cellStyle name="Normal 18 3 2" xfId="23" xr:uid="{2315B90C-389D-449F-BF71-000E77C0FD3D}"/>
    <cellStyle name="Normal 2" xfId="2" xr:uid="{00000000-0005-0000-0000-000006000000}"/>
    <cellStyle name="Normal 2 2" xfId="6" xr:uid="{00000000-0005-0000-0000-000007000000}"/>
    <cellStyle name="Normal 2 2 2 2" xfId="21" xr:uid="{575B19E3-850B-492A-AA32-B9A99B7EAE74}"/>
    <cellStyle name="Normal 2 3" xfId="8" xr:uid="{00000000-0005-0000-0000-000008000000}"/>
    <cellStyle name="Normal 3" xfId="3" xr:uid="{00000000-0005-0000-0000-000009000000}"/>
    <cellStyle name="Normal 3 2" xfId="9" xr:uid="{00000000-0005-0000-0000-00000A000000}"/>
    <cellStyle name="Normal 3 2 2" xfId="18" xr:uid="{27604B00-8A0E-4C6A-B7A0-27A1E8CEBAC6}"/>
    <cellStyle name="Normal 3 3" xfId="11" xr:uid="{00000000-0005-0000-0000-00000B000000}"/>
    <cellStyle name="Normal 39" xfId="4" xr:uid="{00000000-0005-0000-0000-00000C000000}"/>
    <cellStyle name="Normal 39 5 2 2" xfId="22" xr:uid="{3D484BDE-1571-4353-A07C-472D833B2B77}"/>
    <cellStyle name="Normal 39 7" xfId="24" xr:uid="{2D5F5204-D2DC-4E3F-8772-3C80303B3570}"/>
    <cellStyle name="Normal 39 9" xfId="20" xr:uid="{3E2019FE-2882-4233-9349-E4A83FC9CDF2}"/>
    <cellStyle name="Normal 4" xfId="10" xr:uid="{00000000-0005-0000-0000-00000D000000}"/>
    <cellStyle name="Normal 60 3" xfId="19" xr:uid="{E1FB6D01-0830-45AE-A735-06DA41E2CECC}"/>
    <cellStyle name="Normal 66 2 2" xfId="16" xr:uid="{E7F52D82-A356-4055-B6CE-3819529DE4A1}"/>
    <cellStyle name="Normal 76" xfId="14" xr:uid="{00000000-0005-0000-0000-00000E000000}"/>
    <cellStyle name="Percent" xfId="15" builtinId="5"/>
    <cellStyle name="Percent 2" xfId="7"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SilvijaJ\Local%20Settings\Temporary%20Internet%20Files\Content.IE5\F51GHD5U\KristineS\My%20Documents\Bud&#382;ets%202012\Budzeta%20forma%2014_05%2001%20201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mbulatoro_pakalpojumu_nodala\Planosana_2012\SAVA\!_Grozijumi%202012.gada%20laikaa\Egija_Grozijumi%20ar%2001.10.2012_NEPIENEMTIE\Apaksas%20SAVA%20rikojum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bulatoro_pakalpojumu_nodala\Planosana_2012\SAVA\!_Grozijumi%202012.gada%20laikaa\Egija_Grozijumi%20ar%2001.10.2012_NEPIENEMTIE\Apaksas%20SAVA%20rikojuma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Users\liga.citskovska\Documents\2016\Aknu_transp_04.2016\Aknu_transp_kop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4"/>
  <sheetViews>
    <sheetView tabSelected="1" zoomScale="80" zoomScaleNormal="80" zoomScalePageLayoutView="75" workbookViewId="0">
      <pane ySplit="4" topLeftCell="A5" activePane="bottomLeft" state="frozen"/>
      <selection pane="bottomLeft" activeCell="G15" sqref="G15"/>
    </sheetView>
  </sheetViews>
  <sheetFormatPr defaultColWidth="8.85546875" defaultRowHeight="15.75" x14ac:dyDescent="0.25"/>
  <cols>
    <col min="1" max="1" width="15.85546875" style="1" customWidth="1"/>
    <col min="2" max="2" width="22.42578125" style="1" customWidth="1"/>
    <col min="3" max="3" width="23.7109375" style="1" customWidth="1"/>
    <col min="4" max="4" width="23.5703125" style="1" customWidth="1"/>
    <col min="5" max="5" width="22.5703125" style="1" customWidth="1"/>
    <col min="6" max="6" width="14.7109375" style="1" customWidth="1"/>
    <col min="7" max="7" width="13.42578125" style="1" customWidth="1"/>
    <col min="8" max="8" width="12.85546875" style="1" customWidth="1"/>
    <col min="9" max="9" width="12.42578125" style="1" customWidth="1"/>
    <col min="10" max="10" width="13.42578125" style="1" customWidth="1"/>
    <col min="11" max="11" width="15" style="1" customWidth="1"/>
    <col min="12" max="12" width="13.42578125" style="1" customWidth="1"/>
    <col min="13" max="13" width="14.140625" style="1" customWidth="1"/>
    <col min="14" max="14" width="17.7109375" style="1" hidden="1" customWidth="1"/>
    <col min="15" max="16384" width="8.85546875" style="1"/>
  </cols>
  <sheetData>
    <row r="1" spans="1:14" ht="30.75" customHeight="1" x14ac:dyDescent="0.25">
      <c r="A1" s="449" t="s">
        <v>398</v>
      </c>
      <c r="B1" s="449"/>
      <c r="C1" s="449"/>
      <c r="D1" s="449"/>
      <c r="E1" s="449"/>
      <c r="F1" s="449"/>
      <c r="G1" s="449"/>
      <c r="H1" s="449"/>
      <c r="I1" s="449"/>
      <c r="J1" s="449"/>
      <c r="K1" s="449"/>
      <c r="L1" s="449"/>
      <c r="M1" s="73"/>
      <c r="N1" s="73" t="s">
        <v>10</v>
      </c>
    </row>
    <row r="2" spans="1:14" ht="15.6" customHeight="1" x14ac:dyDescent="0.25">
      <c r="A2" s="450" t="s">
        <v>8</v>
      </c>
      <c r="B2" s="450" t="s">
        <v>0</v>
      </c>
      <c r="C2" s="450"/>
      <c r="D2" s="450"/>
      <c r="E2" s="450" t="s">
        <v>3</v>
      </c>
      <c r="F2" s="450" t="s">
        <v>419</v>
      </c>
      <c r="G2" s="450"/>
      <c r="H2" s="450"/>
      <c r="I2" s="450" t="s">
        <v>53</v>
      </c>
      <c r="J2" s="450"/>
      <c r="K2" s="450"/>
      <c r="L2" s="450"/>
      <c r="M2" s="450"/>
      <c r="N2" s="451" t="s">
        <v>12</v>
      </c>
    </row>
    <row r="3" spans="1:14" x14ac:dyDescent="0.25">
      <c r="A3" s="450"/>
      <c r="B3" s="450"/>
      <c r="C3" s="450"/>
      <c r="D3" s="450"/>
      <c r="E3" s="450"/>
      <c r="F3" s="450"/>
      <c r="G3" s="450"/>
      <c r="H3" s="450"/>
      <c r="I3" s="326" t="s">
        <v>1</v>
      </c>
      <c r="J3" s="326" t="s">
        <v>11</v>
      </c>
      <c r="K3" s="326" t="s">
        <v>14</v>
      </c>
      <c r="L3" s="450" t="s">
        <v>5</v>
      </c>
      <c r="M3" s="450" t="s">
        <v>6</v>
      </c>
      <c r="N3" s="451"/>
    </row>
    <row r="4" spans="1:14" ht="98.45" customHeight="1" x14ac:dyDescent="0.25">
      <c r="A4" s="450"/>
      <c r="B4" s="450"/>
      <c r="C4" s="450"/>
      <c r="D4" s="450"/>
      <c r="E4" s="450"/>
      <c r="F4" s="326" t="s">
        <v>1</v>
      </c>
      <c r="G4" s="326" t="s">
        <v>11</v>
      </c>
      <c r="H4" s="326" t="s">
        <v>14</v>
      </c>
      <c r="I4" s="326" t="s">
        <v>2</v>
      </c>
      <c r="J4" s="326" t="s">
        <v>2</v>
      </c>
      <c r="K4" s="326" t="s">
        <v>2</v>
      </c>
      <c r="L4" s="450"/>
      <c r="M4" s="450"/>
      <c r="N4" s="451"/>
    </row>
    <row r="5" spans="1:14" s="413" customFormat="1" x14ac:dyDescent="0.25">
      <c r="A5" s="458" t="s">
        <v>7</v>
      </c>
      <c r="B5" s="459"/>
      <c r="C5" s="459"/>
      <c r="D5" s="459"/>
      <c r="E5" s="460"/>
      <c r="F5" s="411">
        <f>F7+F8</f>
        <v>13344657</v>
      </c>
      <c r="G5" s="411">
        <f t="shared" ref="G5:M5" si="0">G7+G8</f>
        <v>6819590</v>
      </c>
      <c r="H5" s="411">
        <f t="shared" si="0"/>
        <v>6819590</v>
      </c>
      <c r="I5" s="411">
        <f>I7+I8</f>
        <v>0</v>
      </c>
      <c r="J5" s="411">
        <f t="shared" si="0"/>
        <v>25324323.07</v>
      </c>
      <c r="K5" s="411">
        <f>K7+K8</f>
        <v>24673688.199999999</v>
      </c>
      <c r="L5" s="411">
        <f t="shared" si="0"/>
        <v>834470</v>
      </c>
      <c r="M5" s="411">
        <f t="shared" si="0"/>
        <v>23875518.199999999</v>
      </c>
      <c r="N5" s="414">
        <f>N11+N50+N74+N101+N12+N51</f>
        <v>0</v>
      </c>
    </row>
    <row r="6" spans="1:14" s="413" customFormat="1" x14ac:dyDescent="0.25">
      <c r="A6" s="461" t="s">
        <v>9</v>
      </c>
      <c r="B6" s="462"/>
      <c r="C6" s="462"/>
      <c r="D6" s="462"/>
      <c r="E6" s="463"/>
      <c r="F6" s="141"/>
      <c r="G6" s="141"/>
      <c r="H6" s="141"/>
      <c r="I6" s="141"/>
      <c r="J6" s="141"/>
      <c r="K6" s="141"/>
      <c r="L6" s="141"/>
      <c r="M6" s="141"/>
      <c r="N6" s="412"/>
    </row>
    <row r="7" spans="1:14" s="404" customFormat="1" x14ac:dyDescent="0.25">
      <c r="A7" s="468" t="s">
        <v>13</v>
      </c>
      <c r="B7" s="468"/>
      <c r="C7" s="468"/>
      <c r="D7" s="468"/>
      <c r="E7" s="468"/>
      <c r="F7" s="414">
        <f>F11+F50+F73+F101</f>
        <v>13344657</v>
      </c>
      <c r="G7" s="414">
        <f t="shared" ref="G7:N7" si="1">G11+G50+G73+G101</f>
        <v>6819590</v>
      </c>
      <c r="H7" s="414">
        <f t="shared" si="1"/>
        <v>6819590</v>
      </c>
      <c r="I7" s="414">
        <f t="shared" si="1"/>
        <v>0</v>
      </c>
      <c r="J7" s="414">
        <f t="shared" si="1"/>
        <v>25294432.07</v>
      </c>
      <c r="K7" s="414">
        <f t="shared" si="1"/>
        <v>24673688.199999999</v>
      </c>
      <c r="L7" s="414">
        <f t="shared" si="1"/>
        <v>834470</v>
      </c>
      <c r="M7" s="414">
        <f t="shared" si="1"/>
        <v>23875518.199999999</v>
      </c>
      <c r="N7" s="414">
        <f t="shared" si="1"/>
        <v>0</v>
      </c>
    </row>
    <row r="8" spans="1:14" s="404" customFormat="1" x14ac:dyDescent="0.25">
      <c r="A8" s="468" t="s">
        <v>525</v>
      </c>
      <c r="B8" s="468"/>
      <c r="C8" s="468"/>
      <c r="D8" s="468"/>
      <c r="E8" s="468"/>
      <c r="F8" s="414">
        <f>F12+F51+F74</f>
        <v>0</v>
      </c>
      <c r="G8" s="414">
        <f t="shared" ref="G8:M8" si="2">G12+G51+G74</f>
        <v>0</v>
      </c>
      <c r="H8" s="414">
        <f t="shared" si="2"/>
        <v>0</v>
      </c>
      <c r="I8" s="414">
        <f t="shared" si="2"/>
        <v>0</v>
      </c>
      <c r="J8" s="414">
        <f t="shared" si="2"/>
        <v>29891</v>
      </c>
      <c r="K8" s="414">
        <f t="shared" si="2"/>
        <v>0</v>
      </c>
      <c r="L8" s="414">
        <f t="shared" si="2"/>
        <v>0</v>
      </c>
      <c r="M8" s="414">
        <f t="shared" si="2"/>
        <v>0</v>
      </c>
      <c r="N8" s="403"/>
    </row>
    <row r="9" spans="1:14" s="2" customFormat="1" x14ac:dyDescent="0.25">
      <c r="A9" s="452" t="s">
        <v>27</v>
      </c>
      <c r="B9" s="452"/>
      <c r="C9" s="452"/>
      <c r="D9" s="452"/>
      <c r="E9" s="452"/>
      <c r="F9" s="452"/>
      <c r="G9" s="452"/>
      <c r="H9" s="452"/>
      <c r="I9" s="452"/>
      <c r="J9" s="452"/>
      <c r="K9" s="452"/>
      <c r="L9" s="452"/>
      <c r="M9" s="452"/>
      <c r="N9" s="331"/>
    </row>
    <row r="10" spans="1:14" s="422" customFormat="1" ht="21" customHeight="1" x14ac:dyDescent="0.25">
      <c r="A10" s="455" t="s">
        <v>535</v>
      </c>
      <c r="B10" s="456"/>
      <c r="C10" s="456"/>
      <c r="D10" s="456"/>
      <c r="E10" s="457"/>
      <c r="F10" s="427">
        <f>F11+F12</f>
        <v>7507217</v>
      </c>
      <c r="G10" s="427">
        <f t="shared" ref="G10:M10" si="3">G11+G12</f>
        <v>4877679</v>
      </c>
      <c r="H10" s="427">
        <f t="shared" si="3"/>
        <v>4877679</v>
      </c>
      <c r="I10" s="427">
        <f t="shared" si="3"/>
        <v>0</v>
      </c>
      <c r="J10" s="427">
        <f t="shared" si="3"/>
        <v>9754681.0700000003</v>
      </c>
      <c r="K10" s="427">
        <f t="shared" si="3"/>
        <v>9650585.1999999993</v>
      </c>
      <c r="L10" s="427">
        <f t="shared" si="3"/>
        <v>359670</v>
      </c>
      <c r="M10" s="427">
        <f t="shared" si="3"/>
        <v>9290915.1999999993</v>
      </c>
      <c r="N10" s="421"/>
    </row>
    <row r="11" spans="1:14" s="422" customFormat="1" ht="18.75" customHeight="1" x14ac:dyDescent="0.25">
      <c r="A11" s="453" t="s">
        <v>13</v>
      </c>
      <c r="B11" s="453"/>
      <c r="C11" s="453"/>
      <c r="D11" s="453"/>
      <c r="E11" s="453"/>
      <c r="F11" s="428">
        <f>F14+F17+F21+F24+F27+F31+F34+F37+F40+F43</f>
        <v>7507217</v>
      </c>
      <c r="G11" s="428">
        <f t="shared" ref="G11:M11" si="4">G14+G17+G21+G24+G27+G31+G34+G37+G40+G43</f>
        <v>4877679</v>
      </c>
      <c r="H11" s="428">
        <f t="shared" si="4"/>
        <v>4877679</v>
      </c>
      <c r="I11" s="428">
        <f t="shared" si="4"/>
        <v>0</v>
      </c>
      <c r="J11" s="428">
        <f t="shared" si="4"/>
        <v>9750585.0700000003</v>
      </c>
      <c r="K11" s="428">
        <f t="shared" si="4"/>
        <v>9650585.1999999993</v>
      </c>
      <c r="L11" s="428">
        <f t="shared" si="4"/>
        <v>359670</v>
      </c>
      <c r="M11" s="428">
        <f t="shared" si="4"/>
        <v>9290915.1999999993</v>
      </c>
      <c r="N11" s="424"/>
    </row>
    <row r="12" spans="1:14" s="2" customFormat="1" ht="16.5" thickBot="1" x14ac:dyDescent="0.3">
      <c r="A12" s="454" t="s">
        <v>525</v>
      </c>
      <c r="B12" s="454"/>
      <c r="C12" s="454"/>
      <c r="D12" s="454"/>
      <c r="E12" s="454"/>
      <c r="F12" s="395">
        <f>F46</f>
        <v>0</v>
      </c>
      <c r="G12" s="395">
        <f t="shared" ref="G12:M12" si="5">G46</f>
        <v>0</v>
      </c>
      <c r="H12" s="395">
        <f t="shared" si="5"/>
        <v>0</v>
      </c>
      <c r="I12" s="395">
        <f t="shared" si="5"/>
        <v>0</v>
      </c>
      <c r="J12" s="395">
        <f t="shared" si="5"/>
        <v>4096</v>
      </c>
      <c r="K12" s="395">
        <f t="shared" si="5"/>
        <v>0</v>
      </c>
      <c r="L12" s="395">
        <f t="shared" si="5"/>
        <v>0</v>
      </c>
      <c r="M12" s="395">
        <f t="shared" si="5"/>
        <v>0</v>
      </c>
      <c r="N12" s="333"/>
    </row>
    <row r="13" spans="1:14" s="15" customFormat="1" ht="75" x14ac:dyDescent="0.25">
      <c r="A13" s="334"/>
      <c r="B13" s="335" t="s">
        <v>48</v>
      </c>
      <c r="C13" s="335" t="s">
        <v>15</v>
      </c>
      <c r="D13" s="335" t="s">
        <v>24</v>
      </c>
      <c r="E13" s="336"/>
      <c r="F13" s="393">
        <f>F14</f>
        <v>98000</v>
      </c>
      <c r="G13" s="393">
        <f t="shared" ref="G13:M13" si="6">G14</f>
        <v>0</v>
      </c>
      <c r="H13" s="393">
        <f t="shared" si="6"/>
        <v>0</v>
      </c>
      <c r="I13" s="393">
        <f t="shared" si="6"/>
        <v>0</v>
      </c>
      <c r="J13" s="393">
        <f>J14</f>
        <v>65000</v>
      </c>
      <c r="K13" s="393">
        <f t="shared" si="6"/>
        <v>65000</v>
      </c>
      <c r="L13" s="393">
        <f t="shared" si="6"/>
        <v>65000</v>
      </c>
      <c r="M13" s="394">
        <f t="shared" si="6"/>
        <v>0</v>
      </c>
      <c r="N13" s="330"/>
    </row>
    <row r="14" spans="1:14" s="15" customFormat="1" ht="28.5" x14ac:dyDescent="0.25">
      <c r="A14" s="339"/>
      <c r="B14" s="340" t="s">
        <v>13</v>
      </c>
      <c r="C14" s="341"/>
      <c r="D14" s="342"/>
      <c r="E14" s="343"/>
      <c r="F14" s="344">
        <f>F15</f>
        <v>98000</v>
      </c>
      <c r="G14" s="344">
        <f t="shared" ref="G14:M14" si="7">G15</f>
        <v>0</v>
      </c>
      <c r="H14" s="344">
        <f t="shared" si="7"/>
        <v>0</v>
      </c>
      <c r="I14" s="344">
        <f t="shared" si="7"/>
        <v>0</v>
      </c>
      <c r="J14" s="344">
        <f>J15</f>
        <v>65000</v>
      </c>
      <c r="K14" s="344">
        <f t="shared" si="7"/>
        <v>65000</v>
      </c>
      <c r="L14" s="344">
        <f t="shared" si="7"/>
        <v>65000</v>
      </c>
      <c r="M14" s="345">
        <f t="shared" si="7"/>
        <v>0</v>
      </c>
      <c r="N14" s="331"/>
    </row>
    <row r="15" spans="1:14" s="15" customFormat="1" ht="75.75" customHeight="1" thickBot="1" x14ac:dyDescent="0.3">
      <c r="A15" s="346"/>
      <c r="B15" s="347"/>
      <c r="C15" s="348"/>
      <c r="D15" s="389" t="s">
        <v>410</v>
      </c>
      <c r="E15" s="349" t="s">
        <v>231</v>
      </c>
      <c r="F15" s="350">
        <v>98000</v>
      </c>
      <c r="G15" s="350">
        <v>0</v>
      </c>
      <c r="H15" s="350">
        <v>0</v>
      </c>
      <c r="I15" s="350">
        <v>0</v>
      </c>
      <c r="J15" s="350">
        <v>65000</v>
      </c>
      <c r="K15" s="350">
        <v>65000</v>
      </c>
      <c r="L15" s="350">
        <v>65000</v>
      </c>
      <c r="M15" s="351">
        <v>0</v>
      </c>
      <c r="N15" s="331"/>
    </row>
    <row r="16" spans="1:14" ht="90" x14ac:dyDescent="0.25">
      <c r="A16" s="352"/>
      <c r="B16" s="353" t="s">
        <v>96</v>
      </c>
      <c r="C16" s="353" t="s">
        <v>372</v>
      </c>
      <c r="D16" s="353" t="s">
        <v>20</v>
      </c>
      <c r="E16" s="362"/>
      <c r="F16" s="354">
        <f>F17</f>
        <v>0</v>
      </c>
      <c r="G16" s="354">
        <f t="shared" ref="G16:M16" si="8">G17</f>
        <v>0</v>
      </c>
      <c r="H16" s="354">
        <f t="shared" si="8"/>
        <v>0</v>
      </c>
      <c r="I16" s="354">
        <f t="shared" si="8"/>
        <v>0</v>
      </c>
      <c r="J16" s="354">
        <f t="shared" si="8"/>
        <v>419157</v>
      </c>
      <c r="K16" s="354">
        <f t="shared" si="8"/>
        <v>319157</v>
      </c>
      <c r="L16" s="354">
        <f t="shared" si="8"/>
        <v>294670</v>
      </c>
      <c r="M16" s="355">
        <f t="shared" si="8"/>
        <v>24487</v>
      </c>
      <c r="N16" s="331"/>
    </row>
    <row r="17" spans="1:14" ht="28.5" x14ac:dyDescent="0.25">
      <c r="A17" s="339"/>
      <c r="B17" s="340" t="s">
        <v>13</v>
      </c>
      <c r="C17" s="341"/>
      <c r="D17" s="342"/>
      <c r="E17" s="356"/>
      <c r="F17" s="344">
        <f>F18+F19</f>
        <v>0</v>
      </c>
      <c r="G17" s="344">
        <f t="shared" ref="G17:M17" si="9">G18+G19</f>
        <v>0</v>
      </c>
      <c r="H17" s="344">
        <f t="shared" si="9"/>
        <v>0</v>
      </c>
      <c r="I17" s="344">
        <f t="shared" si="9"/>
        <v>0</v>
      </c>
      <c r="J17" s="344">
        <f t="shared" si="9"/>
        <v>419157</v>
      </c>
      <c r="K17" s="344">
        <f t="shared" si="9"/>
        <v>319157</v>
      </c>
      <c r="L17" s="344">
        <f t="shared" si="9"/>
        <v>294670</v>
      </c>
      <c r="M17" s="345">
        <f t="shared" si="9"/>
        <v>24487</v>
      </c>
      <c r="N17" s="357">
        <f t="shared" ref="N17" si="10">SUM(N16)</f>
        <v>0</v>
      </c>
    </row>
    <row r="18" spans="1:14" ht="75" x14ac:dyDescent="0.25">
      <c r="A18" s="339"/>
      <c r="B18" s="340"/>
      <c r="C18" s="341"/>
      <c r="D18" s="356" t="s">
        <v>411</v>
      </c>
      <c r="E18" s="356" t="s">
        <v>231</v>
      </c>
      <c r="F18" s="358">
        <v>0</v>
      </c>
      <c r="G18" s="358"/>
      <c r="H18" s="358"/>
      <c r="I18" s="358"/>
      <c r="J18" s="358">
        <v>394670</v>
      </c>
      <c r="K18" s="358">
        <v>294670</v>
      </c>
      <c r="L18" s="358">
        <v>294670</v>
      </c>
      <c r="M18" s="359"/>
      <c r="N18" s="360">
        <f>SUM(N16)</f>
        <v>0</v>
      </c>
    </row>
    <row r="19" spans="1:14" s="56" customFormat="1" ht="45.75" thickBot="1" x14ac:dyDescent="0.3">
      <c r="A19" s="346"/>
      <c r="B19" s="347"/>
      <c r="C19" s="348"/>
      <c r="D19" s="361"/>
      <c r="E19" s="349" t="s">
        <v>219</v>
      </c>
      <c r="F19" s="350"/>
      <c r="G19" s="350"/>
      <c r="H19" s="350"/>
      <c r="I19" s="350"/>
      <c r="J19" s="350">
        <v>24487</v>
      </c>
      <c r="K19" s="350">
        <v>24487</v>
      </c>
      <c r="L19" s="350"/>
      <c r="M19" s="351">
        <v>24487</v>
      </c>
      <c r="N19" s="360">
        <f>SUM(N17)</f>
        <v>0</v>
      </c>
    </row>
    <row r="20" spans="1:14" ht="90" x14ac:dyDescent="0.25">
      <c r="A20" s="352"/>
      <c r="B20" s="353" t="s">
        <v>16</v>
      </c>
      <c r="C20" s="353" t="s">
        <v>17</v>
      </c>
      <c r="D20" s="353" t="s">
        <v>18</v>
      </c>
      <c r="E20" s="362"/>
      <c r="F20" s="354">
        <f>F21</f>
        <v>0</v>
      </c>
      <c r="G20" s="354">
        <f t="shared" ref="G20:M21" si="11">G21</f>
        <v>0</v>
      </c>
      <c r="H20" s="354">
        <f t="shared" si="11"/>
        <v>0</v>
      </c>
      <c r="I20" s="354">
        <f t="shared" si="11"/>
        <v>0</v>
      </c>
      <c r="J20" s="354">
        <f t="shared" si="11"/>
        <v>29371</v>
      </c>
      <c r="K20" s="354">
        <f t="shared" si="11"/>
        <v>29371</v>
      </c>
      <c r="L20" s="354">
        <f t="shared" si="11"/>
        <v>0</v>
      </c>
      <c r="M20" s="355">
        <f t="shared" si="11"/>
        <v>29371</v>
      </c>
      <c r="N20" s="331"/>
    </row>
    <row r="21" spans="1:14" ht="33" customHeight="1" x14ac:dyDescent="0.25">
      <c r="A21" s="339"/>
      <c r="B21" s="340" t="s">
        <v>13</v>
      </c>
      <c r="C21" s="341"/>
      <c r="D21" s="341"/>
      <c r="E21" s="356"/>
      <c r="F21" s="344">
        <f>F22</f>
        <v>0</v>
      </c>
      <c r="G21" s="344">
        <f t="shared" si="11"/>
        <v>0</v>
      </c>
      <c r="H21" s="344">
        <f t="shared" si="11"/>
        <v>0</v>
      </c>
      <c r="I21" s="344">
        <f t="shared" si="11"/>
        <v>0</v>
      </c>
      <c r="J21" s="344">
        <f t="shared" si="11"/>
        <v>29371</v>
      </c>
      <c r="K21" s="344">
        <f t="shared" si="11"/>
        <v>29371</v>
      </c>
      <c r="L21" s="344">
        <f t="shared" si="11"/>
        <v>0</v>
      </c>
      <c r="M21" s="345">
        <f t="shared" si="11"/>
        <v>29371</v>
      </c>
      <c r="N21" s="331"/>
    </row>
    <row r="22" spans="1:14" ht="45.75" thickBot="1" x14ac:dyDescent="0.3">
      <c r="A22" s="346"/>
      <c r="B22" s="347"/>
      <c r="C22" s="348"/>
      <c r="D22" s="348"/>
      <c r="E22" s="349" t="s">
        <v>219</v>
      </c>
      <c r="F22" s="350">
        <v>0</v>
      </c>
      <c r="G22" s="350">
        <v>0</v>
      </c>
      <c r="H22" s="350">
        <v>0</v>
      </c>
      <c r="I22" s="350">
        <v>0</v>
      </c>
      <c r="J22" s="350">
        <v>29371</v>
      </c>
      <c r="K22" s="350">
        <v>29371</v>
      </c>
      <c r="L22" s="350">
        <v>0</v>
      </c>
      <c r="M22" s="351">
        <v>29371</v>
      </c>
      <c r="N22" s="331"/>
    </row>
    <row r="23" spans="1:14" ht="210" x14ac:dyDescent="0.25">
      <c r="A23" s="352"/>
      <c r="B23" s="353" t="s">
        <v>97</v>
      </c>
      <c r="C23" s="353" t="s">
        <v>21</v>
      </c>
      <c r="D23" s="353" t="s">
        <v>22</v>
      </c>
      <c r="E23" s="362"/>
      <c r="F23" s="354">
        <f>F24</f>
        <v>0</v>
      </c>
      <c r="G23" s="354">
        <f t="shared" ref="G23:M24" si="12">G24</f>
        <v>0</v>
      </c>
      <c r="H23" s="354">
        <f t="shared" si="12"/>
        <v>0</v>
      </c>
      <c r="I23" s="354">
        <f t="shared" si="12"/>
        <v>0</v>
      </c>
      <c r="J23" s="354">
        <f t="shared" si="12"/>
        <v>237691</v>
      </c>
      <c r="K23" s="354">
        <f t="shared" si="12"/>
        <v>237691</v>
      </c>
      <c r="L23" s="354">
        <f t="shared" si="12"/>
        <v>0</v>
      </c>
      <c r="M23" s="355">
        <f t="shared" si="12"/>
        <v>237691</v>
      </c>
      <c r="N23" s="331"/>
    </row>
    <row r="24" spans="1:14" ht="28.5" x14ac:dyDescent="0.25">
      <c r="A24" s="339"/>
      <c r="B24" s="340" t="s">
        <v>13</v>
      </c>
      <c r="C24" s="341"/>
      <c r="D24" s="341"/>
      <c r="E24" s="356"/>
      <c r="F24" s="344">
        <f>F25</f>
        <v>0</v>
      </c>
      <c r="G24" s="344">
        <f t="shared" si="12"/>
        <v>0</v>
      </c>
      <c r="H24" s="344">
        <f t="shared" si="12"/>
        <v>0</v>
      </c>
      <c r="I24" s="344">
        <f t="shared" si="12"/>
        <v>0</v>
      </c>
      <c r="J24" s="344">
        <f t="shared" si="12"/>
        <v>237691</v>
      </c>
      <c r="K24" s="344">
        <f t="shared" si="12"/>
        <v>237691</v>
      </c>
      <c r="L24" s="344">
        <f t="shared" si="12"/>
        <v>0</v>
      </c>
      <c r="M24" s="345">
        <f t="shared" si="12"/>
        <v>237691</v>
      </c>
      <c r="N24" s="331"/>
    </row>
    <row r="25" spans="1:14" ht="45.75" thickBot="1" x14ac:dyDescent="0.3">
      <c r="A25" s="346"/>
      <c r="B25" s="347"/>
      <c r="C25" s="348"/>
      <c r="D25" s="348"/>
      <c r="E25" s="349" t="s">
        <v>219</v>
      </c>
      <c r="F25" s="350">
        <v>0</v>
      </c>
      <c r="G25" s="350">
        <v>0</v>
      </c>
      <c r="H25" s="350">
        <v>0</v>
      </c>
      <c r="I25" s="350">
        <v>0</v>
      </c>
      <c r="J25" s="350">
        <v>237691</v>
      </c>
      <c r="K25" s="350">
        <v>237691</v>
      </c>
      <c r="L25" s="350">
        <v>0</v>
      </c>
      <c r="M25" s="351">
        <v>237691</v>
      </c>
      <c r="N25" s="331"/>
    </row>
    <row r="26" spans="1:14" s="15" customFormat="1" ht="180" x14ac:dyDescent="0.25">
      <c r="A26" s="352"/>
      <c r="B26" s="362" t="s">
        <v>49</v>
      </c>
      <c r="C26" s="353" t="s">
        <v>169</v>
      </c>
      <c r="D26" s="353" t="s">
        <v>19</v>
      </c>
      <c r="E26" s="362"/>
      <c r="F26" s="354">
        <f>F27</f>
        <v>445893</v>
      </c>
      <c r="G26" s="354">
        <f t="shared" ref="G26:M26" si="13">G27</f>
        <v>0</v>
      </c>
      <c r="H26" s="354">
        <f t="shared" si="13"/>
        <v>0</v>
      </c>
      <c r="I26" s="354">
        <f t="shared" si="13"/>
        <v>0</v>
      </c>
      <c r="J26" s="354">
        <f t="shared" si="13"/>
        <v>626589</v>
      </c>
      <c r="K26" s="354">
        <f t="shared" si="13"/>
        <v>626589</v>
      </c>
      <c r="L26" s="354">
        <f t="shared" si="13"/>
        <v>0</v>
      </c>
      <c r="M26" s="355">
        <f t="shared" si="13"/>
        <v>626589</v>
      </c>
      <c r="N26" s="330"/>
    </row>
    <row r="27" spans="1:14" s="15" customFormat="1" ht="28.5" x14ac:dyDescent="0.25">
      <c r="A27" s="339"/>
      <c r="B27" s="340" t="s">
        <v>13</v>
      </c>
      <c r="C27" s="341"/>
      <c r="D27" s="341"/>
      <c r="E27" s="343"/>
      <c r="F27" s="344">
        <f>F28+F29</f>
        <v>445893</v>
      </c>
      <c r="G27" s="344">
        <f t="shared" ref="G27:M27" si="14">G28+G29</f>
        <v>0</v>
      </c>
      <c r="H27" s="344">
        <f t="shared" si="14"/>
        <v>0</v>
      </c>
      <c r="I27" s="344">
        <f t="shared" si="14"/>
        <v>0</v>
      </c>
      <c r="J27" s="344">
        <f t="shared" si="14"/>
        <v>626589</v>
      </c>
      <c r="K27" s="344">
        <f t="shared" si="14"/>
        <v>626589</v>
      </c>
      <c r="L27" s="344">
        <f t="shared" si="14"/>
        <v>0</v>
      </c>
      <c r="M27" s="345">
        <f t="shared" si="14"/>
        <v>626589</v>
      </c>
      <c r="N27" s="331"/>
    </row>
    <row r="28" spans="1:14" s="15" customFormat="1" ht="76.5" customHeight="1" x14ac:dyDescent="0.25">
      <c r="A28" s="339"/>
      <c r="B28" s="340"/>
      <c r="C28" s="341"/>
      <c r="D28" s="390" t="s">
        <v>412</v>
      </c>
      <c r="E28" s="356" t="s">
        <v>231</v>
      </c>
      <c r="F28" s="344"/>
      <c r="G28" s="344"/>
      <c r="H28" s="344"/>
      <c r="I28" s="344"/>
      <c r="J28" s="363">
        <v>8995</v>
      </c>
      <c r="K28" s="363">
        <v>8995</v>
      </c>
      <c r="L28" s="363"/>
      <c r="M28" s="364">
        <v>8995</v>
      </c>
      <c r="N28" s="331"/>
    </row>
    <row r="29" spans="1:14" s="15" customFormat="1" ht="60.75" thickBot="1" x14ac:dyDescent="0.3">
      <c r="A29" s="346"/>
      <c r="B29" s="347"/>
      <c r="C29" s="348"/>
      <c r="D29" s="348"/>
      <c r="E29" s="349" t="s">
        <v>221</v>
      </c>
      <c r="F29" s="350">
        <v>445893</v>
      </c>
      <c r="G29" s="350">
        <v>0</v>
      </c>
      <c r="H29" s="350">
        <v>0</v>
      </c>
      <c r="I29" s="350">
        <v>0</v>
      </c>
      <c r="J29" s="350">
        <v>617594</v>
      </c>
      <c r="K29" s="350">
        <v>617594</v>
      </c>
      <c r="L29" s="350">
        <v>0</v>
      </c>
      <c r="M29" s="351">
        <v>617594</v>
      </c>
      <c r="N29" s="331"/>
    </row>
    <row r="30" spans="1:14" ht="150" x14ac:dyDescent="0.25">
      <c r="A30" s="352"/>
      <c r="B30" s="362" t="s">
        <v>50</v>
      </c>
      <c r="C30" s="362" t="s">
        <v>23</v>
      </c>
      <c r="D30" s="362" t="s">
        <v>183</v>
      </c>
      <c r="E30" s="362"/>
      <c r="F30" s="354">
        <f>F31</f>
        <v>4910623</v>
      </c>
      <c r="G30" s="354">
        <f t="shared" ref="G30:M31" si="15">G31</f>
        <v>4151139</v>
      </c>
      <c r="H30" s="354">
        <f t="shared" si="15"/>
        <v>4151139</v>
      </c>
      <c r="I30" s="354">
        <f t="shared" si="15"/>
        <v>0</v>
      </c>
      <c r="J30" s="354">
        <f t="shared" si="15"/>
        <v>5360891.870000001</v>
      </c>
      <c r="K30" s="354">
        <f t="shared" si="15"/>
        <v>5360892</v>
      </c>
      <c r="L30" s="354">
        <f t="shared" si="15"/>
        <v>0</v>
      </c>
      <c r="M30" s="355">
        <f t="shared" si="15"/>
        <v>5360892</v>
      </c>
      <c r="N30" s="365"/>
    </row>
    <row r="31" spans="1:14" ht="28.5" x14ac:dyDescent="0.25">
      <c r="A31" s="339"/>
      <c r="B31" s="340" t="s">
        <v>13</v>
      </c>
      <c r="C31" s="341"/>
      <c r="D31" s="341"/>
      <c r="E31" s="343"/>
      <c r="F31" s="344">
        <f>F32</f>
        <v>4910623</v>
      </c>
      <c r="G31" s="344">
        <f t="shared" si="15"/>
        <v>4151139</v>
      </c>
      <c r="H31" s="344">
        <f t="shared" si="15"/>
        <v>4151139</v>
      </c>
      <c r="I31" s="344">
        <f t="shared" si="15"/>
        <v>0</v>
      </c>
      <c r="J31" s="344">
        <f t="shared" si="15"/>
        <v>5360891.870000001</v>
      </c>
      <c r="K31" s="344">
        <f t="shared" si="15"/>
        <v>5360892</v>
      </c>
      <c r="L31" s="344">
        <f t="shared" si="15"/>
        <v>0</v>
      </c>
      <c r="M31" s="345">
        <f t="shared" si="15"/>
        <v>5360892</v>
      </c>
      <c r="N31" s="331"/>
    </row>
    <row r="32" spans="1:14" ht="60.75" thickBot="1" x14ac:dyDescent="0.3">
      <c r="A32" s="346"/>
      <c r="B32" s="347"/>
      <c r="C32" s="348"/>
      <c r="D32" s="348"/>
      <c r="E32" s="349" t="s">
        <v>221</v>
      </c>
      <c r="F32" s="350">
        <f>759484+4151139</f>
        <v>4910623</v>
      </c>
      <c r="G32" s="350">
        <v>4151139</v>
      </c>
      <c r="H32" s="350">
        <v>4151139</v>
      </c>
      <c r="I32" s="350">
        <v>0</v>
      </c>
      <c r="J32" s="350">
        <v>5360891.870000001</v>
      </c>
      <c r="K32" s="350">
        <v>5360892</v>
      </c>
      <c r="L32" s="350">
        <v>0</v>
      </c>
      <c r="M32" s="351">
        <v>5360892</v>
      </c>
      <c r="N32" s="331"/>
    </row>
    <row r="33" spans="1:14" ht="360" x14ac:dyDescent="0.25">
      <c r="A33" s="352"/>
      <c r="B33" s="362" t="s">
        <v>98</v>
      </c>
      <c r="C33" s="362" t="s">
        <v>99</v>
      </c>
      <c r="D33" s="362" t="s">
        <v>100</v>
      </c>
      <c r="E33" s="362"/>
      <c r="F33" s="354">
        <f>F34</f>
        <v>0</v>
      </c>
      <c r="G33" s="354">
        <f t="shared" ref="G33:M34" si="16">G34</f>
        <v>0</v>
      </c>
      <c r="H33" s="354">
        <f t="shared" si="16"/>
        <v>0</v>
      </c>
      <c r="I33" s="354">
        <f t="shared" si="16"/>
        <v>0</v>
      </c>
      <c r="J33" s="354">
        <f t="shared" si="16"/>
        <v>1143802</v>
      </c>
      <c r="K33" s="354">
        <f t="shared" si="16"/>
        <v>1143802</v>
      </c>
      <c r="L33" s="354">
        <f t="shared" si="16"/>
        <v>0</v>
      </c>
      <c r="M33" s="355">
        <f t="shared" si="16"/>
        <v>1143802</v>
      </c>
      <c r="N33" s="365"/>
    </row>
    <row r="34" spans="1:14" ht="28.5" x14ac:dyDescent="0.25">
      <c r="A34" s="339"/>
      <c r="B34" s="340" t="s">
        <v>13</v>
      </c>
      <c r="C34" s="341"/>
      <c r="D34" s="341"/>
      <c r="E34" s="343"/>
      <c r="F34" s="344">
        <f>F35</f>
        <v>0</v>
      </c>
      <c r="G34" s="344">
        <f t="shared" si="16"/>
        <v>0</v>
      </c>
      <c r="H34" s="344">
        <f t="shared" si="16"/>
        <v>0</v>
      </c>
      <c r="I34" s="344">
        <f t="shared" si="16"/>
        <v>0</v>
      </c>
      <c r="J34" s="344">
        <f t="shared" si="16"/>
        <v>1143802</v>
      </c>
      <c r="K34" s="344">
        <f t="shared" si="16"/>
        <v>1143802</v>
      </c>
      <c r="L34" s="344">
        <f t="shared" si="16"/>
        <v>0</v>
      </c>
      <c r="M34" s="345">
        <f t="shared" si="16"/>
        <v>1143802</v>
      </c>
      <c r="N34" s="331"/>
    </row>
    <row r="35" spans="1:14" s="15" customFormat="1" ht="60.75" thickBot="1" x14ac:dyDescent="0.3">
      <c r="A35" s="346"/>
      <c r="B35" s="347"/>
      <c r="C35" s="348"/>
      <c r="D35" s="348"/>
      <c r="E35" s="349" t="s">
        <v>221</v>
      </c>
      <c r="F35" s="350">
        <v>0</v>
      </c>
      <c r="G35" s="350">
        <v>0</v>
      </c>
      <c r="H35" s="350">
        <v>0</v>
      </c>
      <c r="I35" s="350">
        <v>0</v>
      </c>
      <c r="J35" s="350">
        <v>1143802</v>
      </c>
      <c r="K35" s="350">
        <v>1143802</v>
      </c>
      <c r="L35" s="350">
        <v>0</v>
      </c>
      <c r="M35" s="351">
        <v>1143802</v>
      </c>
      <c r="N35" s="331"/>
    </row>
    <row r="36" spans="1:14" ht="240" x14ac:dyDescent="0.25">
      <c r="A36" s="352"/>
      <c r="B36" s="362" t="s">
        <v>101</v>
      </c>
      <c r="C36" s="362" t="s">
        <v>25</v>
      </c>
      <c r="D36" s="362" t="s">
        <v>575</v>
      </c>
      <c r="E36" s="362"/>
      <c r="F36" s="354">
        <f>F37</f>
        <v>83594</v>
      </c>
      <c r="G36" s="354">
        <f t="shared" ref="G36:N37" si="17">G37</f>
        <v>0</v>
      </c>
      <c r="H36" s="354">
        <f t="shared" si="17"/>
        <v>0</v>
      </c>
      <c r="I36" s="354">
        <f t="shared" si="17"/>
        <v>0</v>
      </c>
      <c r="J36" s="447">
        <f t="shared" si="17"/>
        <v>211327.2</v>
      </c>
      <c r="K36" s="447">
        <f t="shared" si="17"/>
        <v>211327.2</v>
      </c>
      <c r="L36" s="447">
        <f t="shared" si="17"/>
        <v>0</v>
      </c>
      <c r="M36" s="448">
        <f t="shared" si="17"/>
        <v>211327.2</v>
      </c>
      <c r="N36" s="366">
        <f t="shared" si="17"/>
        <v>0</v>
      </c>
    </row>
    <row r="37" spans="1:14" ht="28.5" x14ac:dyDescent="0.25">
      <c r="A37" s="339"/>
      <c r="B37" s="340" t="s">
        <v>13</v>
      </c>
      <c r="C37" s="341"/>
      <c r="D37" s="341"/>
      <c r="E37" s="343"/>
      <c r="F37" s="344">
        <f>F38</f>
        <v>83594</v>
      </c>
      <c r="G37" s="344">
        <f t="shared" si="17"/>
        <v>0</v>
      </c>
      <c r="H37" s="344">
        <f t="shared" si="17"/>
        <v>0</v>
      </c>
      <c r="I37" s="344">
        <f t="shared" si="17"/>
        <v>0</v>
      </c>
      <c r="J37" s="344">
        <f t="shared" si="17"/>
        <v>211327.2</v>
      </c>
      <c r="K37" s="344">
        <f t="shared" si="17"/>
        <v>211327.2</v>
      </c>
      <c r="L37" s="344">
        <f t="shared" si="17"/>
        <v>0</v>
      </c>
      <c r="M37" s="345">
        <f t="shared" si="17"/>
        <v>211327.2</v>
      </c>
      <c r="N37" s="357">
        <f t="shared" si="17"/>
        <v>0</v>
      </c>
    </row>
    <row r="38" spans="1:14" ht="60.75" thickBot="1" x14ac:dyDescent="0.3">
      <c r="A38" s="346"/>
      <c r="B38" s="347"/>
      <c r="C38" s="348"/>
      <c r="D38" s="348"/>
      <c r="E38" s="349" t="s">
        <v>221</v>
      </c>
      <c r="F38" s="350">
        <v>83594</v>
      </c>
      <c r="G38" s="350">
        <v>0</v>
      </c>
      <c r="H38" s="350">
        <v>0</v>
      </c>
      <c r="I38" s="350">
        <v>0</v>
      </c>
      <c r="J38" s="367">
        <v>211327.2</v>
      </c>
      <c r="K38" s="367">
        <v>211327.2</v>
      </c>
      <c r="L38" s="367">
        <v>0</v>
      </c>
      <c r="M38" s="367">
        <v>211327.2</v>
      </c>
      <c r="N38" s="331"/>
    </row>
    <row r="39" spans="1:14" ht="225" x14ac:dyDescent="0.25">
      <c r="A39" s="352"/>
      <c r="B39" s="362" t="s">
        <v>103</v>
      </c>
      <c r="C39" s="362" t="s">
        <v>26</v>
      </c>
      <c r="D39" s="362" t="s">
        <v>104</v>
      </c>
      <c r="E39" s="362"/>
      <c r="F39" s="354">
        <f>F40</f>
        <v>1969107</v>
      </c>
      <c r="G39" s="354">
        <f t="shared" ref="G39:M40" si="18">G40</f>
        <v>726540</v>
      </c>
      <c r="H39" s="354">
        <f t="shared" si="18"/>
        <v>726540</v>
      </c>
      <c r="I39" s="354">
        <f t="shared" si="18"/>
        <v>0</v>
      </c>
      <c r="J39" s="354">
        <f t="shared" si="18"/>
        <v>1656756</v>
      </c>
      <c r="K39" s="354">
        <f t="shared" si="18"/>
        <v>1656756</v>
      </c>
      <c r="L39" s="354">
        <f t="shared" si="18"/>
        <v>0</v>
      </c>
      <c r="M39" s="355">
        <f t="shared" si="18"/>
        <v>1656756</v>
      </c>
      <c r="N39" s="365"/>
    </row>
    <row r="40" spans="1:14" ht="28.5" x14ac:dyDescent="0.25">
      <c r="A40" s="339"/>
      <c r="B40" s="340" t="s">
        <v>13</v>
      </c>
      <c r="C40" s="341"/>
      <c r="D40" s="341"/>
      <c r="E40" s="343"/>
      <c r="F40" s="344">
        <f>F41</f>
        <v>1969107</v>
      </c>
      <c r="G40" s="344">
        <f t="shared" si="18"/>
        <v>726540</v>
      </c>
      <c r="H40" s="344">
        <f t="shared" si="18"/>
        <v>726540</v>
      </c>
      <c r="I40" s="344">
        <f t="shared" si="18"/>
        <v>0</v>
      </c>
      <c r="J40" s="344">
        <f t="shared" si="18"/>
        <v>1656756</v>
      </c>
      <c r="K40" s="344">
        <f t="shared" si="18"/>
        <v>1656756</v>
      </c>
      <c r="L40" s="344">
        <f t="shared" si="18"/>
        <v>0</v>
      </c>
      <c r="M40" s="345">
        <f t="shared" si="18"/>
        <v>1656756</v>
      </c>
      <c r="N40" s="331"/>
    </row>
    <row r="41" spans="1:14" ht="60.75" thickBot="1" x14ac:dyDescent="0.3">
      <c r="A41" s="346"/>
      <c r="B41" s="347"/>
      <c r="C41" s="348"/>
      <c r="D41" s="348"/>
      <c r="E41" s="349" t="s">
        <v>201</v>
      </c>
      <c r="F41" s="350">
        <f>1242567+726540</f>
        <v>1969107</v>
      </c>
      <c r="G41" s="350">
        <v>726540</v>
      </c>
      <c r="H41" s="350">
        <v>726540</v>
      </c>
      <c r="I41" s="350">
        <v>0</v>
      </c>
      <c r="J41" s="350">
        <v>1656756</v>
      </c>
      <c r="K41" s="350">
        <v>1656756</v>
      </c>
      <c r="L41" s="350">
        <v>0</v>
      </c>
      <c r="M41" s="351">
        <v>1656756</v>
      </c>
      <c r="N41" s="331"/>
    </row>
    <row r="42" spans="1:14" ht="150" x14ac:dyDescent="0.25">
      <c r="A42" s="352"/>
      <c r="B42" s="362" t="s">
        <v>105</v>
      </c>
      <c r="C42" s="362" t="s">
        <v>107</v>
      </c>
      <c r="D42" s="362" t="s">
        <v>106</v>
      </c>
      <c r="E42" s="362"/>
      <c r="F42" s="354">
        <f>F43</f>
        <v>0</v>
      </c>
      <c r="G42" s="354">
        <f t="shared" ref="G42:M45" si="19">G43</f>
        <v>0</v>
      </c>
      <c r="H42" s="354">
        <f t="shared" si="19"/>
        <v>0</v>
      </c>
      <c r="I42" s="354">
        <f t="shared" si="19"/>
        <v>0</v>
      </c>
      <c r="J42" s="354">
        <f t="shared" si="19"/>
        <v>0</v>
      </c>
      <c r="K42" s="354">
        <f t="shared" si="19"/>
        <v>0</v>
      </c>
      <c r="L42" s="354">
        <f t="shared" si="19"/>
        <v>0</v>
      </c>
      <c r="M42" s="355">
        <f t="shared" si="19"/>
        <v>0</v>
      </c>
      <c r="N42" s="365"/>
    </row>
    <row r="43" spans="1:14" ht="28.5" x14ac:dyDescent="0.25">
      <c r="A43" s="339"/>
      <c r="B43" s="340" t="s">
        <v>13</v>
      </c>
      <c r="C43" s="341"/>
      <c r="D43" s="341"/>
      <c r="E43" s="343"/>
      <c r="F43" s="344">
        <f>F44</f>
        <v>0</v>
      </c>
      <c r="G43" s="344">
        <f t="shared" si="19"/>
        <v>0</v>
      </c>
      <c r="H43" s="344">
        <f t="shared" si="19"/>
        <v>0</v>
      </c>
      <c r="I43" s="344">
        <f t="shared" si="19"/>
        <v>0</v>
      </c>
      <c r="J43" s="344">
        <f t="shared" si="19"/>
        <v>0</v>
      </c>
      <c r="K43" s="344">
        <f t="shared" si="19"/>
        <v>0</v>
      </c>
      <c r="L43" s="344">
        <f t="shared" si="19"/>
        <v>0</v>
      </c>
      <c r="M43" s="345">
        <f t="shared" si="19"/>
        <v>0</v>
      </c>
      <c r="N43" s="331"/>
    </row>
    <row r="44" spans="1:14" ht="30.75" customHeight="1" thickBot="1" x14ac:dyDescent="0.3">
      <c r="A44" s="346"/>
      <c r="B44" s="347"/>
      <c r="C44" s="348"/>
      <c r="D44" s="348"/>
      <c r="E44" s="349" t="s">
        <v>51</v>
      </c>
      <c r="F44" s="350">
        <v>0</v>
      </c>
      <c r="G44" s="350">
        <v>0</v>
      </c>
      <c r="H44" s="350">
        <v>0</v>
      </c>
      <c r="I44" s="350">
        <v>0</v>
      </c>
      <c r="J44" s="350">
        <v>0</v>
      </c>
      <c r="K44" s="350">
        <v>0</v>
      </c>
      <c r="L44" s="350">
        <v>0</v>
      </c>
      <c r="M44" s="351">
        <v>0</v>
      </c>
      <c r="N44" s="331"/>
    </row>
    <row r="45" spans="1:14" ht="225" x14ac:dyDescent="0.25">
      <c r="A45" s="352"/>
      <c r="B45" s="370" t="s">
        <v>527</v>
      </c>
      <c r="C45" s="370" t="s">
        <v>528</v>
      </c>
      <c r="D45" s="370" t="s">
        <v>529</v>
      </c>
      <c r="E45" s="362"/>
      <c r="F45" s="354">
        <f>F46</f>
        <v>0</v>
      </c>
      <c r="G45" s="354">
        <f t="shared" si="19"/>
        <v>0</v>
      </c>
      <c r="H45" s="354">
        <f t="shared" si="19"/>
        <v>0</v>
      </c>
      <c r="I45" s="354">
        <f t="shared" si="19"/>
        <v>0</v>
      </c>
      <c r="J45" s="354">
        <f t="shared" si="19"/>
        <v>4096</v>
      </c>
      <c r="K45" s="354">
        <f t="shared" si="19"/>
        <v>0</v>
      </c>
      <c r="L45" s="354">
        <f t="shared" si="19"/>
        <v>0</v>
      </c>
      <c r="M45" s="355">
        <f t="shared" si="19"/>
        <v>0</v>
      </c>
      <c r="N45" s="331"/>
    </row>
    <row r="46" spans="1:14" x14ac:dyDescent="0.25">
      <c r="A46" s="334"/>
      <c r="B46" s="397" t="s">
        <v>524</v>
      </c>
      <c r="C46" s="398"/>
      <c r="D46" s="398"/>
      <c r="E46" s="399"/>
      <c r="F46" s="400">
        <f>F47</f>
        <v>0</v>
      </c>
      <c r="G46" s="400">
        <f t="shared" ref="G46:M46" si="20">G47</f>
        <v>0</v>
      </c>
      <c r="H46" s="400">
        <f t="shared" si="20"/>
        <v>0</v>
      </c>
      <c r="I46" s="400">
        <f t="shared" si="20"/>
        <v>0</v>
      </c>
      <c r="J46" s="400">
        <f t="shared" si="20"/>
        <v>4096</v>
      </c>
      <c r="K46" s="400">
        <f t="shared" si="20"/>
        <v>0</v>
      </c>
      <c r="L46" s="400">
        <f t="shared" si="20"/>
        <v>0</v>
      </c>
      <c r="M46" s="401">
        <f t="shared" si="20"/>
        <v>0</v>
      </c>
      <c r="N46" s="331"/>
    </row>
    <row r="47" spans="1:14" ht="45.75" thickBot="1" x14ac:dyDescent="0.3">
      <c r="A47" s="346"/>
      <c r="B47" s="391"/>
      <c r="C47" s="391"/>
      <c r="D47" s="391"/>
      <c r="E47" s="349" t="s">
        <v>530</v>
      </c>
      <c r="F47" s="350">
        <v>0</v>
      </c>
      <c r="G47" s="350">
        <v>0</v>
      </c>
      <c r="H47" s="350">
        <v>0</v>
      </c>
      <c r="I47" s="350">
        <v>0</v>
      </c>
      <c r="J47" s="350">
        <v>4096</v>
      </c>
      <c r="K47" s="350">
        <v>0</v>
      </c>
      <c r="L47" s="350">
        <v>0</v>
      </c>
      <c r="M47" s="351">
        <v>0</v>
      </c>
      <c r="N47" s="331"/>
    </row>
    <row r="48" spans="1:14" s="2" customFormat="1" x14ac:dyDescent="0.25">
      <c r="A48" s="452" t="s">
        <v>28</v>
      </c>
      <c r="B48" s="452"/>
      <c r="C48" s="452"/>
      <c r="D48" s="452"/>
      <c r="E48" s="452"/>
      <c r="F48" s="452"/>
      <c r="G48" s="452"/>
      <c r="H48" s="452"/>
      <c r="I48" s="452"/>
      <c r="J48" s="452"/>
      <c r="K48" s="452"/>
      <c r="L48" s="452"/>
      <c r="M48" s="452"/>
      <c r="N48" s="331"/>
    </row>
    <row r="49" spans="1:14" s="422" customFormat="1" ht="20.25" customHeight="1" x14ac:dyDescent="0.25">
      <c r="A49" s="455" t="s">
        <v>534</v>
      </c>
      <c r="B49" s="456"/>
      <c r="C49" s="456"/>
      <c r="D49" s="456"/>
      <c r="E49" s="457"/>
      <c r="F49" s="420">
        <f>F50+F51</f>
        <v>5464793</v>
      </c>
      <c r="G49" s="420">
        <f t="shared" ref="G49:M49" si="21">G50+G51</f>
        <v>1920803</v>
      </c>
      <c r="H49" s="420">
        <f t="shared" si="21"/>
        <v>1920803</v>
      </c>
      <c r="I49" s="420">
        <f t="shared" si="21"/>
        <v>0</v>
      </c>
      <c r="J49" s="420">
        <f t="shared" si="21"/>
        <v>14501936</v>
      </c>
      <c r="K49" s="420">
        <f t="shared" si="21"/>
        <v>14476141</v>
      </c>
      <c r="L49" s="420">
        <f t="shared" si="21"/>
        <v>0</v>
      </c>
      <c r="M49" s="420">
        <f t="shared" si="21"/>
        <v>14476141</v>
      </c>
      <c r="N49" s="421"/>
    </row>
    <row r="50" spans="1:14" s="422" customFormat="1" ht="19.5" customHeight="1" x14ac:dyDescent="0.25">
      <c r="A50" s="453" t="s">
        <v>13</v>
      </c>
      <c r="B50" s="453"/>
      <c r="C50" s="453"/>
      <c r="D50" s="453"/>
      <c r="E50" s="453"/>
      <c r="F50" s="423">
        <f t="shared" ref="F50:M50" si="22">F53+F57+F60+F63</f>
        <v>5464793</v>
      </c>
      <c r="G50" s="423">
        <f t="shared" si="22"/>
        <v>1920803</v>
      </c>
      <c r="H50" s="423">
        <f t="shared" si="22"/>
        <v>1920803</v>
      </c>
      <c r="I50" s="423">
        <f t="shared" si="22"/>
        <v>0</v>
      </c>
      <c r="J50" s="423">
        <f t="shared" si="22"/>
        <v>14476141</v>
      </c>
      <c r="K50" s="423">
        <f t="shared" si="22"/>
        <v>14476141</v>
      </c>
      <c r="L50" s="423">
        <f t="shared" si="22"/>
        <v>0</v>
      </c>
      <c r="M50" s="423">
        <f t="shared" si="22"/>
        <v>14476141</v>
      </c>
      <c r="N50" s="424"/>
    </row>
    <row r="51" spans="1:14" s="426" customFormat="1" ht="16.5" thickBot="1" x14ac:dyDescent="0.3">
      <c r="A51" s="454" t="s">
        <v>525</v>
      </c>
      <c r="B51" s="454"/>
      <c r="C51" s="454"/>
      <c r="D51" s="454"/>
      <c r="E51" s="454"/>
      <c r="F51" s="425">
        <f>F66+F69</f>
        <v>0</v>
      </c>
      <c r="G51" s="425">
        <f t="shared" ref="G51:M51" si="23">G66+G69</f>
        <v>0</v>
      </c>
      <c r="H51" s="425">
        <f t="shared" si="23"/>
        <v>0</v>
      </c>
      <c r="I51" s="425">
        <f t="shared" si="23"/>
        <v>0</v>
      </c>
      <c r="J51" s="425">
        <f t="shared" si="23"/>
        <v>25795</v>
      </c>
      <c r="K51" s="425">
        <f t="shared" si="23"/>
        <v>0</v>
      </c>
      <c r="L51" s="425">
        <f t="shared" si="23"/>
        <v>0</v>
      </c>
      <c r="M51" s="425">
        <f t="shared" si="23"/>
        <v>0</v>
      </c>
    </row>
    <row r="52" spans="1:14" ht="180" x14ac:dyDescent="0.25">
      <c r="A52" s="334"/>
      <c r="B52" s="335" t="s">
        <v>274</v>
      </c>
      <c r="C52" s="335" t="s">
        <v>108</v>
      </c>
      <c r="D52" s="335" t="s">
        <v>577</v>
      </c>
      <c r="E52" s="402"/>
      <c r="F52" s="393">
        <f>F53</f>
        <v>5386812</v>
      </c>
      <c r="G52" s="445">
        <f t="shared" ref="G52:M52" si="24">G53</f>
        <v>1920803</v>
      </c>
      <c r="H52" s="445">
        <f t="shared" si="24"/>
        <v>1920803</v>
      </c>
      <c r="I52" s="445">
        <f t="shared" si="24"/>
        <v>0</v>
      </c>
      <c r="J52" s="445">
        <f t="shared" si="24"/>
        <v>6051160</v>
      </c>
      <c r="K52" s="445">
        <f t="shared" si="24"/>
        <v>6051160</v>
      </c>
      <c r="L52" s="445">
        <f t="shared" si="24"/>
        <v>0</v>
      </c>
      <c r="M52" s="446">
        <f t="shared" si="24"/>
        <v>6051160</v>
      </c>
      <c r="N52" s="330"/>
    </row>
    <row r="53" spans="1:14" ht="28.5" x14ac:dyDescent="0.25">
      <c r="A53" s="339"/>
      <c r="B53" s="340" t="s">
        <v>13</v>
      </c>
      <c r="C53" s="341"/>
      <c r="D53" s="341"/>
      <c r="E53" s="343"/>
      <c r="F53" s="344">
        <f>F54+F55</f>
        <v>5386812</v>
      </c>
      <c r="G53" s="344">
        <f t="shared" ref="G53:M53" si="25">G54+G55</f>
        <v>1920803</v>
      </c>
      <c r="H53" s="344">
        <f t="shared" si="25"/>
        <v>1920803</v>
      </c>
      <c r="I53" s="344">
        <f t="shared" si="25"/>
        <v>0</v>
      </c>
      <c r="J53" s="344">
        <f t="shared" si="25"/>
        <v>6051160</v>
      </c>
      <c r="K53" s="344">
        <f t="shared" si="25"/>
        <v>6051160</v>
      </c>
      <c r="L53" s="344">
        <f t="shared" si="25"/>
        <v>0</v>
      </c>
      <c r="M53" s="345">
        <f t="shared" si="25"/>
        <v>6051160</v>
      </c>
      <c r="N53" s="331"/>
    </row>
    <row r="54" spans="1:14" ht="75" x14ac:dyDescent="0.25">
      <c r="A54" s="339"/>
      <c r="B54" s="340"/>
      <c r="C54" s="341"/>
      <c r="D54" s="341"/>
      <c r="E54" s="356" t="s">
        <v>262</v>
      </c>
      <c r="F54" s="363">
        <v>3158294</v>
      </c>
      <c r="G54" s="358">
        <v>0</v>
      </c>
      <c r="H54" s="358">
        <v>0</v>
      </c>
      <c r="I54" s="358">
        <v>0</v>
      </c>
      <c r="J54" s="363">
        <v>5187754</v>
      </c>
      <c r="K54" s="363">
        <v>5187754</v>
      </c>
      <c r="L54" s="363">
        <v>0</v>
      </c>
      <c r="M54" s="363">
        <v>5187754</v>
      </c>
      <c r="N54" s="331"/>
    </row>
    <row r="55" spans="1:14" ht="60.75" thickBot="1" x14ac:dyDescent="0.3">
      <c r="A55" s="346"/>
      <c r="B55" s="347"/>
      <c r="C55" s="348"/>
      <c r="D55" s="348"/>
      <c r="E55" s="349" t="s">
        <v>223</v>
      </c>
      <c r="F55" s="367">
        <f>509746+1718772</f>
        <v>2228518</v>
      </c>
      <c r="G55" s="367">
        <v>1920803</v>
      </c>
      <c r="H55" s="367">
        <v>1920803</v>
      </c>
      <c r="I55" s="367">
        <v>0</v>
      </c>
      <c r="J55" s="367">
        <v>863406</v>
      </c>
      <c r="K55" s="367">
        <v>863406</v>
      </c>
      <c r="L55" s="363">
        <v>0</v>
      </c>
      <c r="M55" s="368">
        <v>863406</v>
      </c>
      <c r="N55" s="331"/>
    </row>
    <row r="56" spans="1:14" ht="135" x14ac:dyDescent="0.25">
      <c r="A56" s="352"/>
      <c r="B56" s="353" t="s">
        <v>29</v>
      </c>
      <c r="C56" s="353" t="s">
        <v>30</v>
      </c>
      <c r="D56" s="353" t="s">
        <v>31</v>
      </c>
      <c r="E56" s="362"/>
      <c r="F56" s="337">
        <f>F57</f>
        <v>0</v>
      </c>
      <c r="G56" s="337">
        <f t="shared" ref="G56:G57" si="26">G57</f>
        <v>0</v>
      </c>
      <c r="H56" s="337">
        <f t="shared" ref="H56:H57" si="27">H57</f>
        <v>0</v>
      </c>
      <c r="I56" s="337">
        <f t="shared" ref="I56:I57" si="28">I57</f>
        <v>0</v>
      </c>
      <c r="J56" s="337">
        <f t="shared" ref="J56:J57" si="29">J57</f>
        <v>8317234</v>
      </c>
      <c r="K56" s="337">
        <f t="shared" ref="K56:K57" si="30">K57</f>
        <v>8317234</v>
      </c>
      <c r="L56" s="337">
        <f t="shared" ref="L56:L57" si="31">L57</f>
        <v>0</v>
      </c>
      <c r="M56" s="338">
        <f t="shared" ref="M56:M57" si="32">M57</f>
        <v>8317234</v>
      </c>
      <c r="N56" s="331"/>
    </row>
    <row r="57" spans="1:14" ht="28.5" x14ac:dyDescent="0.25">
      <c r="A57" s="339"/>
      <c r="B57" s="340" t="s">
        <v>13</v>
      </c>
      <c r="C57" s="341"/>
      <c r="D57" s="341"/>
      <c r="E57" s="356"/>
      <c r="F57" s="344">
        <f>F58</f>
        <v>0</v>
      </c>
      <c r="G57" s="344">
        <f t="shared" si="26"/>
        <v>0</v>
      </c>
      <c r="H57" s="344">
        <f t="shared" si="27"/>
        <v>0</v>
      </c>
      <c r="I57" s="344">
        <f t="shared" si="28"/>
        <v>0</v>
      </c>
      <c r="J57" s="344">
        <f t="shared" si="29"/>
        <v>8317234</v>
      </c>
      <c r="K57" s="344">
        <f t="shared" si="30"/>
        <v>8317234</v>
      </c>
      <c r="L57" s="344">
        <f t="shared" si="31"/>
        <v>0</v>
      </c>
      <c r="M57" s="345">
        <f t="shared" si="32"/>
        <v>8317234</v>
      </c>
      <c r="N57" s="357">
        <f t="shared" ref="N57:N58" si="33">SUM(N56)</f>
        <v>0</v>
      </c>
    </row>
    <row r="58" spans="1:14" ht="75.75" thickBot="1" x14ac:dyDescent="0.3">
      <c r="A58" s="346"/>
      <c r="B58" s="347"/>
      <c r="C58" s="348"/>
      <c r="D58" s="348"/>
      <c r="E58" s="349" t="s">
        <v>262</v>
      </c>
      <c r="F58" s="350"/>
      <c r="G58" s="350"/>
      <c r="H58" s="350"/>
      <c r="I58" s="350"/>
      <c r="J58" s="350">
        <v>8317234</v>
      </c>
      <c r="K58" s="350">
        <v>8317234</v>
      </c>
      <c r="L58" s="350"/>
      <c r="M58" s="351">
        <v>8317234</v>
      </c>
      <c r="N58" s="360">
        <f t="shared" si="33"/>
        <v>0</v>
      </c>
    </row>
    <row r="59" spans="1:14" ht="159.75" customHeight="1" x14ac:dyDescent="0.25">
      <c r="A59" s="352"/>
      <c r="B59" s="353" t="s">
        <v>32</v>
      </c>
      <c r="C59" s="353" t="s">
        <v>33</v>
      </c>
      <c r="D59" s="353" t="s">
        <v>578</v>
      </c>
      <c r="E59" s="362"/>
      <c r="F59" s="337">
        <f>F60</f>
        <v>67466</v>
      </c>
      <c r="G59" s="337">
        <f t="shared" ref="G59:G60" si="34">G60</f>
        <v>0</v>
      </c>
      <c r="H59" s="337">
        <f t="shared" ref="H59:H60" si="35">H60</f>
        <v>0</v>
      </c>
      <c r="I59" s="337">
        <f t="shared" ref="I59:I60" si="36">I60</f>
        <v>0</v>
      </c>
      <c r="J59" s="337">
        <f t="shared" ref="J59:J60" si="37">J60</f>
        <v>93726</v>
      </c>
      <c r="K59" s="337">
        <f t="shared" ref="K59:K60" si="38">K60</f>
        <v>93726</v>
      </c>
      <c r="L59" s="337">
        <f t="shared" ref="L59:L60" si="39">L60</f>
        <v>0</v>
      </c>
      <c r="M59" s="338">
        <f t="shared" ref="M59:M60" si="40">M60</f>
        <v>93726</v>
      </c>
      <c r="N59" s="331"/>
    </row>
    <row r="60" spans="1:14" ht="33" customHeight="1" x14ac:dyDescent="0.25">
      <c r="A60" s="339"/>
      <c r="B60" s="340" t="s">
        <v>13</v>
      </c>
      <c r="C60" s="341"/>
      <c r="D60" s="341"/>
      <c r="E60" s="356"/>
      <c r="F60" s="344">
        <f>F61</f>
        <v>67466</v>
      </c>
      <c r="G60" s="344">
        <f t="shared" si="34"/>
        <v>0</v>
      </c>
      <c r="H60" s="344">
        <f t="shared" si="35"/>
        <v>0</v>
      </c>
      <c r="I60" s="344">
        <f t="shared" si="36"/>
        <v>0</v>
      </c>
      <c r="J60" s="344">
        <f t="shared" si="37"/>
        <v>93726</v>
      </c>
      <c r="K60" s="344">
        <f t="shared" si="38"/>
        <v>93726</v>
      </c>
      <c r="L60" s="344">
        <f t="shared" si="39"/>
        <v>0</v>
      </c>
      <c r="M60" s="345">
        <f t="shared" si="40"/>
        <v>93726</v>
      </c>
      <c r="N60" s="331"/>
    </row>
    <row r="61" spans="1:14" ht="75.75" thickBot="1" x14ac:dyDescent="0.3">
      <c r="A61" s="346"/>
      <c r="B61" s="347"/>
      <c r="C61" s="348"/>
      <c r="D61" s="348"/>
      <c r="E61" s="349" t="s">
        <v>262</v>
      </c>
      <c r="F61" s="350">
        <v>67466</v>
      </c>
      <c r="G61" s="350"/>
      <c r="H61" s="350"/>
      <c r="I61" s="350">
        <v>0</v>
      </c>
      <c r="J61" s="350">
        <v>93726</v>
      </c>
      <c r="K61" s="350">
        <v>93726</v>
      </c>
      <c r="L61" s="350"/>
      <c r="M61" s="351">
        <v>93726</v>
      </c>
      <c r="N61" s="331"/>
    </row>
    <row r="62" spans="1:14" ht="90" x14ac:dyDescent="0.25">
      <c r="A62" s="352"/>
      <c r="B62" s="362" t="s">
        <v>109</v>
      </c>
      <c r="C62" s="353" t="s">
        <v>111</v>
      </c>
      <c r="D62" s="353" t="s">
        <v>579</v>
      </c>
      <c r="E62" s="362"/>
      <c r="F62" s="337">
        <f>F63</f>
        <v>10515</v>
      </c>
      <c r="G62" s="337">
        <f t="shared" ref="G62:G69" si="41">G63</f>
        <v>0</v>
      </c>
      <c r="H62" s="337">
        <f t="shared" ref="H62:H69" si="42">H63</f>
        <v>0</v>
      </c>
      <c r="I62" s="337">
        <f t="shared" ref="I62:I69" si="43">I63</f>
        <v>0</v>
      </c>
      <c r="J62" s="337">
        <f t="shared" ref="J62:J69" si="44">J63</f>
        <v>14021</v>
      </c>
      <c r="K62" s="337">
        <f t="shared" ref="K62:K69" si="45">K63</f>
        <v>14021</v>
      </c>
      <c r="L62" s="337">
        <f t="shared" ref="L62:L69" si="46">L63</f>
        <v>0</v>
      </c>
      <c r="M62" s="338">
        <f t="shared" ref="M62:M69" si="47">M63</f>
        <v>14021</v>
      </c>
      <c r="N62" s="330"/>
    </row>
    <row r="63" spans="1:14" ht="28.5" x14ac:dyDescent="0.25">
      <c r="A63" s="339"/>
      <c r="B63" s="340" t="s">
        <v>13</v>
      </c>
      <c r="C63" s="341"/>
      <c r="D63" s="341"/>
      <c r="E63" s="343"/>
      <c r="F63" s="344">
        <f>F64</f>
        <v>10515</v>
      </c>
      <c r="G63" s="344">
        <f t="shared" si="41"/>
        <v>0</v>
      </c>
      <c r="H63" s="344">
        <f t="shared" si="42"/>
        <v>0</v>
      </c>
      <c r="I63" s="344">
        <f t="shared" si="43"/>
        <v>0</v>
      </c>
      <c r="J63" s="344">
        <f t="shared" si="44"/>
        <v>14021</v>
      </c>
      <c r="K63" s="344">
        <f t="shared" si="45"/>
        <v>14021</v>
      </c>
      <c r="L63" s="344">
        <f t="shared" si="46"/>
        <v>0</v>
      </c>
      <c r="M63" s="345">
        <f t="shared" si="47"/>
        <v>14021</v>
      </c>
      <c r="N63" s="331"/>
    </row>
    <row r="64" spans="1:14" ht="60.75" thickBot="1" x14ac:dyDescent="0.3">
      <c r="A64" s="346"/>
      <c r="B64" s="347"/>
      <c r="C64" s="348"/>
      <c r="D64" s="348"/>
      <c r="E64" s="349" t="s">
        <v>223</v>
      </c>
      <c r="F64" s="350">
        <v>10515</v>
      </c>
      <c r="G64" s="350">
        <v>0</v>
      </c>
      <c r="H64" s="350">
        <v>0</v>
      </c>
      <c r="I64" s="350">
        <v>0</v>
      </c>
      <c r="J64" s="350">
        <v>14021</v>
      </c>
      <c r="K64" s="350">
        <v>14021</v>
      </c>
      <c r="L64" s="350">
        <v>0</v>
      </c>
      <c r="M64" s="351">
        <v>14021</v>
      </c>
      <c r="N64" s="331"/>
    </row>
    <row r="65" spans="1:14" ht="183" customHeight="1" x14ac:dyDescent="0.25">
      <c r="A65" s="352"/>
      <c r="B65" s="362" t="s">
        <v>536</v>
      </c>
      <c r="C65" s="353" t="s">
        <v>537</v>
      </c>
      <c r="D65" s="353" t="s">
        <v>538</v>
      </c>
      <c r="E65" s="362"/>
      <c r="F65" s="337">
        <f>F66</f>
        <v>0</v>
      </c>
      <c r="G65" s="337">
        <f t="shared" si="41"/>
        <v>0</v>
      </c>
      <c r="H65" s="337">
        <f t="shared" si="42"/>
        <v>0</v>
      </c>
      <c r="I65" s="337">
        <f t="shared" si="43"/>
        <v>0</v>
      </c>
      <c r="J65" s="337">
        <f t="shared" si="44"/>
        <v>0</v>
      </c>
      <c r="K65" s="337">
        <f t="shared" si="45"/>
        <v>0</v>
      </c>
      <c r="L65" s="337">
        <f t="shared" si="46"/>
        <v>0</v>
      </c>
      <c r="M65" s="338">
        <f t="shared" si="47"/>
        <v>0</v>
      </c>
      <c r="N65" s="330"/>
    </row>
    <row r="66" spans="1:14" x14ac:dyDescent="0.25">
      <c r="A66" s="339"/>
      <c r="B66" s="340" t="s">
        <v>524</v>
      </c>
      <c r="C66" s="341"/>
      <c r="D66" s="341"/>
      <c r="E66" s="343"/>
      <c r="F66" s="344">
        <f>F67</f>
        <v>0</v>
      </c>
      <c r="G66" s="344">
        <f t="shared" si="41"/>
        <v>0</v>
      </c>
      <c r="H66" s="344">
        <f t="shared" si="42"/>
        <v>0</v>
      </c>
      <c r="I66" s="344">
        <f t="shared" si="43"/>
        <v>0</v>
      </c>
      <c r="J66" s="344">
        <f t="shared" si="44"/>
        <v>0</v>
      </c>
      <c r="K66" s="344">
        <f t="shared" si="45"/>
        <v>0</v>
      </c>
      <c r="L66" s="344">
        <f t="shared" si="46"/>
        <v>0</v>
      </c>
      <c r="M66" s="345">
        <f t="shared" si="47"/>
        <v>0</v>
      </c>
      <c r="N66" s="331"/>
    </row>
    <row r="67" spans="1:14" ht="33.75" customHeight="1" thickBot="1" x14ac:dyDescent="0.3">
      <c r="A67" s="346"/>
      <c r="B67" s="347"/>
      <c r="C67" s="348"/>
      <c r="D67" s="348"/>
      <c r="E67" s="349" t="s">
        <v>51</v>
      </c>
      <c r="F67" s="350">
        <v>0</v>
      </c>
      <c r="G67" s="350">
        <v>0</v>
      </c>
      <c r="H67" s="350">
        <v>0</v>
      </c>
      <c r="I67" s="350">
        <v>0</v>
      </c>
      <c r="J67" s="350">
        <v>0</v>
      </c>
      <c r="K67" s="350">
        <v>0</v>
      </c>
      <c r="L67" s="350">
        <v>0</v>
      </c>
      <c r="M67" s="351"/>
      <c r="N67" s="331"/>
    </row>
    <row r="68" spans="1:14" ht="195" x14ac:dyDescent="0.25">
      <c r="A68" s="352"/>
      <c r="B68" s="362" t="s">
        <v>539</v>
      </c>
      <c r="C68" s="353" t="s">
        <v>540</v>
      </c>
      <c r="D68" s="353" t="s">
        <v>541</v>
      </c>
      <c r="E68" s="362"/>
      <c r="F68" s="337">
        <f>F69</f>
        <v>0</v>
      </c>
      <c r="G68" s="337">
        <f t="shared" si="41"/>
        <v>0</v>
      </c>
      <c r="H68" s="337">
        <f t="shared" si="42"/>
        <v>0</v>
      </c>
      <c r="I68" s="337">
        <f t="shared" si="43"/>
        <v>0</v>
      </c>
      <c r="J68" s="337">
        <f t="shared" si="44"/>
        <v>25795</v>
      </c>
      <c r="K68" s="337">
        <f t="shared" si="45"/>
        <v>0</v>
      </c>
      <c r="L68" s="337">
        <f t="shared" si="46"/>
        <v>0</v>
      </c>
      <c r="M68" s="338">
        <f t="shared" si="47"/>
        <v>0</v>
      </c>
      <c r="N68" s="330"/>
    </row>
    <row r="69" spans="1:14" x14ac:dyDescent="0.25">
      <c r="A69" s="339"/>
      <c r="B69" s="340" t="s">
        <v>524</v>
      </c>
      <c r="C69" s="341"/>
      <c r="D69" s="341"/>
      <c r="E69" s="343"/>
      <c r="F69" s="344">
        <f>F70</f>
        <v>0</v>
      </c>
      <c r="G69" s="344">
        <f t="shared" si="41"/>
        <v>0</v>
      </c>
      <c r="H69" s="344">
        <f t="shared" si="42"/>
        <v>0</v>
      </c>
      <c r="I69" s="344">
        <f t="shared" si="43"/>
        <v>0</v>
      </c>
      <c r="J69" s="344">
        <f t="shared" si="44"/>
        <v>25795</v>
      </c>
      <c r="K69" s="344">
        <f t="shared" si="45"/>
        <v>0</v>
      </c>
      <c r="L69" s="344">
        <f t="shared" si="46"/>
        <v>0</v>
      </c>
      <c r="M69" s="345">
        <f t="shared" si="47"/>
        <v>0</v>
      </c>
      <c r="N69" s="331"/>
    </row>
    <row r="70" spans="1:14" ht="45.75" thickBot="1" x14ac:dyDescent="0.3">
      <c r="A70" s="346"/>
      <c r="B70" s="347"/>
      <c r="C70" s="348"/>
      <c r="D70" s="348"/>
      <c r="E70" s="349" t="s">
        <v>530</v>
      </c>
      <c r="F70" s="350">
        <v>0</v>
      </c>
      <c r="G70" s="350">
        <v>0</v>
      </c>
      <c r="H70" s="350">
        <v>0</v>
      </c>
      <c r="I70" s="350">
        <v>0</v>
      </c>
      <c r="J70" s="350">
        <v>25795</v>
      </c>
      <c r="K70" s="350">
        <v>0</v>
      </c>
      <c r="L70" s="350">
        <v>0</v>
      </c>
      <c r="M70" s="351">
        <v>0</v>
      </c>
      <c r="N70" s="331"/>
    </row>
    <row r="71" spans="1:14" s="2" customFormat="1" x14ac:dyDescent="0.25">
      <c r="A71" s="452" t="s">
        <v>34</v>
      </c>
      <c r="B71" s="452"/>
      <c r="C71" s="452"/>
      <c r="D71" s="452"/>
      <c r="E71" s="452"/>
      <c r="F71" s="452"/>
      <c r="G71" s="452"/>
      <c r="H71" s="452"/>
      <c r="I71" s="452"/>
      <c r="J71" s="452"/>
      <c r="K71" s="452"/>
      <c r="L71" s="452"/>
      <c r="M71" s="452"/>
      <c r="N71" s="331"/>
    </row>
    <row r="72" spans="1:14" s="2" customFormat="1" x14ac:dyDescent="0.25">
      <c r="A72" s="465" t="s">
        <v>532</v>
      </c>
      <c r="B72" s="466"/>
      <c r="C72" s="466"/>
      <c r="D72" s="466"/>
      <c r="E72" s="467"/>
      <c r="F72" s="405">
        <f>F73+F74</f>
        <v>223042</v>
      </c>
      <c r="G72" s="405">
        <f t="shared" ref="G72:M72" si="48">G73+G74</f>
        <v>0</v>
      </c>
      <c r="H72" s="405">
        <f t="shared" si="48"/>
        <v>0</v>
      </c>
      <c r="I72" s="405">
        <f t="shared" si="48"/>
        <v>0</v>
      </c>
      <c r="J72" s="405">
        <f t="shared" si="48"/>
        <v>769902</v>
      </c>
      <c r="K72" s="405">
        <f t="shared" si="48"/>
        <v>438500</v>
      </c>
      <c r="L72" s="405">
        <f t="shared" si="48"/>
        <v>474800</v>
      </c>
      <c r="M72" s="405">
        <f t="shared" si="48"/>
        <v>0</v>
      </c>
      <c r="N72" s="331"/>
    </row>
    <row r="73" spans="1:14" s="2" customFormat="1" x14ac:dyDescent="0.25">
      <c r="A73" s="453" t="s">
        <v>13</v>
      </c>
      <c r="B73" s="453"/>
      <c r="C73" s="453"/>
      <c r="D73" s="453"/>
      <c r="E73" s="453"/>
      <c r="F73" s="332">
        <f>F75+F78+F81+F84+F87+F90+F93</f>
        <v>223042</v>
      </c>
      <c r="G73" s="332">
        <f t="shared" ref="G73:M73" si="49">G75+G78+G81+G84+G87+G90+G93</f>
        <v>0</v>
      </c>
      <c r="H73" s="332">
        <f t="shared" si="49"/>
        <v>0</v>
      </c>
      <c r="I73" s="332">
        <f t="shared" si="49"/>
        <v>0</v>
      </c>
      <c r="J73" s="332">
        <f t="shared" si="49"/>
        <v>769902</v>
      </c>
      <c r="K73" s="332">
        <f t="shared" si="49"/>
        <v>438500</v>
      </c>
      <c r="L73" s="332">
        <f t="shared" si="49"/>
        <v>474800</v>
      </c>
      <c r="M73" s="332">
        <f t="shared" si="49"/>
        <v>0</v>
      </c>
      <c r="N73" s="333"/>
    </row>
    <row r="74" spans="1:14" s="2" customFormat="1" ht="16.5" thickBot="1" x14ac:dyDescent="0.3">
      <c r="A74" s="453" t="s">
        <v>524</v>
      </c>
      <c r="B74" s="453"/>
      <c r="C74" s="453"/>
      <c r="D74" s="453"/>
      <c r="E74" s="453"/>
      <c r="F74" s="332">
        <f>F97</f>
        <v>0</v>
      </c>
      <c r="G74" s="332">
        <f t="shared" ref="G74:M74" si="50">G97</f>
        <v>0</v>
      </c>
      <c r="H74" s="332">
        <f t="shared" si="50"/>
        <v>0</v>
      </c>
      <c r="I74" s="332">
        <f t="shared" si="50"/>
        <v>0</v>
      </c>
      <c r="J74" s="332">
        <f t="shared" si="50"/>
        <v>0</v>
      </c>
      <c r="K74" s="332">
        <f t="shared" si="50"/>
        <v>0</v>
      </c>
      <c r="L74" s="332">
        <f t="shared" si="50"/>
        <v>0</v>
      </c>
      <c r="M74" s="332">
        <f t="shared" si="50"/>
        <v>0</v>
      </c>
      <c r="N74" s="333"/>
    </row>
    <row r="75" spans="1:14" s="15" customFormat="1" ht="195" x14ac:dyDescent="0.25">
      <c r="A75" s="352"/>
      <c r="B75" s="353" t="s">
        <v>35</v>
      </c>
      <c r="C75" s="353" t="s">
        <v>112</v>
      </c>
      <c r="D75" s="353" t="s">
        <v>36</v>
      </c>
      <c r="E75" s="353"/>
      <c r="F75" s="337">
        <f>F76</f>
        <v>0</v>
      </c>
      <c r="G75" s="337">
        <f t="shared" ref="G75:G76" si="51">G76</f>
        <v>0</v>
      </c>
      <c r="H75" s="337">
        <f t="shared" ref="H75:H76" si="52">H76</f>
        <v>0</v>
      </c>
      <c r="I75" s="337">
        <f t="shared" ref="I75:I76" si="53">I76</f>
        <v>0</v>
      </c>
      <c r="J75" s="337">
        <f t="shared" ref="J75:J76" si="54">J76</f>
        <v>363000</v>
      </c>
      <c r="K75" s="337">
        <f t="shared" ref="K75:K76" si="55">K76</f>
        <v>363000</v>
      </c>
      <c r="L75" s="337">
        <f t="shared" ref="L75:L76" si="56">L76</f>
        <v>474800</v>
      </c>
      <c r="M75" s="338">
        <f t="shared" ref="M75:M76" si="57">M76</f>
        <v>0</v>
      </c>
      <c r="N75" s="330"/>
    </row>
    <row r="76" spans="1:14" s="15" customFormat="1" ht="28.5" x14ac:dyDescent="0.25">
      <c r="A76" s="339"/>
      <c r="B76" s="340" t="s">
        <v>13</v>
      </c>
      <c r="C76" s="341"/>
      <c r="D76" s="341"/>
      <c r="E76" s="343"/>
      <c r="F76" s="344">
        <f>F77</f>
        <v>0</v>
      </c>
      <c r="G76" s="344">
        <f t="shared" si="51"/>
        <v>0</v>
      </c>
      <c r="H76" s="344">
        <f t="shared" si="52"/>
        <v>0</v>
      </c>
      <c r="I76" s="344">
        <f t="shared" si="53"/>
        <v>0</v>
      </c>
      <c r="J76" s="344">
        <f t="shared" si="54"/>
        <v>363000</v>
      </c>
      <c r="K76" s="344">
        <f t="shared" si="55"/>
        <v>363000</v>
      </c>
      <c r="L76" s="344">
        <f t="shared" si="56"/>
        <v>474800</v>
      </c>
      <c r="M76" s="345">
        <f t="shared" si="57"/>
        <v>0</v>
      </c>
      <c r="N76" s="331"/>
    </row>
    <row r="77" spans="1:14" s="15" customFormat="1" ht="75.75" thickBot="1" x14ac:dyDescent="0.3">
      <c r="A77" s="346"/>
      <c r="B77" s="347"/>
      <c r="C77" s="348"/>
      <c r="D77" s="391" t="s">
        <v>413</v>
      </c>
      <c r="E77" s="349" t="s">
        <v>231</v>
      </c>
      <c r="F77" s="350">
        <v>0</v>
      </c>
      <c r="G77" s="350"/>
      <c r="H77" s="350"/>
      <c r="I77" s="350">
        <v>0</v>
      </c>
      <c r="J77" s="350">
        <v>363000</v>
      </c>
      <c r="K77" s="350">
        <v>363000</v>
      </c>
      <c r="L77" s="350">
        <v>474800</v>
      </c>
      <c r="M77" s="351">
        <v>0</v>
      </c>
      <c r="N77" s="331"/>
    </row>
    <row r="78" spans="1:14" s="15" customFormat="1" ht="109.5" customHeight="1" x14ac:dyDescent="0.25">
      <c r="A78" s="352"/>
      <c r="B78" s="353" t="s">
        <v>580</v>
      </c>
      <c r="C78" s="353" t="s">
        <v>37</v>
      </c>
      <c r="D78" s="353" t="s">
        <v>582</v>
      </c>
      <c r="E78" s="362"/>
      <c r="F78" s="337">
        <f>F79</f>
        <v>50000</v>
      </c>
      <c r="G78" s="337">
        <f t="shared" ref="G78:G79" si="58">G79</f>
        <v>0</v>
      </c>
      <c r="H78" s="337">
        <f t="shared" ref="H78:H79" si="59">H79</f>
        <v>0</v>
      </c>
      <c r="I78" s="337">
        <f t="shared" ref="I78:I79" si="60">I79</f>
        <v>0</v>
      </c>
      <c r="J78" s="337">
        <f t="shared" ref="J78:J79" si="61">J79</f>
        <v>200000</v>
      </c>
      <c r="K78" s="337">
        <f t="shared" ref="K78:K79" si="62">K79</f>
        <v>0</v>
      </c>
      <c r="L78" s="337">
        <f t="shared" ref="L78:L79" si="63">L79</f>
        <v>0</v>
      </c>
      <c r="M78" s="338">
        <f t="shared" ref="M78:M79" si="64">M79</f>
        <v>0</v>
      </c>
      <c r="N78" s="331"/>
    </row>
    <row r="79" spans="1:14" s="15" customFormat="1" ht="28.5" x14ac:dyDescent="0.25">
      <c r="A79" s="339"/>
      <c r="B79" s="340" t="s">
        <v>13</v>
      </c>
      <c r="C79" s="341"/>
      <c r="D79" s="341"/>
      <c r="E79" s="356"/>
      <c r="F79" s="344">
        <f>F80</f>
        <v>50000</v>
      </c>
      <c r="G79" s="344">
        <f t="shared" si="58"/>
        <v>0</v>
      </c>
      <c r="H79" s="344">
        <f t="shared" si="59"/>
        <v>0</v>
      </c>
      <c r="I79" s="344">
        <f t="shared" si="60"/>
        <v>0</v>
      </c>
      <c r="J79" s="344">
        <f t="shared" si="61"/>
        <v>200000</v>
      </c>
      <c r="K79" s="344">
        <f t="shared" si="62"/>
        <v>0</v>
      </c>
      <c r="L79" s="344">
        <f t="shared" si="63"/>
        <v>0</v>
      </c>
      <c r="M79" s="345">
        <f t="shared" si="64"/>
        <v>0</v>
      </c>
      <c r="N79" s="357">
        <f t="shared" ref="N79:N80" si="65">SUM(N78)</f>
        <v>0</v>
      </c>
    </row>
    <row r="80" spans="1:14" s="15" customFormat="1" ht="75.75" thickBot="1" x14ac:dyDescent="0.3">
      <c r="A80" s="346"/>
      <c r="B80" s="347"/>
      <c r="C80" s="348"/>
      <c r="D80" s="391" t="s">
        <v>413</v>
      </c>
      <c r="E80" s="349" t="s">
        <v>231</v>
      </c>
      <c r="F80" s="350">
        <v>50000</v>
      </c>
      <c r="G80" s="350"/>
      <c r="H80" s="350">
        <v>0</v>
      </c>
      <c r="I80" s="350">
        <v>0</v>
      </c>
      <c r="J80" s="350">
        <v>200000</v>
      </c>
      <c r="K80" s="350">
        <v>0</v>
      </c>
      <c r="L80" s="350">
        <v>0</v>
      </c>
      <c r="M80" s="351">
        <v>0</v>
      </c>
      <c r="N80" s="360">
        <f t="shared" si="65"/>
        <v>0</v>
      </c>
    </row>
    <row r="81" spans="1:14" s="15" customFormat="1" ht="255" x14ac:dyDescent="0.25">
      <c r="A81" s="352"/>
      <c r="B81" s="370" t="s">
        <v>38</v>
      </c>
      <c r="C81" s="370" t="s">
        <v>113</v>
      </c>
      <c r="D81" s="370" t="s">
        <v>114</v>
      </c>
      <c r="E81" s="371"/>
      <c r="F81" s="337">
        <f>F82</f>
        <v>8200</v>
      </c>
      <c r="G81" s="337">
        <f t="shared" ref="G81:M82" si="66">G82</f>
        <v>0</v>
      </c>
      <c r="H81" s="337">
        <f t="shared" si="66"/>
        <v>0</v>
      </c>
      <c r="I81" s="337">
        <f t="shared" si="66"/>
        <v>0</v>
      </c>
      <c r="J81" s="337">
        <f t="shared" si="66"/>
        <v>79800</v>
      </c>
      <c r="K81" s="337">
        <f t="shared" si="66"/>
        <v>54000</v>
      </c>
      <c r="L81" s="337">
        <f t="shared" si="66"/>
        <v>0</v>
      </c>
      <c r="M81" s="338">
        <f t="shared" si="66"/>
        <v>0</v>
      </c>
      <c r="N81" s="331"/>
    </row>
    <row r="82" spans="1:14" s="15" customFormat="1" ht="33" customHeight="1" x14ac:dyDescent="0.25">
      <c r="A82" s="339"/>
      <c r="B82" s="372" t="s">
        <v>13</v>
      </c>
      <c r="C82" s="373"/>
      <c r="D82" s="373"/>
      <c r="E82" s="374"/>
      <c r="F82" s="344">
        <f>F83</f>
        <v>8200</v>
      </c>
      <c r="G82" s="344">
        <f t="shared" si="66"/>
        <v>0</v>
      </c>
      <c r="H82" s="344">
        <f t="shared" si="66"/>
        <v>0</v>
      </c>
      <c r="I82" s="344">
        <f t="shared" si="66"/>
        <v>0</v>
      </c>
      <c r="J82" s="344">
        <f t="shared" si="66"/>
        <v>79800</v>
      </c>
      <c r="K82" s="344">
        <f t="shared" si="66"/>
        <v>54000</v>
      </c>
      <c r="L82" s="344">
        <f t="shared" si="66"/>
        <v>0</v>
      </c>
      <c r="M82" s="345">
        <f t="shared" si="66"/>
        <v>0</v>
      </c>
      <c r="N82" s="331"/>
    </row>
    <row r="83" spans="1:14" s="15" customFormat="1" ht="75.75" thickBot="1" x14ac:dyDescent="0.3">
      <c r="A83" s="346"/>
      <c r="B83" s="375"/>
      <c r="C83" s="376"/>
      <c r="D83" s="391" t="s">
        <v>413</v>
      </c>
      <c r="E83" s="349" t="s">
        <v>231</v>
      </c>
      <c r="F83" s="367">
        <v>8200</v>
      </c>
      <c r="G83" s="377"/>
      <c r="H83" s="367">
        <v>0</v>
      </c>
      <c r="I83" s="367">
        <v>0</v>
      </c>
      <c r="J83" s="367">
        <v>79800</v>
      </c>
      <c r="K83" s="367">
        <v>54000</v>
      </c>
      <c r="L83" s="367">
        <v>0</v>
      </c>
      <c r="M83" s="368">
        <v>0</v>
      </c>
      <c r="N83" s="331"/>
    </row>
    <row r="84" spans="1:14" s="15" customFormat="1" ht="120" x14ac:dyDescent="0.25">
      <c r="A84" s="352"/>
      <c r="B84" s="353" t="s">
        <v>39</v>
      </c>
      <c r="C84" s="353" t="s">
        <v>583</v>
      </c>
      <c r="D84" s="353" t="s">
        <v>40</v>
      </c>
      <c r="E84" s="362"/>
      <c r="F84" s="337">
        <f>F85</f>
        <v>96001</v>
      </c>
      <c r="G84" s="337">
        <f t="shared" ref="G84:G85" si="67">G85</f>
        <v>0</v>
      </c>
      <c r="H84" s="337">
        <f t="shared" ref="H84:H85" si="68">H85</f>
        <v>0</v>
      </c>
      <c r="I84" s="337">
        <f t="shared" ref="I84:I85" si="69">I85</f>
        <v>0</v>
      </c>
      <c r="J84" s="337">
        <f t="shared" ref="J84:J85" si="70">J85</f>
        <v>105602</v>
      </c>
      <c r="K84" s="337">
        <f t="shared" ref="K84:K85" si="71">K85</f>
        <v>0</v>
      </c>
      <c r="L84" s="337">
        <f t="shared" ref="L84:L85" si="72">L85</f>
        <v>0</v>
      </c>
      <c r="M84" s="338">
        <f t="shared" ref="M84:M85" si="73">M85</f>
        <v>0</v>
      </c>
      <c r="N84" s="331"/>
    </row>
    <row r="85" spans="1:14" s="15" customFormat="1" ht="28.5" x14ac:dyDescent="0.25">
      <c r="A85" s="339"/>
      <c r="B85" s="340" t="s">
        <v>13</v>
      </c>
      <c r="C85" s="341"/>
      <c r="D85" s="341"/>
      <c r="E85" s="356"/>
      <c r="F85" s="344">
        <f>F86</f>
        <v>96001</v>
      </c>
      <c r="G85" s="344">
        <f t="shared" si="67"/>
        <v>0</v>
      </c>
      <c r="H85" s="344">
        <f t="shared" si="68"/>
        <v>0</v>
      </c>
      <c r="I85" s="344">
        <f t="shared" si="69"/>
        <v>0</v>
      </c>
      <c r="J85" s="344">
        <f t="shared" si="70"/>
        <v>105602</v>
      </c>
      <c r="K85" s="344">
        <f t="shared" si="71"/>
        <v>0</v>
      </c>
      <c r="L85" s="344">
        <f t="shared" si="72"/>
        <v>0</v>
      </c>
      <c r="M85" s="345">
        <f t="shared" si="73"/>
        <v>0</v>
      </c>
      <c r="N85" s="331"/>
    </row>
    <row r="86" spans="1:14" s="15" customFormat="1" ht="75.75" thickBot="1" x14ac:dyDescent="0.3">
      <c r="A86" s="346"/>
      <c r="B86" s="347"/>
      <c r="C86" s="348"/>
      <c r="D86" s="391" t="s">
        <v>413</v>
      </c>
      <c r="E86" s="349" t="s">
        <v>231</v>
      </c>
      <c r="F86" s="350">
        <v>96001</v>
      </c>
      <c r="G86" s="350">
        <v>0</v>
      </c>
      <c r="H86" s="350">
        <v>0</v>
      </c>
      <c r="I86" s="350">
        <v>0</v>
      </c>
      <c r="J86" s="350">
        <v>105602</v>
      </c>
      <c r="K86" s="350">
        <v>0</v>
      </c>
      <c r="L86" s="350">
        <v>0</v>
      </c>
      <c r="M86" s="351">
        <v>0</v>
      </c>
      <c r="N86" s="331"/>
    </row>
    <row r="87" spans="1:14" s="15" customFormat="1" ht="195" customHeight="1" x14ac:dyDescent="0.25">
      <c r="A87" s="352"/>
      <c r="B87" s="371" t="s">
        <v>115</v>
      </c>
      <c r="C87" s="370" t="s">
        <v>116</v>
      </c>
      <c r="D87" s="370" t="s">
        <v>117</v>
      </c>
      <c r="E87" s="336"/>
      <c r="F87" s="337">
        <f>F88</f>
        <v>47341</v>
      </c>
      <c r="G87" s="337">
        <f t="shared" ref="G87:G88" si="74">G88</f>
        <v>0</v>
      </c>
      <c r="H87" s="337">
        <f t="shared" ref="H87:H88" si="75">H88</f>
        <v>0</v>
      </c>
      <c r="I87" s="337">
        <f t="shared" ref="I87:I88" si="76">I88</f>
        <v>0</v>
      </c>
      <c r="J87" s="337">
        <f t="shared" ref="J87:J88" si="77">J88</f>
        <v>0</v>
      </c>
      <c r="K87" s="337">
        <f t="shared" ref="K87:K88" si="78">K88</f>
        <v>0</v>
      </c>
      <c r="L87" s="337">
        <f t="shared" ref="L87:L88" si="79">L88</f>
        <v>0</v>
      </c>
      <c r="M87" s="338">
        <f t="shared" ref="M87:M88" si="80">M88</f>
        <v>0</v>
      </c>
      <c r="N87" s="330"/>
    </row>
    <row r="88" spans="1:14" s="15" customFormat="1" ht="28.5" x14ac:dyDescent="0.25">
      <c r="A88" s="339"/>
      <c r="B88" s="372" t="s">
        <v>13</v>
      </c>
      <c r="C88" s="373"/>
      <c r="D88" s="378"/>
      <c r="E88" s="379"/>
      <c r="F88" s="344">
        <f>F89</f>
        <v>47341</v>
      </c>
      <c r="G88" s="344">
        <f t="shared" si="74"/>
        <v>0</v>
      </c>
      <c r="H88" s="344">
        <f t="shared" si="75"/>
        <v>0</v>
      </c>
      <c r="I88" s="344">
        <f t="shared" si="76"/>
        <v>0</v>
      </c>
      <c r="J88" s="344">
        <f t="shared" si="77"/>
        <v>0</v>
      </c>
      <c r="K88" s="344">
        <f t="shared" si="78"/>
        <v>0</v>
      </c>
      <c r="L88" s="344">
        <f t="shared" si="79"/>
        <v>0</v>
      </c>
      <c r="M88" s="345">
        <f t="shared" si="80"/>
        <v>0</v>
      </c>
      <c r="N88" s="331"/>
    </row>
    <row r="89" spans="1:14" s="15" customFormat="1" ht="75.75" thickBot="1" x14ac:dyDescent="0.3">
      <c r="A89" s="346"/>
      <c r="B89" s="375"/>
      <c r="C89" s="376"/>
      <c r="D89" s="392" t="s">
        <v>415</v>
      </c>
      <c r="E89" s="349" t="s">
        <v>231</v>
      </c>
      <c r="F89" s="367">
        <v>47341</v>
      </c>
      <c r="G89" s="367">
        <v>0</v>
      </c>
      <c r="H89" s="367">
        <v>0</v>
      </c>
      <c r="I89" s="367">
        <v>0</v>
      </c>
      <c r="J89" s="367">
        <v>0</v>
      </c>
      <c r="K89" s="367">
        <v>0</v>
      </c>
      <c r="L89" s="367">
        <v>0</v>
      </c>
      <c r="M89" s="368">
        <v>0</v>
      </c>
      <c r="N89" s="331"/>
    </row>
    <row r="90" spans="1:14" s="15" customFormat="1" ht="105" x14ac:dyDescent="0.25">
      <c r="A90" s="352"/>
      <c r="B90" s="371" t="s">
        <v>118</v>
      </c>
      <c r="C90" s="370" t="s">
        <v>119</v>
      </c>
      <c r="D90" s="370" t="s">
        <v>120</v>
      </c>
      <c r="E90" s="336"/>
      <c r="F90" s="337">
        <f>F91</f>
        <v>0</v>
      </c>
      <c r="G90" s="337">
        <f t="shared" ref="G90:G91" si="81">G91</f>
        <v>0</v>
      </c>
      <c r="H90" s="337">
        <f t="shared" ref="H90:H91" si="82">H91</f>
        <v>0</v>
      </c>
      <c r="I90" s="337">
        <f t="shared" ref="I90:I91" si="83">I91</f>
        <v>0</v>
      </c>
      <c r="J90" s="337">
        <f t="shared" ref="J90:J91" si="84">J91</f>
        <v>0</v>
      </c>
      <c r="K90" s="337">
        <f t="shared" ref="K90:K91" si="85">K91</f>
        <v>0</v>
      </c>
      <c r="L90" s="337">
        <f t="shared" ref="L90:L91" si="86">L91</f>
        <v>0</v>
      </c>
      <c r="M90" s="338">
        <f t="shared" ref="M90:M91" si="87">M91</f>
        <v>0</v>
      </c>
      <c r="N90" s="330"/>
    </row>
    <row r="91" spans="1:14" s="15" customFormat="1" ht="60.75" thickBot="1" x14ac:dyDescent="0.3">
      <c r="A91" s="339"/>
      <c r="B91" s="372" t="s">
        <v>13</v>
      </c>
      <c r="C91" s="373"/>
      <c r="D91" s="373"/>
      <c r="E91" s="374" t="s">
        <v>378</v>
      </c>
      <c r="F91" s="344">
        <f>F92</f>
        <v>0</v>
      </c>
      <c r="G91" s="344">
        <f t="shared" si="81"/>
        <v>0</v>
      </c>
      <c r="H91" s="344">
        <f t="shared" si="82"/>
        <v>0</v>
      </c>
      <c r="I91" s="344">
        <f t="shared" si="83"/>
        <v>0</v>
      </c>
      <c r="J91" s="344">
        <f t="shared" si="84"/>
        <v>0</v>
      </c>
      <c r="K91" s="344">
        <f t="shared" si="85"/>
        <v>0</v>
      </c>
      <c r="L91" s="344">
        <f t="shared" si="86"/>
        <v>0</v>
      </c>
      <c r="M91" s="345">
        <f t="shared" si="87"/>
        <v>0</v>
      </c>
      <c r="N91" s="331"/>
    </row>
    <row r="92" spans="1:14" s="15" customFormat="1" ht="75.75" thickBot="1" x14ac:dyDescent="0.3">
      <c r="A92" s="346"/>
      <c r="B92" s="375"/>
      <c r="C92" s="376"/>
      <c r="D92" s="371" t="s">
        <v>415</v>
      </c>
      <c r="E92" s="349" t="s">
        <v>231</v>
      </c>
      <c r="F92" s="367">
        <v>0</v>
      </c>
      <c r="G92" s="367">
        <v>0</v>
      </c>
      <c r="H92" s="367">
        <v>0</v>
      </c>
      <c r="I92" s="367">
        <v>0</v>
      </c>
      <c r="J92" s="367">
        <v>0</v>
      </c>
      <c r="K92" s="367">
        <v>0</v>
      </c>
      <c r="L92" s="367">
        <v>0</v>
      </c>
      <c r="M92" s="368">
        <v>0</v>
      </c>
      <c r="N92" s="331"/>
    </row>
    <row r="93" spans="1:14" s="15" customFormat="1" ht="150" x14ac:dyDescent="0.25">
      <c r="A93" s="352"/>
      <c r="B93" s="362" t="s">
        <v>121</v>
      </c>
      <c r="C93" s="353" t="s">
        <v>122</v>
      </c>
      <c r="D93" s="353" t="s">
        <v>123</v>
      </c>
      <c r="E93" s="336"/>
      <c r="F93" s="337">
        <f>F94</f>
        <v>21500</v>
      </c>
      <c r="G93" s="337">
        <f t="shared" ref="G93:G97" si="88">G94</f>
        <v>0</v>
      </c>
      <c r="H93" s="337">
        <f t="shared" ref="H93:H97" si="89">H94</f>
        <v>0</v>
      </c>
      <c r="I93" s="337">
        <f t="shared" ref="I93:I97" si="90">I94</f>
        <v>0</v>
      </c>
      <c r="J93" s="337">
        <f t="shared" ref="J93:J97" si="91">J94</f>
        <v>21500</v>
      </c>
      <c r="K93" s="337">
        <f t="shared" ref="K93:K97" si="92">K94</f>
        <v>21500</v>
      </c>
      <c r="L93" s="337">
        <f t="shared" ref="L93:L97" si="93">L94</f>
        <v>0</v>
      </c>
      <c r="M93" s="338">
        <f t="shared" ref="M93:M97" si="94">M94</f>
        <v>0</v>
      </c>
      <c r="N93" s="330"/>
    </row>
    <row r="94" spans="1:14" s="15" customFormat="1" ht="28.5" x14ac:dyDescent="0.25">
      <c r="A94" s="339"/>
      <c r="B94" s="340" t="s">
        <v>13</v>
      </c>
      <c r="C94" s="341"/>
      <c r="D94" s="342"/>
      <c r="E94" s="343"/>
      <c r="F94" s="344">
        <f>F95</f>
        <v>21500</v>
      </c>
      <c r="G94" s="344">
        <f t="shared" si="88"/>
        <v>0</v>
      </c>
      <c r="H94" s="344">
        <f t="shared" si="89"/>
        <v>0</v>
      </c>
      <c r="I94" s="344">
        <f t="shared" si="90"/>
        <v>0</v>
      </c>
      <c r="J94" s="344">
        <f t="shared" si="91"/>
        <v>21500</v>
      </c>
      <c r="K94" s="344">
        <f t="shared" si="92"/>
        <v>21500</v>
      </c>
      <c r="L94" s="344">
        <f t="shared" si="93"/>
        <v>0</v>
      </c>
      <c r="M94" s="345">
        <f t="shared" si="94"/>
        <v>0</v>
      </c>
      <c r="N94" s="331"/>
    </row>
    <row r="95" spans="1:14" s="15" customFormat="1" ht="75.75" thickBot="1" x14ac:dyDescent="0.3">
      <c r="A95" s="346"/>
      <c r="B95" s="347"/>
      <c r="C95" s="348"/>
      <c r="D95" s="349" t="s">
        <v>414</v>
      </c>
      <c r="E95" s="349" t="s">
        <v>231</v>
      </c>
      <c r="F95" s="350">
        <v>21500</v>
      </c>
      <c r="G95" s="350">
        <v>0</v>
      </c>
      <c r="H95" s="350">
        <v>0</v>
      </c>
      <c r="I95" s="350">
        <v>0</v>
      </c>
      <c r="J95" s="350">
        <v>21500</v>
      </c>
      <c r="K95" s="350">
        <v>21500</v>
      </c>
      <c r="L95" s="350">
        <v>0</v>
      </c>
      <c r="M95" s="351">
        <v>0</v>
      </c>
      <c r="N95" s="331"/>
    </row>
    <row r="96" spans="1:14" s="15" customFormat="1" ht="105" x14ac:dyDescent="0.25">
      <c r="A96" s="352"/>
      <c r="B96" s="362" t="s">
        <v>584</v>
      </c>
      <c r="C96" s="353" t="s">
        <v>572</v>
      </c>
      <c r="D96" s="353" t="s">
        <v>573</v>
      </c>
      <c r="E96" s="336"/>
      <c r="F96" s="337">
        <f>F97</f>
        <v>0</v>
      </c>
      <c r="G96" s="337">
        <f t="shared" si="88"/>
        <v>0</v>
      </c>
      <c r="H96" s="337">
        <f t="shared" si="89"/>
        <v>0</v>
      </c>
      <c r="I96" s="337">
        <f t="shared" si="90"/>
        <v>0</v>
      </c>
      <c r="J96" s="337">
        <f t="shared" si="91"/>
        <v>0</v>
      </c>
      <c r="K96" s="337">
        <f t="shared" si="92"/>
        <v>0</v>
      </c>
      <c r="L96" s="337">
        <f t="shared" si="93"/>
        <v>0</v>
      </c>
      <c r="M96" s="338">
        <f t="shared" si="94"/>
        <v>0</v>
      </c>
      <c r="N96" s="330"/>
    </row>
    <row r="97" spans="1:14" s="15" customFormat="1" x14ac:dyDescent="0.25">
      <c r="A97" s="339"/>
      <c r="B97" s="340" t="s">
        <v>524</v>
      </c>
      <c r="C97" s="341"/>
      <c r="D97" s="342"/>
      <c r="E97" s="343"/>
      <c r="F97" s="344">
        <f>F98</f>
        <v>0</v>
      </c>
      <c r="G97" s="344">
        <f t="shared" si="88"/>
        <v>0</v>
      </c>
      <c r="H97" s="344">
        <f t="shared" si="89"/>
        <v>0</v>
      </c>
      <c r="I97" s="344">
        <f t="shared" si="90"/>
        <v>0</v>
      </c>
      <c r="J97" s="344">
        <f t="shared" si="91"/>
        <v>0</v>
      </c>
      <c r="K97" s="344">
        <f t="shared" si="92"/>
        <v>0</v>
      </c>
      <c r="L97" s="344">
        <f t="shared" si="93"/>
        <v>0</v>
      </c>
      <c r="M97" s="345">
        <f t="shared" si="94"/>
        <v>0</v>
      </c>
      <c r="N97" s="331"/>
    </row>
    <row r="98" spans="1:14" s="15" customFormat="1" ht="34.5" customHeight="1" thickBot="1" x14ac:dyDescent="0.3">
      <c r="A98" s="346"/>
      <c r="B98" s="347"/>
      <c r="C98" s="348"/>
      <c r="D98" s="349"/>
      <c r="E98" s="349" t="s">
        <v>51</v>
      </c>
      <c r="F98" s="350">
        <v>0</v>
      </c>
      <c r="G98" s="350">
        <v>0</v>
      </c>
      <c r="H98" s="350">
        <v>0</v>
      </c>
      <c r="I98" s="350">
        <v>0</v>
      </c>
      <c r="J98" s="350">
        <v>0</v>
      </c>
      <c r="K98" s="350">
        <v>0</v>
      </c>
      <c r="L98" s="350">
        <v>0</v>
      </c>
      <c r="M98" s="351">
        <v>0</v>
      </c>
      <c r="N98" s="331"/>
    </row>
    <row r="99" spans="1:14" s="2" customFormat="1" x14ac:dyDescent="0.25">
      <c r="A99" s="452" t="s">
        <v>41</v>
      </c>
      <c r="B99" s="452"/>
      <c r="C99" s="452"/>
      <c r="D99" s="452"/>
      <c r="E99" s="452"/>
      <c r="F99" s="452"/>
      <c r="G99" s="452"/>
      <c r="H99" s="452"/>
      <c r="I99" s="452"/>
      <c r="J99" s="452"/>
      <c r="K99" s="452"/>
      <c r="L99" s="452"/>
      <c r="M99" s="452"/>
      <c r="N99" s="331"/>
    </row>
    <row r="100" spans="1:14" s="2" customFormat="1" x14ac:dyDescent="0.25">
      <c r="A100" s="465" t="s">
        <v>533</v>
      </c>
      <c r="B100" s="466"/>
      <c r="C100" s="466"/>
      <c r="D100" s="466"/>
      <c r="E100" s="467"/>
      <c r="F100" s="405">
        <f>F101</f>
        <v>149605</v>
      </c>
      <c r="G100" s="405">
        <f t="shared" ref="G100:M100" si="95">G101</f>
        <v>21108</v>
      </c>
      <c r="H100" s="405">
        <f t="shared" si="95"/>
        <v>21108</v>
      </c>
      <c r="I100" s="405">
        <f t="shared" si="95"/>
        <v>0</v>
      </c>
      <c r="J100" s="405">
        <f t="shared" si="95"/>
        <v>297804</v>
      </c>
      <c r="K100" s="405">
        <f t="shared" si="95"/>
        <v>108462</v>
      </c>
      <c r="L100" s="405">
        <f t="shared" si="95"/>
        <v>0</v>
      </c>
      <c r="M100" s="405">
        <f t="shared" si="95"/>
        <v>108462</v>
      </c>
      <c r="N100" s="331"/>
    </row>
    <row r="101" spans="1:14" s="2" customFormat="1" ht="16.5" thickBot="1" x14ac:dyDescent="0.3">
      <c r="A101" s="453" t="s">
        <v>13</v>
      </c>
      <c r="B101" s="453"/>
      <c r="C101" s="453"/>
      <c r="D101" s="453"/>
      <c r="E101" s="453"/>
      <c r="F101" s="332">
        <f>F103+F106+F109+F112</f>
        <v>149605</v>
      </c>
      <c r="G101" s="332">
        <f t="shared" ref="G101:M101" si="96">G103+G106+G109+G112</f>
        <v>21108</v>
      </c>
      <c r="H101" s="332">
        <f t="shared" si="96"/>
        <v>21108</v>
      </c>
      <c r="I101" s="332">
        <f t="shared" si="96"/>
        <v>0</v>
      </c>
      <c r="J101" s="332">
        <f t="shared" si="96"/>
        <v>297804</v>
      </c>
      <c r="K101" s="332">
        <f t="shared" si="96"/>
        <v>108462</v>
      </c>
      <c r="L101" s="332">
        <f t="shared" si="96"/>
        <v>0</v>
      </c>
      <c r="M101" s="332">
        <f t="shared" si="96"/>
        <v>108462</v>
      </c>
      <c r="N101" s="333"/>
    </row>
    <row r="102" spans="1:14" ht="127.5" customHeight="1" x14ac:dyDescent="0.25">
      <c r="A102" s="352"/>
      <c r="B102" s="353" t="s">
        <v>44</v>
      </c>
      <c r="C102" s="353" t="s">
        <v>42</v>
      </c>
      <c r="D102" s="353" t="s">
        <v>43</v>
      </c>
      <c r="E102" s="369"/>
      <c r="F102" s="337">
        <f>F103</f>
        <v>0</v>
      </c>
      <c r="G102" s="337">
        <f t="shared" ref="G102:M103" si="97">G103</f>
        <v>0</v>
      </c>
      <c r="H102" s="337">
        <f t="shared" si="97"/>
        <v>0</v>
      </c>
      <c r="I102" s="337">
        <f t="shared" si="97"/>
        <v>0</v>
      </c>
      <c r="J102" s="337">
        <f t="shared" si="97"/>
        <v>189342</v>
      </c>
      <c r="K102" s="337">
        <f t="shared" si="97"/>
        <v>0</v>
      </c>
      <c r="L102" s="337">
        <f t="shared" si="97"/>
        <v>0</v>
      </c>
      <c r="M102" s="338">
        <f t="shared" si="97"/>
        <v>0</v>
      </c>
      <c r="N102" s="330"/>
    </row>
    <row r="103" spans="1:14" ht="28.5" x14ac:dyDescent="0.25">
      <c r="A103" s="339"/>
      <c r="B103" s="340" t="s">
        <v>13</v>
      </c>
      <c r="C103" s="341"/>
      <c r="D103" s="341"/>
      <c r="E103" s="343"/>
      <c r="F103" s="344">
        <f>F104</f>
        <v>0</v>
      </c>
      <c r="G103" s="344">
        <f t="shared" si="97"/>
        <v>0</v>
      </c>
      <c r="H103" s="344">
        <f t="shared" si="97"/>
        <v>0</v>
      </c>
      <c r="I103" s="344">
        <f t="shared" si="97"/>
        <v>0</v>
      </c>
      <c r="J103" s="344">
        <f t="shared" si="97"/>
        <v>189342</v>
      </c>
      <c r="K103" s="344">
        <f t="shared" si="97"/>
        <v>0</v>
      </c>
      <c r="L103" s="344">
        <f t="shared" si="97"/>
        <v>0</v>
      </c>
      <c r="M103" s="345">
        <f t="shared" si="97"/>
        <v>0</v>
      </c>
      <c r="N103" s="331"/>
    </row>
    <row r="104" spans="1:14" ht="105.75" thickBot="1" x14ac:dyDescent="0.3">
      <c r="A104" s="346"/>
      <c r="B104" s="347"/>
      <c r="C104" s="348"/>
      <c r="D104" s="391" t="s">
        <v>416</v>
      </c>
      <c r="E104" s="349" t="s">
        <v>231</v>
      </c>
      <c r="F104" s="350">
        <v>0</v>
      </c>
      <c r="G104" s="350">
        <v>0</v>
      </c>
      <c r="H104" s="350">
        <v>0</v>
      </c>
      <c r="I104" s="350">
        <v>0</v>
      </c>
      <c r="J104" s="350">
        <v>189342</v>
      </c>
      <c r="K104" s="350">
        <v>0</v>
      </c>
      <c r="L104" s="350">
        <v>0</v>
      </c>
      <c r="M104" s="351">
        <v>0</v>
      </c>
      <c r="N104" s="331"/>
    </row>
    <row r="105" spans="1:14" ht="180" x14ac:dyDescent="0.25">
      <c r="A105" s="352"/>
      <c r="B105" s="353" t="s">
        <v>126</v>
      </c>
      <c r="C105" s="353" t="s">
        <v>127</v>
      </c>
      <c r="D105" s="353" t="s">
        <v>128</v>
      </c>
      <c r="E105" s="380"/>
      <c r="F105" s="354">
        <f>F106</f>
        <v>97505</v>
      </c>
      <c r="G105" s="354">
        <f t="shared" ref="G105:M106" si="98">G106</f>
        <v>0</v>
      </c>
      <c r="H105" s="354">
        <f t="shared" si="98"/>
        <v>0</v>
      </c>
      <c r="I105" s="354">
        <f t="shared" si="98"/>
        <v>0</v>
      </c>
      <c r="J105" s="354">
        <f t="shared" si="98"/>
        <v>0</v>
      </c>
      <c r="K105" s="354">
        <f t="shared" si="98"/>
        <v>0</v>
      </c>
      <c r="L105" s="354">
        <f t="shared" si="98"/>
        <v>0</v>
      </c>
      <c r="M105" s="355">
        <f t="shared" si="98"/>
        <v>0</v>
      </c>
      <c r="N105" s="331"/>
    </row>
    <row r="106" spans="1:14" ht="33" customHeight="1" x14ac:dyDescent="0.25">
      <c r="A106" s="339"/>
      <c r="B106" s="340" t="s">
        <v>13</v>
      </c>
      <c r="C106" s="341"/>
      <c r="D106" s="342"/>
      <c r="E106" s="356"/>
      <c r="F106" s="344">
        <f>F107</f>
        <v>97505</v>
      </c>
      <c r="G106" s="344">
        <f t="shared" si="98"/>
        <v>0</v>
      </c>
      <c r="H106" s="344">
        <f t="shared" si="98"/>
        <v>0</v>
      </c>
      <c r="I106" s="344">
        <f t="shared" si="98"/>
        <v>0</v>
      </c>
      <c r="J106" s="344">
        <f t="shared" si="98"/>
        <v>0</v>
      </c>
      <c r="K106" s="344">
        <f t="shared" si="98"/>
        <v>0</v>
      </c>
      <c r="L106" s="344">
        <f t="shared" si="98"/>
        <v>0</v>
      </c>
      <c r="M106" s="345">
        <f t="shared" si="98"/>
        <v>0</v>
      </c>
      <c r="N106" s="331"/>
    </row>
    <row r="107" spans="1:14" ht="78" customHeight="1" thickBot="1" x14ac:dyDescent="0.3">
      <c r="A107" s="381"/>
      <c r="B107" s="382"/>
      <c r="C107" s="342"/>
      <c r="D107" s="349" t="s">
        <v>418</v>
      </c>
      <c r="E107" s="383" t="s">
        <v>231</v>
      </c>
      <c r="F107" s="384">
        <v>97505</v>
      </c>
      <c r="G107" s="384">
        <v>0</v>
      </c>
      <c r="H107" s="384">
        <v>0</v>
      </c>
      <c r="I107" s="384">
        <v>0</v>
      </c>
      <c r="J107" s="384">
        <v>0</v>
      </c>
      <c r="K107" s="384">
        <v>0</v>
      </c>
      <c r="L107" s="384">
        <v>0</v>
      </c>
      <c r="M107" s="385">
        <v>0</v>
      </c>
      <c r="N107" s="331"/>
    </row>
    <row r="108" spans="1:14" ht="45" x14ac:dyDescent="0.25">
      <c r="A108" s="352"/>
      <c r="B108" s="353" t="s">
        <v>124</v>
      </c>
      <c r="C108" s="353" t="s">
        <v>45</v>
      </c>
      <c r="D108" s="353" t="s">
        <v>46</v>
      </c>
      <c r="E108" s="362"/>
      <c r="F108" s="354">
        <f>F109</f>
        <v>0</v>
      </c>
      <c r="G108" s="354">
        <f t="shared" ref="G108:M109" si="99">G109</f>
        <v>0</v>
      </c>
      <c r="H108" s="354">
        <f t="shared" si="99"/>
        <v>0</v>
      </c>
      <c r="I108" s="354">
        <f t="shared" si="99"/>
        <v>0</v>
      </c>
      <c r="J108" s="354">
        <f t="shared" si="99"/>
        <v>67140</v>
      </c>
      <c r="K108" s="354">
        <f t="shared" si="99"/>
        <v>67140</v>
      </c>
      <c r="L108" s="354">
        <f t="shared" si="99"/>
        <v>0</v>
      </c>
      <c r="M108" s="355">
        <f t="shared" si="99"/>
        <v>67140</v>
      </c>
      <c r="N108" s="331"/>
    </row>
    <row r="109" spans="1:14" ht="33" customHeight="1" x14ac:dyDescent="0.25">
      <c r="A109" s="339"/>
      <c r="B109" s="340" t="s">
        <v>13</v>
      </c>
      <c r="C109" s="341"/>
      <c r="D109" s="341"/>
      <c r="E109" s="356"/>
      <c r="F109" s="344">
        <f>F110</f>
        <v>0</v>
      </c>
      <c r="G109" s="344">
        <f t="shared" si="99"/>
        <v>0</v>
      </c>
      <c r="H109" s="344">
        <f t="shared" si="99"/>
        <v>0</v>
      </c>
      <c r="I109" s="344">
        <f t="shared" si="99"/>
        <v>0</v>
      </c>
      <c r="J109" s="344">
        <f t="shared" si="99"/>
        <v>67140</v>
      </c>
      <c r="K109" s="344">
        <f t="shared" si="99"/>
        <v>67140</v>
      </c>
      <c r="L109" s="344">
        <f t="shared" si="99"/>
        <v>0</v>
      </c>
      <c r="M109" s="345">
        <f t="shared" si="99"/>
        <v>67140</v>
      </c>
      <c r="N109" s="331"/>
    </row>
    <row r="110" spans="1:14" ht="60.75" thickBot="1" x14ac:dyDescent="0.3">
      <c r="A110" s="346"/>
      <c r="B110" s="347"/>
      <c r="C110" s="348"/>
      <c r="D110" s="348"/>
      <c r="E110" s="349" t="s">
        <v>221</v>
      </c>
      <c r="F110" s="350">
        <v>0</v>
      </c>
      <c r="G110" s="350">
        <v>0</v>
      </c>
      <c r="H110" s="350">
        <v>0</v>
      </c>
      <c r="I110" s="350">
        <v>0</v>
      </c>
      <c r="J110" s="367">
        <v>67140</v>
      </c>
      <c r="K110" s="367">
        <v>67140</v>
      </c>
      <c r="L110" s="367">
        <f t="shared" ref="L110" si="100">L111</f>
        <v>0</v>
      </c>
      <c r="M110" s="368">
        <v>67140</v>
      </c>
      <c r="N110" s="331"/>
    </row>
    <row r="111" spans="1:14" ht="135.75" customHeight="1" x14ac:dyDescent="0.25">
      <c r="A111" s="334"/>
      <c r="B111" s="335" t="s">
        <v>125</v>
      </c>
      <c r="C111" s="335" t="s">
        <v>47</v>
      </c>
      <c r="D111" s="335" t="s">
        <v>52</v>
      </c>
      <c r="E111" s="386"/>
      <c r="F111" s="387">
        <f>F112</f>
        <v>52100</v>
      </c>
      <c r="G111" s="387">
        <f t="shared" ref="G111:G112" si="101">G112</f>
        <v>21108</v>
      </c>
      <c r="H111" s="387">
        <f t="shared" ref="H111:H112" si="102">H112</f>
        <v>21108</v>
      </c>
      <c r="I111" s="387">
        <f t="shared" ref="I111:I112" si="103">I112</f>
        <v>0</v>
      </c>
      <c r="J111" s="387">
        <f t="shared" ref="J111:J112" si="104">J112</f>
        <v>41322</v>
      </c>
      <c r="K111" s="387">
        <f t="shared" ref="K111:K112" si="105">K112</f>
        <v>41322</v>
      </c>
      <c r="L111" s="387">
        <f t="shared" ref="L111:L112" si="106">L112</f>
        <v>0</v>
      </c>
      <c r="M111" s="388">
        <f t="shared" ref="M111:M112" si="107">M112</f>
        <v>41322</v>
      </c>
      <c r="N111" s="331"/>
    </row>
    <row r="112" spans="1:14" ht="28.5" x14ac:dyDescent="0.25">
      <c r="A112" s="339"/>
      <c r="B112" s="340" t="s">
        <v>13</v>
      </c>
      <c r="C112" s="341"/>
      <c r="D112" s="341"/>
      <c r="E112" s="356"/>
      <c r="F112" s="344">
        <f>F113</f>
        <v>52100</v>
      </c>
      <c r="G112" s="344">
        <f t="shared" si="101"/>
        <v>21108</v>
      </c>
      <c r="H112" s="344">
        <f t="shared" si="102"/>
        <v>21108</v>
      </c>
      <c r="I112" s="344">
        <f t="shared" si="103"/>
        <v>0</v>
      </c>
      <c r="J112" s="344">
        <f t="shared" si="104"/>
        <v>41322</v>
      </c>
      <c r="K112" s="344">
        <f t="shared" si="105"/>
        <v>41322</v>
      </c>
      <c r="L112" s="344">
        <f t="shared" si="106"/>
        <v>0</v>
      </c>
      <c r="M112" s="345">
        <f t="shared" si="107"/>
        <v>41322</v>
      </c>
      <c r="N112" s="331"/>
    </row>
    <row r="113" spans="1:14" ht="60.75" thickBot="1" x14ac:dyDescent="0.3">
      <c r="A113" s="346"/>
      <c r="B113" s="347"/>
      <c r="C113" s="348"/>
      <c r="D113" s="348"/>
      <c r="E113" s="349" t="s">
        <v>230</v>
      </c>
      <c r="F113" s="350">
        <f>30992+21108</f>
        <v>52100</v>
      </c>
      <c r="G113" s="350">
        <v>21108</v>
      </c>
      <c r="H113" s="350">
        <v>21108</v>
      </c>
      <c r="I113" s="350">
        <v>0</v>
      </c>
      <c r="J113" s="350">
        <v>41322</v>
      </c>
      <c r="K113" s="350">
        <v>41322</v>
      </c>
      <c r="L113" s="350">
        <v>0</v>
      </c>
      <c r="M113" s="351">
        <v>41322</v>
      </c>
      <c r="N113" s="331"/>
    </row>
    <row r="114" spans="1:14" s="14" customFormat="1" ht="24" customHeight="1" x14ac:dyDescent="0.25">
      <c r="A114" s="464" t="s">
        <v>420</v>
      </c>
      <c r="B114" s="464"/>
      <c r="C114" s="464"/>
      <c r="D114" s="464"/>
      <c r="E114" s="464"/>
      <c r="F114" s="464"/>
      <c r="G114" s="464"/>
      <c r="H114" s="464"/>
      <c r="I114" s="464"/>
      <c r="J114" s="464"/>
      <c r="K114" s="464"/>
      <c r="L114" s="464"/>
      <c r="M114" s="464"/>
      <c r="N114" s="73"/>
    </row>
  </sheetData>
  <mergeCells count="29">
    <mergeCell ref="A51:E51"/>
    <mergeCell ref="A72:E72"/>
    <mergeCell ref="A100:E100"/>
    <mergeCell ref="A7:E7"/>
    <mergeCell ref="A8:E8"/>
    <mergeCell ref="A73:E73"/>
    <mergeCell ref="A114:M114"/>
    <mergeCell ref="A71:M71"/>
    <mergeCell ref="A99:M99"/>
    <mergeCell ref="A101:E101"/>
    <mergeCell ref="A74:E74"/>
    <mergeCell ref="N2:N4"/>
    <mergeCell ref="A9:M9"/>
    <mergeCell ref="A11:E11"/>
    <mergeCell ref="A50:E50"/>
    <mergeCell ref="A48:M48"/>
    <mergeCell ref="A12:E12"/>
    <mergeCell ref="A10:E10"/>
    <mergeCell ref="A49:E49"/>
    <mergeCell ref="A5:E5"/>
    <mergeCell ref="A6:E6"/>
    <mergeCell ref="A1:L1"/>
    <mergeCell ref="A2:A4"/>
    <mergeCell ref="E2:E4"/>
    <mergeCell ref="F2:H3"/>
    <mergeCell ref="I2:M2"/>
    <mergeCell ref="L3:L4"/>
    <mergeCell ref="M3:M4"/>
    <mergeCell ref="B2:D4"/>
  </mergeCells>
  <pageMargins left="0.31496062992125984" right="0.31496062992125984" top="0.35433070866141736" bottom="0.35433070866141736" header="0.31496062992125984" footer="0.31496062992125984"/>
  <pageSetup paperSize="8" scale="65" fitToHeight="0" orientation="portrait" r:id="rId1"/>
  <headerFooter>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3"/>
  <sheetViews>
    <sheetView zoomScale="90" zoomScaleNormal="90" workbookViewId="0">
      <selection activeCell="G5" sqref="G5"/>
    </sheetView>
  </sheetViews>
  <sheetFormatPr defaultColWidth="9.140625" defaultRowHeight="15.75" x14ac:dyDescent="0.25"/>
  <cols>
    <col min="1" max="1" width="21.7109375" style="106" customWidth="1"/>
    <col min="2" max="2" width="19.85546875" style="106" bestFit="1" customWidth="1"/>
    <col min="3" max="3" width="17.140625" style="106" customWidth="1"/>
    <col min="4" max="4" width="18.140625" style="106" customWidth="1"/>
    <col min="5" max="5" width="18.5703125" style="106" customWidth="1"/>
    <col min="6" max="6" width="14.140625" style="106" customWidth="1"/>
    <col min="7" max="7" width="15.85546875" style="106" bestFit="1" customWidth="1"/>
    <col min="8" max="8" width="19.140625" style="106" customWidth="1"/>
    <col min="9" max="9" width="17.140625" style="106" customWidth="1"/>
    <col min="10" max="16384" width="9.140625" style="106"/>
  </cols>
  <sheetData>
    <row r="1" spans="1:9" x14ac:dyDescent="0.25">
      <c r="G1" s="137" t="s">
        <v>543</v>
      </c>
    </row>
    <row r="2" spans="1:9" ht="32.25" customHeight="1" x14ac:dyDescent="0.25">
      <c r="A2" s="518" t="s">
        <v>424</v>
      </c>
      <c r="B2" s="518"/>
      <c r="C2" s="518"/>
      <c r="D2" s="518"/>
      <c r="E2" s="518"/>
      <c r="F2" s="518"/>
      <c r="G2" s="518"/>
      <c r="H2" s="181"/>
      <c r="I2" s="181"/>
    </row>
    <row r="4" spans="1:9" ht="59.25" customHeight="1" x14ac:dyDescent="0.25">
      <c r="A4" s="517" t="s">
        <v>200</v>
      </c>
      <c r="B4" s="517"/>
      <c r="C4" s="517"/>
      <c r="D4" s="517"/>
      <c r="E4" s="517"/>
      <c r="F4" s="517"/>
      <c r="G4" s="517"/>
      <c r="H4" s="182"/>
      <c r="I4" s="182"/>
    </row>
    <row r="5" spans="1:9" ht="78.75" x14ac:dyDescent="0.25">
      <c r="A5" s="183" t="s">
        <v>184</v>
      </c>
      <c r="B5" s="183" t="s">
        <v>185</v>
      </c>
      <c r="C5" s="183" t="s">
        <v>186</v>
      </c>
      <c r="D5" s="183" t="s">
        <v>196</v>
      </c>
      <c r="E5" s="183" t="s">
        <v>197</v>
      </c>
      <c r="F5" s="183" t="s">
        <v>198</v>
      </c>
      <c r="I5" s="184"/>
    </row>
    <row r="6" spans="1:9" ht="47.25" x14ac:dyDescent="0.25">
      <c r="A6" s="185" t="s">
        <v>202</v>
      </c>
      <c r="B6" s="186">
        <v>0.75</v>
      </c>
      <c r="C6" s="113">
        <v>150</v>
      </c>
      <c r="D6" s="187">
        <v>110</v>
      </c>
      <c r="E6" s="116">
        <v>16500</v>
      </c>
      <c r="F6" s="116">
        <f>E6/9*12</f>
        <v>22000</v>
      </c>
      <c r="I6" s="184"/>
    </row>
    <row r="7" spans="1:9" ht="15" customHeight="1" x14ac:dyDescent="0.25">
      <c r="A7" s="185" t="s">
        <v>203</v>
      </c>
      <c r="B7" s="186">
        <v>0.75</v>
      </c>
      <c r="C7" s="113">
        <v>1875</v>
      </c>
      <c r="D7" s="187">
        <v>60</v>
      </c>
      <c r="E7" s="116">
        <v>112500</v>
      </c>
      <c r="F7" s="116">
        <f t="shared" ref="F7:F10" si="0">E7/9*12</f>
        <v>150000</v>
      </c>
      <c r="I7" s="184"/>
    </row>
    <row r="8" spans="1:9" ht="31.5" x14ac:dyDescent="0.25">
      <c r="A8" s="185" t="s">
        <v>204</v>
      </c>
      <c r="B8" s="186">
        <v>1</v>
      </c>
      <c r="C8" s="113">
        <v>263</v>
      </c>
      <c r="D8" s="187">
        <v>500</v>
      </c>
      <c r="E8" s="116">
        <v>131500</v>
      </c>
      <c r="F8" s="116">
        <f t="shared" si="0"/>
        <v>175333.33333333334</v>
      </c>
      <c r="I8" s="184"/>
    </row>
    <row r="9" spans="1:9" ht="63" customHeight="1" x14ac:dyDescent="0.25">
      <c r="A9" s="185" t="s">
        <v>187</v>
      </c>
      <c r="B9" s="186">
        <v>1</v>
      </c>
      <c r="C9" s="113">
        <v>50</v>
      </c>
      <c r="D9" s="187">
        <v>80</v>
      </c>
      <c r="E9" s="116">
        <v>4000</v>
      </c>
      <c r="F9" s="116">
        <f t="shared" si="0"/>
        <v>5333.3333333333339</v>
      </c>
      <c r="I9" s="184"/>
    </row>
    <row r="10" spans="1:9" x14ac:dyDescent="0.25">
      <c r="A10" s="188" t="s">
        <v>171</v>
      </c>
      <c r="B10" s="188"/>
      <c r="C10" s="188"/>
      <c r="D10" s="188"/>
      <c r="E10" s="189">
        <v>264500</v>
      </c>
      <c r="F10" s="116">
        <f t="shared" si="0"/>
        <v>352666.66666666669</v>
      </c>
      <c r="I10" s="184"/>
    </row>
    <row r="11" spans="1:9" x14ac:dyDescent="0.25">
      <c r="I11" s="184"/>
    </row>
    <row r="12" spans="1:9" ht="65.25" customHeight="1" x14ac:dyDescent="0.25">
      <c r="A12" s="516" t="s">
        <v>205</v>
      </c>
      <c r="B12" s="516"/>
      <c r="C12" s="516"/>
      <c r="D12" s="516"/>
      <c r="E12" s="516"/>
      <c r="F12" s="516"/>
      <c r="G12" s="516"/>
      <c r="H12" s="190"/>
      <c r="I12" s="190"/>
    </row>
    <row r="13" spans="1:9" ht="78.75" x14ac:dyDescent="0.25">
      <c r="A13" s="191"/>
      <c r="B13" s="113" t="s">
        <v>194</v>
      </c>
      <c r="C13" s="113" t="s">
        <v>160</v>
      </c>
      <c r="D13" s="113" t="s">
        <v>193</v>
      </c>
      <c r="E13" s="113" t="s">
        <v>190</v>
      </c>
      <c r="F13" s="113" t="s">
        <v>191</v>
      </c>
      <c r="G13" s="183" t="s">
        <v>198</v>
      </c>
    </row>
    <row r="14" spans="1:9" x14ac:dyDescent="0.25">
      <c r="A14" s="191"/>
      <c r="B14" s="183"/>
      <c r="C14" s="183">
        <v>2019</v>
      </c>
      <c r="D14" s="183">
        <v>2019</v>
      </c>
      <c r="E14" s="183">
        <v>2019</v>
      </c>
      <c r="F14" s="183">
        <v>2019</v>
      </c>
      <c r="G14" s="183">
        <v>2020</v>
      </c>
    </row>
    <row r="15" spans="1:9" ht="78.75" x14ac:dyDescent="0.25">
      <c r="A15" s="191" t="s">
        <v>188</v>
      </c>
      <c r="B15" s="113">
        <v>37</v>
      </c>
      <c r="C15" s="192">
        <v>86580</v>
      </c>
      <c r="D15" s="192">
        <v>103822</v>
      </c>
      <c r="E15" s="192">
        <v>2340</v>
      </c>
      <c r="F15" s="192">
        <v>2573</v>
      </c>
      <c r="G15" s="189">
        <f>D15/9*12</f>
        <v>138429.33333333331</v>
      </c>
    </row>
    <row r="16" spans="1:9" ht="110.25" x14ac:dyDescent="0.25">
      <c r="A16" s="191" t="s">
        <v>189</v>
      </c>
      <c r="B16" s="113">
        <v>60</v>
      </c>
      <c r="C16" s="116">
        <v>639960</v>
      </c>
      <c r="D16" s="116">
        <v>463620</v>
      </c>
      <c r="E16" s="116">
        <v>10666</v>
      </c>
      <c r="F16" s="116">
        <v>12262</v>
      </c>
      <c r="G16" s="189">
        <f t="shared" ref="G16" si="1">D16/9*12</f>
        <v>618160</v>
      </c>
    </row>
    <row r="17" spans="1:9" x14ac:dyDescent="0.25">
      <c r="A17" s="191" t="s">
        <v>171</v>
      </c>
      <c r="B17" s="193"/>
      <c r="C17" s="121">
        <f>C15+C16</f>
        <v>726540</v>
      </c>
      <c r="D17" s="116">
        <f>D15+D16</f>
        <v>567442</v>
      </c>
      <c r="E17" s="116"/>
      <c r="F17" s="116"/>
      <c r="G17" s="189">
        <f>D17/9*12</f>
        <v>756589.33333333326</v>
      </c>
    </row>
    <row r="18" spans="1:9" x14ac:dyDescent="0.25">
      <c r="I18" s="184"/>
    </row>
    <row r="19" spans="1:9" x14ac:dyDescent="0.25">
      <c r="A19" s="515" t="s">
        <v>195</v>
      </c>
      <c r="B19" s="515"/>
      <c r="C19" s="515"/>
      <c r="D19" s="515"/>
      <c r="E19" s="515"/>
      <c r="F19" s="515"/>
      <c r="G19" s="515"/>
      <c r="I19" s="184"/>
    </row>
    <row r="20" spans="1:9" ht="63" x14ac:dyDescent="0.25">
      <c r="A20" s="194"/>
      <c r="B20" s="113" t="s">
        <v>194</v>
      </c>
      <c r="C20" s="113" t="s">
        <v>193</v>
      </c>
      <c r="D20" s="113" t="s">
        <v>191</v>
      </c>
      <c r="E20" s="183" t="s">
        <v>198</v>
      </c>
      <c r="H20" s="184"/>
      <c r="I20" s="195"/>
    </row>
    <row r="21" spans="1:9" x14ac:dyDescent="0.25">
      <c r="A21" s="194"/>
      <c r="B21" s="183"/>
      <c r="C21" s="183">
        <v>2019</v>
      </c>
      <c r="D21" s="183">
        <v>2019</v>
      </c>
      <c r="E21" s="193">
        <v>2020</v>
      </c>
      <c r="H21" s="184"/>
      <c r="I21" s="195"/>
    </row>
    <row r="22" spans="1:9" ht="78.75" x14ac:dyDescent="0.25">
      <c r="A22" s="196" t="s">
        <v>192</v>
      </c>
      <c r="B22" s="197">
        <v>547.5</v>
      </c>
      <c r="C22" s="189">
        <v>410625</v>
      </c>
      <c r="D22" s="189">
        <v>750</v>
      </c>
      <c r="E22" s="189">
        <f>C22/9*12</f>
        <v>547500</v>
      </c>
      <c r="H22" s="184"/>
      <c r="I22" s="195"/>
    </row>
    <row r="23" spans="1:9" x14ac:dyDescent="0.25">
      <c r="I23" s="184"/>
    </row>
    <row r="24" spans="1:9" ht="78.75" x14ac:dyDescent="0.25">
      <c r="A24" s="194"/>
      <c r="B24" s="113" t="s">
        <v>402</v>
      </c>
      <c r="C24" s="113" t="s">
        <v>199</v>
      </c>
      <c r="I24" s="184"/>
    </row>
    <row r="25" spans="1:9" x14ac:dyDescent="0.25">
      <c r="A25" s="198" t="s">
        <v>206</v>
      </c>
      <c r="B25" s="199">
        <f>E10+D17+C22</f>
        <v>1242567</v>
      </c>
      <c r="C25" s="199">
        <f>F10+G17+E22</f>
        <v>1656756</v>
      </c>
      <c r="I25" s="184"/>
    </row>
    <row r="26" spans="1:9" x14ac:dyDescent="0.25">
      <c r="I26" s="184"/>
    </row>
    <row r="27" spans="1:9" s="109" customFormat="1" ht="52.5" customHeight="1" x14ac:dyDescent="0.25">
      <c r="A27" s="497" t="s">
        <v>430</v>
      </c>
      <c r="B27" s="497"/>
      <c r="C27" s="497"/>
      <c r="D27" s="497"/>
      <c r="E27" s="497"/>
      <c r="F27" s="497"/>
      <c r="G27" s="497"/>
      <c r="H27" s="72"/>
      <c r="I27" s="72"/>
    </row>
    <row r="28" spans="1:9" x14ac:dyDescent="0.25">
      <c r="I28" s="184"/>
    </row>
    <row r="29" spans="1:9" x14ac:dyDescent="0.25">
      <c r="I29" s="184"/>
    </row>
    <row r="30" spans="1:9" x14ac:dyDescent="0.25">
      <c r="I30" s="184"/>
    </row>
    <row r="31" spans="1:9" x14ac:dyDescent="0.25">
      <c r="I31" s="184"/>
    </row>
    <row r="32" spans="1:9" x14ac:dyDescent="0.25">
      <c r="I32" s="184"/>
    </row>
    <row r="33" spans="9:9" x14ac:dyDescent="0.25">
      <c r="I33" s="184"/>
    </row>
    <row r="34" spans="9:9" x14ac:dyDescent="0.25">
      <c r="I34" s="184"/>
    </row>
    <row r="35" spans="9:9" x14ac:dyDescent="0.25">
      <c r="I35" s="184"/>
    </row>
    <row r="36" spans="9:9" x14ac:dyDescent="0.25">
      <c r="I36" s="184"/>
    </row>
    <row r="37" spans="9:9" x14ac:dyDescent="0.25">
      <c r="I37" s="184"/>
    </row>
    <row r="38" spans="9:9" x14ac:dyDescent="0.25">
      <c r="I38" s="184"/>
    </row>
    <row r="39" spans="9:9" x14ac:dyDescent="0.25">
      <c r="I39" s="184"/>
    </row>
    <row r="40" spans="9:9" x14ac:dyDescent="0.25">
      <c r="I40" s="184"/>
    </row>
    <row r="41" spans="9:9" x14ac:dyDescent="0.25">
      <c r="I41" s="184"/>
    </row>
    <row r="42" spans="9:9" x14ac:dyDescent="0.25">
      <c r="I42" s="184"/>
    </row>
    <row r="43" spans="9:9" x14ac:dyDescent="0.25">
      <c r="I43" s="184"/>
    </row>
    <row r="44" spans="9:9" x14ac:dyDescent="0.25">
      <c r="I44" s="184"/>
    </row>
    <row r="45" spans="9:9" x14ac:dyDescent="0.25">
      <c r="I45" s="184"/>
    </row>
    <row r="46" spans="9:9" x14ac:dyDescent="0.25">
      <c r="I46" s="184"/>
    </row>
    <row r="47" spans="9:9" x14ac:dyDescent="0.25">
      <c r="I47" s="184"/>
    </row>
    <row r="48" spans="9:9" x14ac:dyDescent="0.25">
      <c r="I48" s="184"/>
    </row>
    <row r="49" spans="9:9" x14ac:dyDescent="0.25">
      <c r="I49" s="184"/>
    </row>
    <row r="50" spans="9:9" x14ac:dyDescent="0.25">
      <c r="I50" s="184"/>
    </row>
    <row r="51" spans="9:9" x14ac:dyDescent="0.25">
      <c r="I51" s="184"/>
    </row>
    <row r="52" spans="9:9" x14ac:dyDescent="0.25">
      <c r="I52" s="184"/>
    </row>
    <row r="53" spans="9:9" x14ac:dyDescent="0.25">
      <c r="I53" s="184"/>
    </row>
    <row r="54" spans="9:9" x14ac:dyDescent="0.25">
      <c r="I54" s="184"/>
    </row>
    <row r="55" spans="9:9" x14ac:dyDescent="0.25">
      <c r="I55" s="184"/>
    </row>
    <row r="56" spans="9:9" x14ac:dyDescent="0.25">
      <c r="I56" s="184"/>
    </row>
    <row r="57" spans="9:9" x14ac:dyDescent="0.25">
      <c r="I57" s="184"/>
    </row>
    <row r="58" spans="9:9" x14ac:dyDescent="0.25">
      <c r="I58" s="184"/>
    </row>
    <row r="59" spans="9:9" x14ac:dyDescent="0.25">
      <c r="I59" s="184"/>
    </row>
    <row r="60" spans="9:9" x14ac:dyDescent="0.25">
      <c r="I60" s="184"/>
    </row>
    <row r="61" spans="9:9" x14ac:dyDescent="0.25">
      <c r="I61" s="184"/>
    </row>
    <row r="62" spans="9:9" x14ac:dyDescent="0.25">
      <c r="I62" s="184"/>
    </row>
    <row r="63" spans="9:9" x14ac:dyDescent="0.25">
      <c r="I63" s="184"/>
    </row>
    <row r="64" spans="9:9" x14ac:dyDescent="0.25">
      <c r="I64" s="184"/>
    </row>
    <row r="65" spans="9:9" x14ac:dyDescent="0.25">
      <c r="I65" s="184"/>
    </row>
    <row r="66" spans="9:9" x14ac:dyDescent="0.25">
      <c r="I66" s="184"/>
    </row>
    <row r="67" spans="9:9" x14ac:dyDescent="0.25">
      <c r="I67" s="184"/>
    </row>
    <row r="68" spans="9:9" x14ac:dyDescent="0.25">
      <c r="I68" s="184"/>
    </row>
    <row r="69" spans="9:9" x14ac:dyDescent="0.25">
      <c r="I69" s="184"/>
    </row>
    <row r="70" spans="9:9" x14ac:dyDescent="0.25">
      <c r="I70" s="184"/>
    </row>
    <row r="71" spans="9:9" x14ac:dyDescent="0.25">
      <c r="I71" s="184"/>
    </row>
    <row r="72" spans="9:9" x14ac:dyDescent="0.25">
      <c r="I72" s="184"/>
    </row>
    <row r="73" spans="9:9" x14ac:dyDescent="0.25">
      <c r="I73" s="184"/>
    </row>
    <row r="74" spans="9:9" x14ac:dyDescent="0.25">
      <c r="I74" s="184"/>
    </row>
    <row r="75" spans="9:9" x14ac:dyDescent="0.25">
      <c r="I75" s="184"/>
    </row>
    <row r="76" spans="9:9" x14ac:dyDescent="0.25">
      <c r="I76" s="184"/>
    </row>
    <row r="77" spans="9:9" x14ac:dyDescent="0.25">
      <c r="I77" s="184"/>
    </row>
    <row r="78" spans="9:9" x14ac:dyDescent="0.25">
      <c r="I78" s="184"/>
    </row>
    <row r="79" spans="9:9" x14ac:dyDescent="0.25">
      <c r="I79" s="184"/>
    </row>
    <row r="80" spans="9:9" x14ac:dyDescent="0.25">
      <c r="I80" s="184"/>
    </row>
    <row r="81" spans="9:9" x14ac:dyDescent="0.25">
      <c r="I81" s="184"/>
    </row>
    <row r="82" spans="9:9" x14ac:dyDescent="0.25">
      <c r="I82" s="184"/>
    </row>
    <row r="83" spans="9:9" x14ac:dyDescent="0.25">
      <c r="I83" s="184"/>
    </row>
    <row r="84" spans="9:9" x14ac:dyDescent="0.25">
      <c r="I84" s="184"/>
    </row>
    <row r="85" spans="9:9" x14ac:dyDescent="0.25">
      <c r="I85" s="184"/>
    </row>
    <row r="86" spans="9:9" x14ac:dyDescent="0.25">
      <c r="I86" s="184"/>
    </row>
    <row r="87" spans="9:9" x14ac:dyDescent="0.25">
      <c r="I87" s="184"/>
    </row>
    <row r="88" spans="9:9" x14ac:dyDescent="0.25">
      <c r="I88" s="184"/>
    </row>
    <row r="89" spans="9:9" x14ac:dyDescent="0.25">
      <c r="I89" s="184"/>
    </row>
    <row r="90" spans="9:9" x14ac:dyDescent="0.25">
      <c r="I90" s="184"/>
    </row>
    <row r="91" spans="9:9" x14ac:dyDescent="0.25">
      <c r="I91" s="184"/>
    </row>
    <row r="92" spans="9:9" x14ac:dyDescent="0.25">
      <c r="I92" s="184"/>
    </row>
    <row r="93" spans="9:9" x14ac:dyDescent="0.25">
      <c r="I93" s="184"/>
    </row>
    <row r="94" spans="9:9" x14ac:dyDescent="0.25">
      <c r="I94" s="184"/>
    </row>
    <row r="95" spans="9:9" x14ac:dyDescent="0.25">
      <c r="I95" s="184"/>
    </row>
    <row r="96" spans="9:9" x14ac:dyDescent="0.25">
      <c r="I96" s="184"/>
    </row>
    <row r="97" spans="9:9" x14ac:dyDescent="0.25">
      <c r="I97" s="184"/>
    </row>
    <row r="98" spans="9:9" x14ac:dyDescent="0.25">
      <c r="I98" s="184"/>
    </row>
    <row r="99" spans="9:9" x14ac:dyDescent="0.25">
      <c r="I99" s="184"/>
    </row>
    <row r="100" spans="9:9" x14ac:dyDescent="0.25">
      <c r="I100" s="184"/>
    </row>
    <row r="101" spans="9:9" x14ac:dyDescent="0.25">
      <c r="I101" s="184"/>
    </row>
    <row r="102" spans="9:9" x14ac:dyDescent="0.25">
      <c r="I102" s="184"/>
    </row>
    <row r="103" spans="9:9" x14ac:dyDescent="0.25">
      <c r="I103" s="184"/>
    </row>
    <row r="104" spans="9:9" x14ac:dyDescent="0.25">
      <c r="I104" s="184"/>
    </row>
    <row r="105" spans="9:9" x14ac:dyDescent="0.25">
      <c r="I105" s="184"/>
    </row>
    <row r="106" spans="9:9" x14ac:dyDescent="0.25">
      <c r="I106" s="184"/>
    </row>
    <row r="107" spans="9:9" x14ac:dyDescent="0.25">
      <c r="I107" s="184"/>
    </row>
    <row r="108" spans="9:9" x14ac:dyDescent="0.25">
      <c r="I108" s="184"/>
    </row>
    <row r="109" spans="9:9" x14ac:dyDescent="0.25">
      <c r="I109" s="184"/>
    </row>
    <row r="110" spans="9:9" x14ac:dyDescent="0.25">
      <c r="I110" s="184"/>
    </row>
    <row r="111" spans="9:9" x14ac:dyDescent="0.25">
      <c r="I111" s="184"/>
    </row>
    <row r="112" spans="9:9" x14ac:dyDescent="0.25">
      <c r="I112" s="184"/>
    </row>
    <row r="113" spans="9:9" x14ac:dyDescent="0.25">
      <c r="I113" s="184"/>
    </row>
    <row r="114" spans="9:9" x14ac:dyDescent="0.25">
      <c r="I114" s="184"/>
    </row>
    <row r="115" spans="9:9" x14ac:dyDescent="0.25">
      <c r="I115" s="184"/>
    </row>
    <row r="116" spans="9:9" x14ac:dyDescent="0.25">
      <c r="I116" s="184"/>
    </row>
    <row r="117" spans="9:9" x14ac:dyDescent="0.25">
      <c r="I117" s="184"/>
    </row>
    <row r="118" spans="9:9" x14ac:dyDescent="0.25">
      <c r="I118" s="184"/>
    </row>
    <row r="119" spans="9:9" x14ac:dyDescent="0.25">
      <c r="I119" s="184"/>
    </row>
    <row r="120" spans="9:9" x14ac:dyDescent="0.25">
      <c r="I120" s="184"/>
    </row>
    <row r="121" spans="9:9" x14ac:dyDescent="0.25">
      <c r="I121" s="184"/>
    </row>
    <row r="122" spans="9:9" x14ac:dyDescent="0.25">
      <c r="I122" s="184"/>
    </row>
    <row r="123" spans="9:9" x14ac:dyDescent="0.25">
      <c r="I123" s="184"/>
    </row>
    <row r="124" spans="9:9" x14ac:dyDescent="0.25">
      <c r="I124" s="184"/>
    </row>
    <row r="125" spans="9:9" x14ac:dyDescent="0.25">
      <c r="I125" s="184"/>
    </row>
    <row r="126" spans="9:9" x14ac:dyDescent="0.25">
      <c r="I126" s="184"/>
    </row>
    <row r="127" spans="9:9" x14ac:dyDescent="0.25">
      <c r="I127" s="184"/>
    </row>
    <row r="128" spans="9:9" x14ac:dyDescent="0.25">
      <c r="I128" s="184"/>
    </row>
    <row r="129" spans="9:9" x14ac:dyDescent="0.25">
      <c r="I129" s="184"/>
    </row>
    <row r="130" spans="9:9" x14ac:dyDescent="0.25">
      <c r="I130" s="184"/>
    </row>
    <row r="131" spans="9:9" x14ac:dyDescent="0.25">
      <c r="I131" s="184"/>
    </row>
    <row r="132" spans="9:9" x14ac:dyDescent="0.25">
      <c r="I132" s="184"/>
    </row>
    <row r="133" spans="9:9" x14ac:dyDescent="0.25">
      <c r="I133" s="184"/>
    </row>
    <row r="134" spans="9:9" x14ac:dyDescent="0.25">
      <c r="I134" s="184"/>
    </row>
    <row r="135" spans="9:9" x14ac:dyDescent="0.25">
      <c r="I135" s="184"/>
    </row>
    <row r="136" spans="9:9" ht="53.45" customHeight="1" x14ac:dyDescent="0.25">
      <c r="I136" s="184"/>
    </row>
    <row r="137" spans="9:9" ht="50.25" customHeight="1" x14ac:dyDescent="0.25">
      <c r="I137" s="184"/>
    </row>
    <row r="138" spans="9:9" x14ac:dyDescent="0.25">
      <c r="I138" s="184"/>
    </row>
    <row r="139" spans="9:9" x14ac:dyDescent="0.25">
      <c r="I139" s="184"/>
    </row>
    <row r="140" spans="9:9" x14ac:dyDescent="0.25">
      <c r="I140" s="184"/>
    </row>
    <row r="141" spans="9:9" x14ac:dyDescent="0.25">
      <c r="I141" s="184"/>
    </row>
    <row r="142" spans="9:9" ht="30.75" customHeight="1" x14ac:dyDescent="0.25">
      <c r="I142" s="184"/>
    </row>
    <row r="143" spans="9:9" ht="27.75" customHeight="1" x14ac:dyDescent="0.25">
      <c r="I143" s="184"/>
    </row>
    <row r="144" spans="9:9" x14ac:dyDescent="0.25">
      <c r="I144" s="184"/>
    </row>
    <row r="145" spans="9:9" x14ac:dyDescent="0.25">
      <c r="I145" s="184"/>
    </row>
    <row r="146" spans="9:9" x14ac:dyDescent="0.25">
      <c r="I146" s="184"/>
    </row>
    <row r="147" spans="9:9" x14ac:dyDescent="0.25">
      <c r="I147" s="184"/>
    </row>
    <row r="148" spans="9:9" x14ac:dyDescent="0.25">
      <c r="I148" s="184"/>
    </row>
    <row r="149" spans="9:9" x14ac:dyDescent="0.25">
      <c r="I149" s="184"/>
    </row>
    <row r="150" spans="9:9" x14ac:dyDescent="0.25">
      <c r="I150" s="184"/>
    </row>
    <row r="151" spans="9:9" x14ac:dyDescent="0.25">
      <c r="I151" s="184"/>
    </row>
    <row r="152" spans="9:9" x14ac:dyDescent="0.25">
      <c r="I152" s="184"/>
    </row>
    <row r="153" spans="9:9" x14ac:dyDescent="0.25">
      <c r="I153" s="184"/>
    </row>
    <row r="154" spans="9:9" x14ac:dyDescent="0.25">
      <c r="I154" s="184"/>
    </row>
    <row r="155" spans="9:9" x14ac:dyDescent="0.25">
      <c r="I155" s="184"/>
    </row>
    <row r="156" spans="9:9" x14ac:dyDescent="0.25">
      <c r="I156" s="184"/>
    </row>
    <row r="157" spans="9:9" x14ac:dyDescent="0.25">
      <c r="I157" s="184"/>
    </row>
    <row r="158" spans="9:9" x14ac:dyDescent="0.25">
      <c r="I158" s="184"/>
    </row>
    <row r="159" spans="9:9" x14ac:dyDescent="0.25">
      <c r="I159" s="184"/>
    </row>
    <row r="160" spans="9:9" x14ac:dyDescent="0.25">
      <c r="I160" s="184"/>
    </row>
    <row r="161" spans="9:9" x14ac:dyDescent="0.25">
      <c r="I161" s="184"/>
    </row>
    <row r="162" spans="9:9" x14ac:dyDescent="0.25">
      <c r="I162" s="184"/>
    </row>
    <row r="163" spans="9:9" x14ac:dyDescent="0.25">
      <c r="I163" s="184"/>
    </row>
    <row r="164" spans="9:9" x14ac:dyDescent="0.25">
      <c r="I164" s="184"/>
    </row>
    <row r="165" spans="9:9" x14ac:dyDescent="0.25">
      <c r="I165" s="184"/>
    </row>
    <row r="166" spans="9:9" x14ac:dyDescent="0.25">
      <c r="I166" s="184"/>
    </row>
    <row r="167" spans="9:9" x14ac:dyDescent="0.25">
      <c r="I167" s="184"/>
    </row>
    <row r="168" spans="9:9" x14ac:dyDescent="0.25">
      <c r="I168" s="184"/>
    </row>
    <row r="169" spans="9:9" x14ac:dyDescent="0.25">
      <c r="I169" s="184"/>
    </row>
    <row r="170" spans="9:9" x14ac:dyDescent="0.25">
      <c r="I170" s="184"/>
    </row>
    <row r="171" spans="9:9" x14ac:dyDescent="0.25">
      <c r="I171" s="184"/>
    </row>
    <row r="172" spans="9:9" x14ac:dyDescent="0.25">
      <c r="I172" s="184"/>
    </row>
    <row r="173" spans="9:9" x14ac:dyDescent="0.25">
      <c r="I173" s="184"/>
    </row>
    <row r="174" spans="9:9" x14ac:dyDescent="0.25">
      <c r="I174" s="184"/>
    </row>
    <row r="175" spans="9:9" x14ac:dyDescent="0.25">
      <c r="I175" s="184"/>
    </row>
    <row r="176" spans="9:9" x14ac:dyDescent="0.25">
      <c r="I176" s="184"/>
    </row>
    <row r="177" spans="9:9" x14ac:dyDescent="0.25">
      <c r="I177" s="184"/>
    </row>
    <row r="178" spans="9:9" x14ac:dyDescent="0.25">
      <c r="I178" s="184"/>
    </row>
    <row r="179" spans="9:9" x14ac:dyDescent="0.25">
      <c r="I179" s="184"/>
    </row>
    <row r="180" spans="9:9" x14ac:dyDescent="0.25">
      <c r="I180" s="184"/>
    </row>
    <row r="181" spans="9:9" x14ac:dyDescent="0.25">
      <c r="I181" s="184"/>
    </row>
    <row r="182" spans="9:9" x14ac:dyDescent="0.25">
      <c r="I182" s="184"/>
    </row>
    <row r="183" spans="9:9" x14ac:dyDescent="0.25">
      <c r="I183" s="184"/>
    </row>
    <row r="184" spans="9:9" x14ac:dyDescent="0.25">
      <c r="I184" s="184"/>
    </row>
    <row r="185" spans="9:9" x14ac:dyDescent="0.25">
      <c r="I185" s="184"/>
    </row>
    <row r="186" spans="9:9" x14ac:dyDescent="0.25">
      <c r="I186" s="184"/>
    </row>
    <row r="187" spans="9:9" x14ac:dyDescent="0.25">
      <c r="I187" s="184"/>
    </row>
    <row r="188" spans="9:9" x14ac:dyDescent="0.25">
      <c r="I188" s="184"/>
    </row>
    <row r="189" spans="9:9" x14ac:dyDescent="0.25">
      <c r="I189" s="184"/>
    </row>
    <row r="190" spans="9:9" x14ac:dyDescent="0.25">
      <c r="I190" s="184"/>
    </row>
    <row r="191" spans="9:9" x14ac:dyDescent="0.25">
      <c r="I191" s="184"/>
    </row>
    <row r="192" spans="9:9" x14ac:dyDescent="0.25">
      <c r="I192" s="184"/>
    </row>
    <row r="193" spans="9:9" x14ac:dyDescent="0.25">
      <c r="I193" s="184"/>
    </row>
    <row r="194" spans="9:9" x14ac:dyDescent="0.25">
      <c r="I194" s="184"/>
    </row>
    <row r="195" spans="9:9" x14ac:dyDescent="0.25">
      <c r="I195" s="184"/>
    </row>
    <row r="196" spans="9:9" x14ac:dyDescent="0.25">
      <c r="I196" s="184"/>
    </row>
    <row r="197" spans="9:9" x14ac:dyDescent="0.25">
      <c r="I197" s="184"/>
    </row>
    <row r="198" spans="9:9" x14ac:dyDescent="0.25">
      <c r="I198" s="184"/>
    </row>
    <row r="199" spans="9:9" x14ac:dyDescent="0.25">
      <c r="I199" s="184"/>
    </row>
    <row r="200" spans="9:9" x14ac:dyDescent="0.25">
      <c r="I200" s="184"/>
    </row>
    <row r="201" spans="9:9" x14ac:dyDescent="0.25">
      <c r="I201" s="184"/>
    </row>
    <row r="202" spans="9:9" x14ac:dyDescent="0.25">
      <c r="I202" s="184"/>
    </row>
    <row r="203" spans="9:9" x14ac:dyDescent="0.25">
      <c r="I203" s="184"/>
    </row>
    <row r="204" spans="9:9" x14ac:dyDescent="0.25">
      <c r="I204" s="184"/>
    </row>
    <row r="205" spans="9:9" x14ac:dyDescent="0.25">
      <c r="I205" s="184"/>
    </row>
    <row r="206" spans="9:9" x14ac:dyDescent="0.25">
      <c r="I206" s="184"/>
    </row>
    <row r="207" spans="9:9" x14ac:dyDescent="0.25">
      <c r="I207" s="184"/>
    </row>
    <row r="208" spans="9:9" x14ac:dyDescent="0.25">
      <c r="I208" s="184"/>
    </row>
    <row r="209" spans="9:9" x14ac:dyDescent="0.25">
      <c r="I209" s="195"/>
    </row>
    <row r="210" spans="9:9" x14ac:dyDescent="0.25">
      <c r="I210" s="195"/>
    </row>
    <row r="211" spans="9:9" ht="16.5" customHeight="1" x14ac:dyDescent="0.25">
      <c r="I211" s="195"/>
    </row>
    <row r="212" spans="9:9" ht="35.450000000000003" customHeight="1" x14ac:dyDescent="0.25">
      <c r="I212" s="195"/>
    </row>
    <row r="213" spans="9:9" ht="6.75" customHeight="1" x14ac:dyDescent="0.25">
      <c r="I213" s="195"/>
    </row>
    <row r="214" spans="9:9" x14ac:dyDescent="0.25">
      <c r="I214" s="195"/>
    </row>
    <row r="215" spans="9:9" x14ac:dyDescent="0.25">
      <c r="I215" s="195"/>
    </row>
    <row r="216" spans="9:9" x14ac:dyDescent="0.25">
      <c r="I216" s="195"/>
    </row>
    <row r="217" spans="9:9" x14ac:dyDescent="0.25">
      <c r="I217" s="195"/>
    </row>
    <row r="218" spans="9:9" x14ac:dyDescent="0.25">
      <c r="I218" s="195"/>
    </row>
    <row r="219" spans="9:9" x14ac:dyDescent="0.25">
      <c r="I219" s="195"/>
    </row>
    <row r="220" spans="9:9" x14ac:dyDescent="0.25">
      <c r="I220" s="195"/>
    </row>
    <row r="221" spans="9:9" x14ac:dyDescent="0.25">
      <c r="I221" s="195"/>
    </row>
    <row r="222" spans="9:9" x14ac:dyDescent="0.25">
      <c r="I222" s="195"/>
    </row>
    <row r="223" spans="9:9" x14ac:dyDescent="0.25">
      <c r="I223" s="195"/>
    </row>
    <row r="224" spans="9:9" x14ac:dyDescent="0.25">
      <c r="I224" s="195"/>
    </row>
    <row r="225" spans="9:9" x14ac:dyDescent="0.25">
      <c r="I225" s="195"/>
    </row>
    <row r="226" spans="9:9" x14ac:dyDescent="0.25">
      <c r="I226" s="195"/>
    </row>
    <row r="227" spans="9:9" ht="109.5" customHeight="1" x14ac:dyDescent="0.25">
      <c r="I227" s="195"/>
    </row>
    <row r="228" spans="9:9" x14ac:dyDescent="0.25">
      <c r="I228" s="195"/>
    </row>
    <row r="229" spans="9:9" x14ac:dyDescent="0.25">
      <c r="I229" s="195"/>
    </row>
    <row r="230" spans="9:9" x14ac:dyDescent="0.25">
      <c r="I230" s="195"/>
    </row>
    <row r="231" spans="9:9" x14ac:dyDescent="0.25">
      <c r="I231" s="195"/>
    </row>
    <row r="232" spans="9:9" x14ac:dyDescent="0.25">
      <c r="I232" s="195"/>
    </row>
    <row r="233" spans="9:9" x14ac:dyDescent="0.25">
      <c r="I233" s="195"/>
    </row>
  </sheetData>
  <mergeCells count="5">
    <mergeCell ref="A19:G19"/>
    <mergeCell ref="A12:G12"/>
    <mergeCell ref="A4:G4"/>
    <mergeCell ref="A2:G2"/>
    <mergeCell ref="A27:G27"/>
  </mergeCell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A2864-0562-4D95-AF05-3E3667477EAC}">
  <dimension ref="A1:I131"/>
  <sheetViews>
    <sheetView zoomScale="90" zoomScaleNormal="90" workbookViewId="0">
      <selection activeCell="D12" sqref="D12"/>
    </sheetView>
  </sheetViews>
  <sheetFormatPr defaultColWidth="9.140625" defaultRowHeight="15.75" x14ac:dyDescent="0.25"/>
  <cols>
    <col min="1" max="1" width="21.7109375" style="106" customWidth="1"/>
    <col min="2" max="2" width="19.85546875" style="106" bestFit="1" customWidth="1"/>
    <col min="3" max="3" width="17.140625" style="106" customWidth="1"/>
    <col min="4" max="4" width="18.140625" style="106" customWidth="1"/>
    <col min="5" max="5" width="18.5703125" style="106" customWidth="1"/>
    <col min="6" max="6" width="14.140625" style="106" customWidth="1"/>
    <col min="7" max="7" width="15.85546875" style="106" bestFit="1" customWidth="1"/>
    <col min="8" max="8" width="19.140625" style="106" customWidth="1"/>
    <col min="9" max="9" width="17.140625" style="106" customWidth="1"/>
    <col min="10" max="16384" width="9.140625" style="106"/>
  </cols>
  <sheetData>
    <row r="1" spans="1:9" x14ac:dyDescent="0.25">
      <c r="G1" s="137" t="s">
        <v>544</v>
      </c>
    </row>
    <row r="2" spans="1:9" ht="27.75" customHeight="1" x14ac:dyDescent="0.25">
      <c r="A2" s="476" t="s">
        <v>526</v>
      </c>
      <c r="B2" s="476"/>
      <c r="C2" s="476"/>
      <c r="D2" s="476"/>
      <c r="E2" s="476"/>
      <c r="F2" s="476"/>
      <c r="G2" s="476"/>
      <c r="H2" s="181"/>
      <c r="I2" s="181"/>
    </row>
    <row r="4" spans="1:9" ht="46.5" customHeight="1" x14ac:dyDescent="0.25">
      <c r="A4" s="519" t="s">
        <v>531</v>
      </c>
      <c r="B4" s="519"/>
      <c r="C4" s="519"/>
      <c r="D4" s="519"/>
      <c r="E4" s="519"/>
      <c r="F4" s="519"/>
      <c r="G4" s="519"/>
      <c r="I4" s="184"/>
    </row>
    <row r="5" spans="1:9" x14ac:dyDescent="0.25">
      <c r="A5" s="106" t="s">
        <v>571</v>
      </c>
      <c r="I5" s="184"/>
    </row>
    <row r="6" spans="1:9" x14ac:dyDescent="0.25">
      <c r="I6" s="184"/>
    </row>
    <row r="7" spans="1:9" x14ac:dyDescent="0.25">
      <c r="I7" s="184"/>
    </row>
    <row r="8" spans="1:9" x14ac:dyDescent="0.25">
      <c r="I8" s="184"/>
    </row>
    <row r="9" spans="1:9" x14ac:dyDescent="0.25">
      <c r="I9" s="184"/>
    </row>
    <row r="10" spans="1:9" x14ac:dyDescent="0.25">
      <c r="I10" s="184"/>
    </row>
    <row r="11" spans="1:9" x14ac:dyDescent="0.25">
      <c r="I11" s="184"/>
    </row>
    <row r="12" spans="1:9" x14ac:dyDescent="0.25">
      <c r="I12" s="184"/>
    </row>
    <row r="13" spans="1:9" x14ac:dyDescent="0.25">
      <c r="I13" s="184"/>
    </row>
    <row r="14" spans="1:9" x14ac:dyDescent="0.25">
      <c r="I14" s="184"/>
    </row>
    <row r="15" spans="1:9" x14ac:dyDescent="0.25">
      <c r="I15" s="184"/>
    </row>
    <row r="16" spans="1:9" x14ac:dyDescent="0.25">
      <c r="I16" s="184"/>
    </row>
    <row r="17" spans="9:9" x14ac:dyDescent="0.25">
      <c r="I17" s="184"/>
    </row>
    <row r="18" spans="9:9" x14ac:dyDescent="0.25">
      <c r="I18" s="184"/>
    </row>
    <row r="19" spans="9:9" x14ac:dyDescent="0.25">
      <c r="I19" s="184"/>
    </row>
    <row r="20" spans="9:9" x14ac:dyDescent="0.25">
      <c r="I20" s="184"/>
    </row>
    <row r="21" spans="9:9" x14ac:dyDescent="0.25">
      <c r="I21" s="184"/>
    </row>
    <row r="22" spans="9:9" x14ac:dyDescent="0.25">
      <c r="I22" s="184"/>
    </row>
    <row r="23" spans="9:9" x14ac:dyDescent="0.25">
      <c r="I23" s="184"/>
    </row>
    <row r="24" spans="9:9" x14ac:dyDescent="0.25">
      <c r="I24" s="184"/>
    </row>
    <row r="25" spans="9:9" x14ac:dyDescent="0.25">
      <c r="I25" s="184"/>
    </row>
    <row r="26" spans="9:9" x14ac:dyDescent="0.25">
      <c r="I26" s="184"/>
    </row>
    <row r="27" spans="9:9" x14ac:dyDescent="0.25">
      <c r="I27" s="184"/>
    </row>
    <row r="28" spans="9:9" x14ac:dyDescent="0.25">
      <c r="I28" s="184"/>
    </row>
    <row r="29" spans="9:9" x14ac:dyDescent="0.25">
      <c r="I29" s="184"/>
    </row>
    <row r="30" spans="9:9" x14ac:dyDescent="0.25">
      <c r="I30" s="184"/>
    </row>
    <row r="31" spans="9:9" x14ac:dyDescent="0.25">
      <c r="I31" s="184"/>
    </row>
    <row r="32" spans="9:9" x14ac:dyDescent="0.25">
      <c r="I32" s="184"/>
    </row>
    <row r="33" spans="9:9" x14ac:dyDescent="0.25">
      <c r="I33" s="184"/>
    </row>
    <row r="34" spans="9:9" ht="53.45" customHeight="1" x14ac:dyDescent="0.25">
      <c r="I34" s="184"/>
    </row>
    <row r="35" spans="9:9" ht="50.25" customHeight="1" x14ac:dyDescent="0.25">
      <c r="I35" s="184"/>
    </row>
    <row r="36" spans="9:9" x14ac:dyDescent="0.25">
      <c r="I36" s="184"/>
    </row>
    <row r="37" spans="9:9" x14ac:dyDescent="0.25">
      <c r="I37" s="184"/>
    </row>
    <row r="38" spans="9:9" x14ac:dyDescent="0.25">
      <c r="I38" s="184"/>
    </row>
    <row r="39" spans="9:9" x14ac:dyDescent="0.25">
      <c r="I39" s="184"/>
    </row>
    <row r="40" spans="9:9" ht="30.75" customHeight="1" x14ac:dyDescent="0.25">
      <c r="I40" s="184"/>
    </row>
    <row r="41" spans="9:9" ht="27.75" customHeight="1" x14ac:dyDescent="0.25">
      <c r="I41" s="184"/>
    </row>
    <row r="42" spans="9:9" x14ac:dyDescent="0.25">
      <c r="I42" s="184"/>
    </row>
    <row r="43" spans="9:9" x14ac:dyDescent="0.25">
      <c r="I43" s="184"/>
    </row>
    <row r="44" spans="9:9" x14ac:dyDescent="0.25">
      <c r="I44" s="184"/>
    </row>
    <row r="45" spans="9:9" x14ac:dyDescent="0.25">
      <c r="I45" s="184"/>
    </row>
    <row r="46" spans="9:9" x14ac:dyDescent="0.25">
      <c r="I46" s="184"/>
    </row>
    <row r="47" spans="9:9" x14ac:dyDescent="0.25">
      <c r="I47" s="184"/>
    </row>
    <row r="48" spans="9:9" x14ac:dyDescent="0.25">
      <c r="I48" s="184"/>
    </row>
    <row r="49" spans="9:9" x14ac:dyDescent="0.25">
      <c r="I49" s="184"/>
    </row>
    <row r="50" spans="9:9" x14ac:dyDescent="0.25">
      <c r="I50" s="184"/>
    </row>
    <row r="51" spans="9:9" x14ac:dyDescent="0.25">
      <c r="I51" s="184"/>
    </row>
    <row r="52" spans="9:9" x14ac:dyDescent="0.25">
      <c r="I52" s="184"/>
    </row>
    <row r="53" spans="9:9" x14ac:dyDescent="0.25">
      <c r="I53" s="184"/>
    </row>
    <row r="54" spans="9:9" x14ac:dyDescent="0.25">
      <c r="I54" s="184"/>
    </row>
    <row r="55" spans="9:9" x14ac:dyDescent="0.25">
      <c r="I55" s="184"/>
    </row>
    <row r="56" spans="9:9" x14ac:dyDescent="0.25">
      <c r="I56" s="184"/>
    </row>
    <row r="57" spans="9:9" x14ac:dyDescent="0.25">
      <c r="I57" s="184"/>
    </row>
    <row r="58" spans="9:9" x14ac:dyDescent="0.25">
      <c r="I58" s="184"/>
    </row>
    <row r="59" spans="9:9" x14ac:dyDescent="0.25">
      <c r="I59" s="184"/>
    </row>
    <row r="60" spans="9:9" x14ac:dyDescent="0.25">
      <c r="I60" s="184"/>
    </row>
    <row r="61" spans="9:9" x14ac:dyDescent="0.25">
      <c r="I61" s="184"/>
    </row>
    <row r="62" spans="9:9" x14ac:dyDescent="0.25">
      <c r="I62" s="184"/>
    </row>
    <row r="63" spans="9:9" x14ac:dyDescent="0.25">
      <c r="I63" s="184"/>
    </row>
    <row r="64" spans="9:9" x14ac:dyDescent="0.25">
      <c r="I64" s="184"/>
    </row>
    <row r="65" spans="9:9" x14ac:dyDescent="0.25">
      <c r="I65" s="184"/>
    </row>
    <row r="66" spans="9:9" x14ac:dyDescent="0.25">
      <c r="I66" s="184"/>
    </row>
    <row r="67" spans="9:9" x14ac:dyDescent="0.25">
      <c r="I67" s="184"/>
    </row>
    <row r="68" spans="9:9" x14ac:dyDescent="0.25">
      <c r="I68" s="184"/>
    </row>
    <row r="69" spans="9:9" x14ac:dyDescent="0.25">
      <c r="I69" s="184"/>
    </row>
    <row r="70" spans="9:9" x14ac:dyDescent="0.25">
      <c r="I70" s="184"/>
    </row>
    <row r="71" spans="9:9" x14ac:dyDescent="0.25">
      <c r="I71" s="184"/>
    </row>
    <row r="72" spans="9:9" x14ac:dyDescent="0.25">
      <c r="I72" s="184"/>
    </row>
    <row r="73" spans="9:9" x14ac:dyDescent="0.25">
      <c r="I73" s="184"/>
    </row>
    <row r="74" spans="9:9" x14ac:dyDescent="0.25">
      <c r="I74" s="184"/>
    </row>
    <row r="75" spans="9:9" x14ac:dyDescent="0.25">
      <c r="I75" s="184"/>
    </row>
    <row r="76" spans="9:9" x14ac:dyDescent="0.25">
      <c r="I76" s="184"/>
    </row>
    <row r="77" spans="9:9" x14ac:dyDescent="0.25">
      <c r="I77" s="184"/>
    </row>
    <row r="78" spans="9:9" x14ac:dyDescent="0.25">
      <c r="I78" s="184"/>
    </row>
    <row r="79" spans="9:9" x14ac:dyDescent="0.25">
      <c r="I79" s="184"/>
    </row>
    <row r="80" spans="9:9" x14ac:dyDescent="0.25">
      <c r="I80" s="184"/>
    </row>
    <row r="81" spans="9:9" x14ac:dyDescent="0.25">
      <c r="I81" s="184"/>
    </row>
    <row r="82" spans="9:9" x14ac:dyDescent="0.25">
      <c r="I82" s="184"/>
    </row>
    <row r="83" spans="9:9" x14ac:dyDescent="0.25">
      <c r="I83" s="184"/>
    </row>
    <row r="84" spans="9:9" x14ac:dyDescent="0.25">
      <c r="I84" s="184"/>
    </row>
    <row r="85" spans="9:9" x14ac:dyDescent="0.25">
      <c r="I85" s="184"/>
    </row>
    <row r="86" spans="9:9" x14ac:dyDescent="0.25">
      <c r="I86" s="184"/>
    </row>
    <row r="87" spans="9:9" x14ac:dyDescent="0.25">
      <c r="I87" s="184"/>
    </row>
    <row r="88" spans="9:9" x14ac:dyDescent="0.25">
      <c r="I88" s="184"/>
    </row>
    <row r="89" spans="9:9" x14ac:dyDescent="0.25">
      <c r="I89" s="184"/>
    </row>
    <row r="90" spans="9:9" x14ac:dyDescent="0.25">
      <c r="I90" s="184"/>
    </row>
    <row r="91" spans="9:9" x14ac:dyDescent="0.25">
      <c r="I91" s="184"/>
    </row>
    <row r="92" spans="9:9" x14ac:dyDescent="0.25">
      <c r="I92" s="184"/>
    </row>
    <row r="93" spans="9:9" x14ac:dyDescent="0.25">
      <c r="I93" s="184"/>
    </row>
    <row r="94" spans="9:9" x14ac:dyDescent="0.25">
      <c r="I94" s="184"/>
    </row>
    <row r="95" spans="9:9" x14ac:dyDescent="0.25">
      <c r="I95" s="184"/>
    </row>
    <row r="96" spans="9:9" x14ac:dyDescent="0.25">
      <c r="I96" s="184"/>
    </row>
    <row r="97" spans="9:9" x14ac:dyDescent="0.25">
      <c r="I97" s="184"/>
    </row>
    <row r="98" spans="9:9" x14ac:dyDescent="0.25">
      <c r="I98" s="184"/>
    </row>
    <row r="99" spans="9:9" x14ac:dyDescent="0.25">
      <c r="I99" s="184"/>
    </row>
    <row r="100" spans="9:9" x14ac:dyDescent="0.25">
      <c r="I100" s="184"/>
    </row>
    <row r="101" spans="9:9" x14ac:dyDescent="0.25">
      <c r="I101" s="184"/>
    </row>
    <row r="102" spans="9:9" x14ac:dyDescent="0.25">
      <c r="I102" s="184"/>
    </row>
    <row r="103" spans="9:9" x14ac:dyDescent="0.25">
      <c r="I103" s="184"/>
    </row>
    <row r="104" spans="9:9" x14ac:dyDescent="0.25">
      <c r="I104" s="184"/>
    </row>
    <row r="105" spans="9:9" x14ac:dyDescent="0.25">
      <c r="I105" s="184"/>
    </row>
    <row r="106" spans="9:9" x14ac:dyDescent="0.25">
      <c r="I106" s="184"/>
    </row>
    <row r="107" spans="9:9" x14ac:dyDescent="0.25">
      <c r="I107" s="195"/>
    </row>
    <row r="108" spans="9:9" x14ac:dyDescent="0.25">
      <c r="I108" s="195"/>
    </row>
    <row r="109" spans="9:9" ht="16.5" customHeight="1" x14ac:dyDescent="0.25">
      <c r="I109" s="195"/>
    </row>
    <row r="110" spans="9:9" ht="35.450000000000003" customHeight="1" x14ac:dyDescent="0.25">
      <c r="I110" s="195"/>
    </row>
    <row r="111" spans="9:9" ht="6.75" customHeight="1" x14ac:dyDescent="0.25">
      <c r="I111" s="195"/>
    </row>
    <row r="112" spans="9:9" x14ac:dyDescent="0.25">
      <c r="I112" s="195"/>
    </row>
    <row r="113" spans="9:9" x14ac:dyDescent="0.25">
      <c r="I113" s="195"/>
    </row>
    <row r="114" spans="9:9" x14ac:dyDescent="0.25">
      <c r="I114" s="195"/>
    </row>
    <row r="115" spans="9:9" x14ac:dyDescent="0.25">
      <c r="I115" s="195"/>
    </row>
    <row r="116" spans="9:9" x14ac:dyDescent="0.25">
      <c r="I116" s="195"/>
    </row>
    <row r="117" spans="9:9" x14ac:dyDescent="0.25">
      <c r="I117" s="195"/>
    </row>
    <row r="118" spans="9:9" x14ac:dyDescent="0.25">
      <c r="I118" s="195"/>
    </row>
    <row r="119" spans="9:9" x14ac:dyDescent="0.25">
      <c r="I119" s="195"/>
    </row>
    <row r="120" spans="9:9" x14ac:dyDescent="0.25">
      <c r="I120" s="195"/>
    </row>
    <row r="121" spans="9:9" x14ac:dyDescent="0.25">
      <c r="I121" s="195"/>
    </row>
    <row r="122" spans="9:9" x14ac:dyDescent="0.25">
      <c r="I122" s="195"/>
    </row>
    <row r="123" spans="9:9" x14ac:dyDescent="0.25">
      <c r="I123" s="195"/>
    </row>
    <row r="124" spans="9:9" x14ac:dyDescent="0.25">
      <c r="I124" s="195"/>
    </row>
    <row r="125" spans="9:9" ht="109.5" customHeight="1" x14ac:dyDescent="0.25">
      <c r="I125" s="195"/>
    </row>
    <row r="126" spans="9:9" x14ac:dyDescent="0.25">
      <c r="I126" s="195"/>
    </row>
    <row r="127" spans="9:9" x14ac:dyDescent="0.25">
      <c r="I127" s="195"/>
    </row>
    <row r="128" spans="9:9" x14ac:dyDescent="0.25">
      <c r="I128" s="195"/>
    </row>
    <row r="129" spans="9:9" x14ac:dyDescent="0.25">
      <c r="I129" s="195"/>
    </row>
    <row r="130" spans="9:9" x14ac:dyDescent="0.25">
      <c r="I130" s="195"/>
    </row>
    <row r="131" spans="9:9" x14ac:dyDescent="0.25">
      <c r="I131" s="195"/>
    </row>
  </sheetData>
  <mergeCells count="2">
    <mergeCell ref="A2:G2"/>
    <mergeCell ref="A4:G4"/>
  </mergeCells>
  <pageMargins left="0.7" right="0.7" top="0.75" bottom="0.75" header="0.3" footer="0.3"/>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7"/>
  <sheetViews>
    <sheetView zoomScale="80" zoomScaleNormal="80" workbookViewId="0">
      <selection activeCell="J23" sqref="J23"/>
    </sheetView>
  </sheetViews>
  <sheetFormatPr defaultColWidth="9.140625" defaultRowHeight="15.75" x14ac:dyDescent="0.25"/>
  <cols>
    <col min="1" max="1" width="3.85546875" style="79" customWidth="1"/>
    <col min="2" max="2" width="42.28515625" style="79" customWidth="1"/>
    <col min="3" max="3" width="25.28515625" style="79" customWidth="1"/>
    <col min="4" max="4" width="18.85546875" style="79" customWidth="1"/>
    <col min="5" max="5" width="17.28515625" style="79" customWidth="1"/>
    <col min="6" max="6" width="16.28515625" style="79" customWidth="1"/>
    <col min="7" max="7" width="24.7109375" style="79" customWidth="1"/>
    <col min="8" max="8" width="16.42578125" style="79" customWidth="1"/>
    <col min="9" max="9" width="23.42578125" style="79" customWidth="1"/>
    <col min="10" max="11" width="17" style="79" customWidth="1"/>
    <col min="12" max="13" width="10.140625" style="79" bestFit="1" customWidth="1"/>
    <col min="14" max="14" width="9.140625" style="79"/>
    <col min="15" max="15" width="11.140625" style="79" customWidth="1"/>
    <col min="16" max="16384" width="9.140625" style="79"/>
  </cols>
  <sheetData>
    <row r="1" spans="1:13" ht="15.75" customHeight="1" x14ac:dyDescent="0.25">
      <c r="I1" s="107"/>
      <c r="K1" s="107" t="s">
        <v>256</v>
      </c>
    </row>
    <row r="2" spans="1:13" ht="37.5" customHeight="1" x14ac:dyDescent="0.25">
      <c r="A2" s="470" t="s">
        <v>255</v>
      </c>
      <c r="B2" s="470"/>
      <c r="C2" s="470"/>
      <c r="D2" s="470"/>
      <c r="E2" s="470"/>
      <c r="F2" s="470"/>
      <c r="G2" s="470"/>
      <c r="H2" s="470"/>
      <c r="I2" s="470"/>
      <c r="J2" s="470"/>
      <c r="K2" s="470"/>
    </row>
    <row r="3" spans="1:13" s="109" customFormat="1" ht="33.75" customHeight="1" x14ac:dyDescent="0.25">
      <c r="A3" s="521" t="s">
        <v>429</v>
      </c>
      <c r="B3" s="521"/>
      <c r="C3" s="521"/>
      <c r="D3" s="521"/>
      <c r="E3" s="521"/>
      <c r="F3" s="521"/>
      <c r="G3" s="521"/>
      <c r="H3" s="521"/>
      <c r="I3" s="521"/>
      <c r="J3" s="521"/>
      <c r="K3" s="521"/>
    </row>
    <row r="4" spans="1:13" x14ac:dyDescent="0.25">
      <c r="A4" s="88"/>
      <c r="B4" s="88"/>
      <c r="C4" s="88"/>
      <c r="D4" s="88"/>
      <c r="E4" s="88"/>
      <c r="F4" s="88"/>
      <c r="G4" s="88"/>
      <c r="H4" s="88"/>
    </row>
    <row r="5" spans="1:13" x14ac:dyDescent="0.25">
      <c r="A5" s="88"/>
      <c r="B5" s="200" t="s">
        <v>261</v>
      </c>
      <c r="C5" s="88"/>
      <c r="D5" s="88"/>
      <c r="E5" s="88"/>
      <c r="F5" s="88"/>
      <c r="G5" s="88"/>
      <c r="H5" s="88"/>
    </row>
    <row r="6" spans="1:13" ht="94.5" customHeight="1" x14ac:dyDescent="0.25">
      <c r="A6" s="429"/>
      <c r="B6" s="429" t="s">
        <v>0</v>
      </c>
      <c r="C6" s="429" t="s">
        <v>259</v>
      </c>
      <c r="D6" s="429" t="s">
        <v>260</v>
      </c>
      <c r="E6" s="429" t="s">
        <v>258</v>
      </c>
      <c r="F6" s="429" t="s">
        <v>176</v>
      </c>
      <c r="G6" s="429" t="s">
        <v>212</v>
      </c>
      <c r="H6" s="429" t="s">
        <v>403</v>
      </c>
      <c r="I6" s="429" t="s">
        <v>3</v>
      </c>
    </row>
    <row r="7" spans="1:13" ht="78.75" x14ac:dyDescent="0.25">
      <c r="A7" s="429">
        <v>1</v>
      </c>
      <c r="B7" s="201" t="s">
        <v>252</v>
      </c>
      <c r="C7" s="419">
        <f>D7/9*12</f>
        <v>19380.746666666666</v>
      </c>
      <c r="D7" s="419">
        <v>14535.56</v>
      </c>
      <c r="E7" s="419">
        <v>43.26</v>
      </c>
      <c r="F7" s="430">
        <f>C7*E7</f>
        <v>838411.1007999999</v>
      </c>
      <c r="G7" s="430">
        <f>F7</f>
        <v>838411.1007999999</v>
      </c>
      <c r="H7" s="430">
        <f>G7/12*9</f>
        <v>628808.32559999987</v>
      </c>
      <c r="I7" s="201" t="s">
        <v>262</v>
      </c>
      <c r="K7" s="418"/>
      <c r="L7" s="418"/>
      <c r="M7" s="418"/>
    </row>
    <row r="8" spans="1:13" ht="63" x14ac:dyDescent="0.25">
      <c r="A8" s="429">
        <v>2</v>
      </c>
      <c r="B8" s="201" t="s">
        <v>501</v>
      </c>
      <c r="C8" s="430"/>
      <c r="D8" s="430"/>
      <c r="E8" s="430"/>
      <c r="F8" s="430"/>
      <c r="G8" s="430">
        <v>40205</v>
      </c>
      <c r="H8" s="430">
        <v>30154</v>
      </c>
      <c r="I8" s="201" t="s">
        <v>223</v>
      </c>
      <c r="K8" s="418"/>
      <c r="L8" s="418"/>
      <c r="M8" s="418"/>
    </row>
    <row r="9" spans="1:13" ht="78.75" x14ac:dyDescent="0.25">
      <c r="A9" s="429">
        <v>3</v>
      </c>
      <c r="B9" s="201" t="s">
        <v>213</v>
      </c>
      <c r="C9" s="430">
        <v>441446</v>
      </c>
      <c r="D9" s="430">
        <f>C9/12*9</f>
        <v>331084.5</v>
      </c>
      <c r="E9" s="120">
        <v>7.64</v>
      </c>
      <c r="F9" s="430">
        <f>C9*E9</f>
        <v>3372647.44</v>
      </c>
      <c r="G9" s="430">
        <f>F9</f>
        <v>3372647.44</v>
      </c>
      <c r="H9" s="430">
        <f>G9/12*9</f>
        <v>2529485.5799999996</v>
      </c>
      <c r="I9" s="201" t="s">
        <v>262</v>
      </c>
      <c r="K9" s="418"/>
      <c r="L9" s="418"/>
      <c r="M9" s="418"/>
    </row>
    <row r="10" spans="1:13" ht="63" x14ac:dyDescent="0.25">
      <c r="A10" s="429">
        <v>4</v>
      </c>
      <c r="B10" s="201" t="s">
        <v>502</v>
      </c>
      <c r="C10" s="430"/>
      <c r="D10" s="430"/>
      <c r="E10" s="430"/>
      <c r="F10" s="430"/>
      <c r="G10" s="430">
        <v>639456</v>
      </c>
      <c r="H10" s="430">
        <v>479592</v>
      </c>
      <c r="I10" s="201" t="s">
        <v>223</v>
      </c>
      <c r="K10" s="418"/>
      <c r="L10" s="418"/>
      <c r="M10" s="418"/>
    </row>
    <row r="11" spans="1:13" ht="15.75" customHeight="1" x14ac:dyDescent="0.25">
      <c r="A11" s="522" t="s">
        <v>254</v>
      </c>
      <c r="B11" s="522"/>
      <c r="C11" s="522"/>
      <c r="D11" s="522"/>
      <c r="E11" s="522"/>
      <c r="F11" s="522"/>
      <c r="G11" s="430">
        <f>G7+G8+G9+G10</f>
        <v>4890719.5407999996</v>
      </c>
      <c r="H11" s="430">
        <f>H7+H8+H9+H10</f>
        <v>3668039.9055999992</v>
      </c>
      <c r="I11" s="523"/>
      <c r="L11" s="418"/>
      <c r="M11" s="418"/>
    </row>
    <row r="12" spans="1:13" ht="15.75" customHeight="1" x14ac:dyDescent="0.25">
      <c r="A12" s="522" t="s">
        <v>263</v>
      </c>
      <c r="B12" s="522"/>
      <c r="C12" s="522"/>
      <c r="D12" s="522"/>
      <c r="E12" s="522"/>
      <c r="F12" s="522"/>
      <c r="G12" s="430">
        <f>G7+G9</f>
        <v>4211058.5407999996</v>
      </c>
      <c r="H12" s="430">
        <f>H7+H9</f>
        <v>3158293.9055999992</v>
      </c>
      <c r="I12" s="523"/>
      <c r="L12" s="418"/>
      <c r="M12" s="418"/>
    </row>
    <row r="13" spans="1:13" ht="15.75" customHeight="1" x14ac:dyDescent="0.25">
      <c r="A13" s="522" t="s">
        <v>264</v>
      </c>
      <c r="B13" s="522"/>
      <c r="C13" s="522"/>
      <c r="D13" s="522"/>
      <c r="E13" s="522"/>
      <c r="F13" s="522"/>
      <c r="G13" s="430">
        <f>G8+G10</f>
        <v>679661</v>
      </c>
      <c r="H13" s="430">
        <f>H8+H10</f>
        <v>509746</v>
      </c>
      <c r="I13" s="523"/>
      <c r="L13" s="418"/>
      <c r="M13" s="418"/>
    </row>
    <row r="14" spans="1:13" x14ac:dyDescent="0.25">
      <c r="B14" s="79" t="s">
        <v>257</v>
      </c>
    </row>
    <row r="15" spans="1:13" x14ac:dyDescent="0.25">
      <c r="B15" s="79" t="s">
        <v>576</v>
      </c>
      <c r="F15" s="87"/>
      <c r="G15" s="87"/>
      <c r="H15" s="87"/>
      <c r="I15" s="87"/>
      <c r="J15" s="87"/>
    </row>
    <row r="16" spans="1:13" x14ac:dyDescent="0.25">
      <c r="B16" s="79" t="s">
        <v>503</v>
      </c>
    </row>
    <row r="18" spans="1:16" x14ac:dyDescent="0.25">
      <c r="A18" s="88"/>
      <c r="B18" s="118" t="s">
        <v>285</v>
      </c>
      <c r="C18" s="88"/>
      <c r="D18" s="88"/>
      <c r="E18" s="88"/>
      <c r="F18" s="88"/>
      <c r="G18" s="88"/>
      <c r="H18" s="88"/>
    </row>
    <row r="19" spans="1:16" ht="78.75" x14ac:dyDescent="0.25">
      <c r="A19" s="429"/>
      <c r="B19" s="429" t="s">
        <v>0</v>
      </c>
      <c r="C19" s="429" t="s">
        <v>286</v>
      </c>
      <c r="D19" s="429" t="s">
        <v>258</v>
      </c>
      <c r="E19" s="429" t="s">
        <v>182</v>
      </c>
      <c r="F19" s="429" t="s">
        <v>379</v>
      </c>
      <c r="G19" s="429" t="s">
        <v>3</v>
      </c>
    </row>
    <row r="20" spans="1:16" ht="63.75" customHeight="1" x14ac:dyDescent="0.25">
      <c r="A20" s="429">
        <v>1</v>
      </c>
      <c r="B20" s="201" t="s">
        <v>252</v>
      </c>
      <c r="C20" s="430">
        <v>23976</v>
      </c>
      <c r="D20" s="120">
        <v>43.26</v>
      </c>
      <c r="E20" s="434">
        <f>C20*D20</f>
        <v>1037201.76</v>
      </c>
      <c r="F20" s="434">
        <f>E20</f>
        <v>1037201.76</v>
      </c>
      <c r="G20" s="201" t="s">
        <v>262</v>
      </c>
      <c r="L20" s="418"/>
      <c r="M20" s="418"/>
      <c r="O20" s="418"/>
      <c r="P20" s="418"/>
    </row>
    <row r="21" spans="1:16" ht="63" x14ac:dyDescent="0.25">
      <c r="A21" s="429">
        <v>2</v>
      </c>
      <c r="B21" s="201" t="s">
        <v>501</v>
      </c>
      <c r="C21" s="430"/>
      <c r="D21" s="434"/>
      <c r="E21" s="434"/>
      <c r="F21" s="434">
        <v>40205</v>
      </c>
      <c r="G21" s="201" t="s">
        <v>223</v>
      </c>
      <c r="L21" s="418"/>
      <c r="M21" s="418"/>
      <c r="O21" s="418"/>
      <c r="P21" s="418"/>
    </row>
    <row r="22" spans="1:16" ht="63" x14ac:dyDescent="0.25">
      <c r="A22" s="429">
        <v>3</v>
      </c>
      <c r="B22" s="201" t="s">
        <v>213</v>
      </c>
      <c r="C22" s="430">
        <v>543266</v>
      </c>
      <c r="D22" s="120">
        <v>7.64</v>
      </c>
      <c r="E22" s="434">
        <f>C22*D22</f>
        <v>4150552.2399999998</v>
      </c>
      <c r="F22" s="434">
        <f>E22</f>
        <v>4150552.2399999998</v>
      </c>
      <c r="G22" s="201" t="s">
        <v>262</v>
      </c>
      <c r="L22" s="418"/>
      <c r="M22" s="418"/>
      <c r="O22" s="418"/>
      <c r="P22" s="418"/>
    </row>
    <row r="23" spans="1:16" ht="69" customHeight="1" x14ac:dyDescent="0.25">
      <c r="A23" s="429">
        <v>4</v>
      </c>
      <c r="B23" s="201" t="s">
        <v>502</v>
      </c>
      <c r="C23" s="430"/>
      <c r="D23" s="434"/>
      <c r="E23" s="434"/>
      <c r="F23" s="434">
        <f>J47</f>
        <v>823201</v>
      </c>
      <c r="G23" s="201" t="s">
        <v>223</v>
      </c>
      <c r="L23" s="418"/>
      <c r="M23" s="418"/>
      <c r="O23" s="418"/>
      <c r="P23" s="418"/>
    </row>
    <row r="24" spans="1:16" ht="15.75" customHeight="1" x14ac:dyDescent="0.25">
      <c r="A24" s="524" t="s">
        <v>302</v>
      </c>
      <c r="B24" s="525"/>
      <c r="C24" s="525"/>
      <c r="D24" s="525"/>
      <c r="E24" s="526"/>
      <c r="F24" s="434">
        <f>F20+F21+F22+F23</f>
        <v>6051160</v>
      </c>
      <c r="G24" s="523"/>
      <c r="L24" s="418"/>
      <c r="M24" s="418"/>
    </row>
    <row r="25" spans="1:16" ht="15.75" customHeight="1" x14ac:dyDescent="0.25">
      <c r="A25" s="524" t="s">
        <v>303</v>
      </c>
      <c r="B25" s="525"/>
      <c r="C25" s="525"/>
      <c r="D25" s="525"/>
      <c r="E25" s="526"/>
      <c r="F25" s="434">
        <f>F20+F22</f>
        <v>5187754</v>
      </c>
      <c r="G25" s="523"/>
      <c r="L25" s="418"/>
      <c r="M25" s="418"/>
    </row>
    <row r="26" spans="1:16" ht="15.75" customHeight="1" x14ac:dyDescent="0.25">
      <c r="A26" s="524" t="s">
        <v>304</v>
      </c>
      <c r="B26" s="525"/>
      <c r="C26" s="525"/>
      <c r="D26" s="525"/>
      <c r="E26" s="526"/>
      <c r="F26" s="434">
        <f>F21+F23</f>
        <v>863406</v>
      </c>
      <c r="G26" s="523"/>
      <c r="L26" s="418"/>
      <c r="M26" s="418"/>
    </row>
    <row r="27" spans="1:16" x14ac:dyDescent="0.25">
      <c r="B27" s="79" t="s">
        <v>503</v>
      </c>
    </row>
    <row r="30" spans="1:16" x14ac:dyDescent="0.25">
      <c r="B30" s="323" t="s">
        <v>495</v>
      </c>
    </row>
    <row r="32" spans="1:16" ht="32.25" customHeight="1" x14ac:dyDescent="0.25">
      <c r="B32" s="520" t="s">
        <v>494</v>
      </c>
      <c r="C32" s="520"/>
      <c r="D32" s="520"/>
      <c r="E32" s="520"/>
      <c r="F32" s="520"/>
      <c r="G32" s="520"/>
      <c r="H32" s="435"/>
      <c r="I32" s="435"/>
      <c r="J32" s="435"/>
      <c r="K32" s="435"/>
      <c r="L32" s="435"/>
    </row>
    <row r="33" spans="2:12" ht="47.25" x14ac:dyDescent="0.25">
      <c r="B33" s="436" t="s">
        <v>451</v>
      </c>
      <c r="C33" s="436" t="s">
        <v>504</v>
      </c>
      <c r="D33" s="436" t="s">
        <v>452</v>
      </c>
      <c r="E33" s="437" t="s">
        <v>453</v>
      </c>
      <c r="F33" s="437" t="s">
        <v>454</v>
      </c>
      <c r="H33" s="438"/>
      <c r="I33" s="438"/>
      <c r="J33" s="438"/>
      <c r="K33" s="438"/>
      <c r="L33" s="438"/>
    </row>
    <row r="34" spans="2:12" s="324" customFormat="1" x14ac:dyDescent="0.25">
      <c r="B34" s="439">
        <v>2</v>
      </c>
      <c r="C34" s="439">
        <f>1350*2</f>
        <v>2700</v>
      </c>
      <c r="D34" s="439">
        <f>C34*1.2409</f>
        <v>3350.43</v>
      </c>
      <c r="E34" s="439">
        <f>D34*12</f>
        <v>40205.159999999996</v>
      </c>
      <c r="F34" s="439">
        <f>E34/12*9</f>
        <v>30153.87</v>
      </c>
      <c r="H34" s="438"/>
      <c r="I34" s="438"/>
      <c r="J34" s="438"/>
      <c r="K34" s="438"/>
      <c r="L34" s="438"/>
    </row>
    <row r="35" spans="2:12" s="324" customFormat="1" x14ac:dyDescent="0.25">
      <c r="B35" s="440" t="s">
        <v>523</v>
      </c>
      <c r="C35" s="441"/>
      <c r="D35" s="441"/>
      <c r="E35" s="441"/>
      <c r="F35" s="441"/>
      <c r="H35" s="438"/>
      <c r="I35" s="438"/>
      <c r="J35" s="438"/>
      <c r="K35" s="438"/>
      <c r="L35" s="438"/>
    </row>
    <row r="36" spans="2:12" x14ac:dyDescent="0.25">
      <c r="B36" s="442"/>
      <c r="C36" s="442"/>
      <c r="D36" s="442"/>
      <c r="E36" s="442"/>
      <c r="F36" s="442"/>
      <c r="H36" s="442"/>
      <c r="I36" s="442"/>
      <c r="J36" s="442"/>
      <c r="K36" s="442"/>
      <c r="L36" s="442"/>
    </row>
    <row r="37" spans="2:12" x14ac:dyDescent="0.25">
      <c r="B37" s="76" t="s">
        <v>585</v>
      </c>
    </row>
    <row r="38" spans="2:12" ht="102" customHeight="1" x14ac:dyDescent="0.25">
      <c r="B38" s="431"/>
      <c r="C38" s="431"/>
      <c r="D38" s="432" t="s">
        <v>455</v>
      </c>
      <c r="E38" s="431" t="s">
        <v>456</v>
      </c>
      <c r="F38" s="431" t="s">
        <v>457</v>
      </c>
      <c r="G38" s="432" t="s">
        <v>458</v>
      </c>
      <c r="H38" s="432" t="s">
        <v>459</v>
      </c>
      <c r="I38" s="432" t="s">
        <v>460</v>
      </c>
      <c r="J38" s="429" t="s">
        <v>506</v>
      </c>
      <c r="K38" s="429" t="s">
        <v>507</v>
      </c>
    </row>
    <row r="39" spans="2:12" ht="35.25" customHeight="1" x14ac:dyDescent="0.25">
      <c r="B39" s="81" t="s">
        <v>461</v>
      </c>
      <c r="C39" s="81"/>
      <c r="D39" s="82">
        <v>1350</v>
      </c>
      <c r="E39" s="82">
        <v>810</v>
      </c>
      <c r="F39" s="82">
        <v>540</v>
      </c>
      <c r="G39" s="83"/>
      <c r="H39" s="83"/>
      <c r="I39" s="85"/>
      <c r="J39" s="85"/>
      <c r="K39" s="85"/>
    </row>
    <row r="40" spans="2:12" x14ac:dyDescent="0.25">
      <c r="B40" s="84"/>
      <c r="C40" s="85" t="s">
        <v>505</v>
      </c>
      <c r="D40" s="83">
        <v>16.009999999999998</v>
      </c>
      <c r="E40" s="83">
        <v>91.5</v>
      </c>
      <c r="F40" s="83">
        <v>116</v>
      </c>
      <c r="G40" s="83"/>
      <c r="H40" s="83"/>
      <c r="I40" s="85"/>
      <c r="J40" s="85"/>
      <c r="K40" s="85"/>
    </row>
    <row r="41" spans="2:12" ht="19.5" customHeight="1" x14ac:dyDescent="0.25">
      <c r="B41" s="84"/>
      <c r="C41" s="86" t="s">
        <v>462</v>
      </c>
      <c r="D41" s="82">
        <f>ROUND(D39*D40*1.2409,0)</f>
        <v>26820</v>
      </c>
      <c r="E41" s="82">
        <f>ROUND(E39*E40*1.2409,0)</f>
        <v>91969</v>
      </c>
      <c r="F41" s="82">
        <f>ROUND(F39*F40*1.2409,0)</f>
        <v>77730</v>
      </c>
      <c r="G41" s="82">
        <f t="shared" ref="G41" si="0">D41+E41+F41</f>
        <v>196519</v>
      </c>
      <c r="H41" s="82">
        <f t="shared" ref="H41" si="1">G41*12</f>
        <v>2358228</v>
      </c>
      <c r="I41" s="82">
        <v>1718772</v>
      </c>
      <c r="J41" s="82">
        <f>H41-I41</f>
        <v>639456</v>
      </c>
      <c r="K41" s="82">
        <f>J41/12*9</f>
        <v>479592</v>
      </c>
    </row>
    <row r="43" spans="2:12" x14ac:dyDescent="0.25">
      <c r="B43" s="76" t="s">
        <v>586</v>
      </c>
    </row>
    <row r="44" spans="2:12" ht="94.5" x14ac:dyDescent="0.25">
      <c r="B44" s="431"/>
      <c r="C44" s="431"/>
      <c r="D44" s="432" t="s">
        <v>455</v>
      </c>
      <c r="E44" s="431" t="s">
        <v>456</v>
      </c>
      <c r="F44" s="431" t="s">
        <v>457</v>
      </c>
      <c r="G44" s="432" t="s">
        <v>458</v>
      </c>
      <c r="H44" s="432" t="s">
        <v>459</v>
      </c>
      <c r="I44" s="432" t="s">
        <v>460</v>
      </c>
      <c r="J44" s="429" t="s">
        <v>506</v>
      </c>
    </row>
    <row r="45" spans="2:12" ht="31.5" x14ac:dyDescent="0.25">
      <c r="B45" s="81" t="s">
        <v>461</v>
      </c>
      <c r="C45" s="81"/>
      <c r="D45" s="82">
        <v>1350</v>
      </c>
      <c r="E45" s="82">
        <v>810</v>
      </c>
      <c r="F45" s="82">
        <v>540</v>
      </c>
      <c r="G45" s="443"/>
      <c r="H45" s="443"/>
      <c r="I45" s="444"/>
      <c r="J45" s="444"/>
    </row>
    <row r="46" spans="2:12" x14ac:dyDescent="0.25">
      <c r="B46" s="84"/>
      <c r="C46" s="85" t="s">
        <v>505</v>
      </c>
      <c r="D46" s="83">
        <v>12.25</v>
      </c>
      <c r="E46" s="83">
        <v>130.75</v>
      </c>
      <c r="F46" s="83">
        <v>114.5</v>
      </c>
      <c r="G46" s="83"/>
      <c r="H46" s="83"/>
      <c r="I46" s="85"/>
      <c r="J46" s="85"/>
    </row>
    <row r="47" spans="2:12" x14ac:dyDescent="0.25">
      <c r="B47" s="84"/>
      <c r="C47" s="86" t="s">
        <v>462</v>
      </c>
      <c r="D47" s="82">
        <f>ROUND(D45*D46*1.2409,0)</f>
        <v>20521</v>
      </c>
      <c r="E47" s="82">
        <f>ROUND(E45*E46*1.2409,0)</f>
        <v>131421</v>
      </c>
      <c r="F47" s="82">
        <f>ROUND(F45*F46*1.2409,0)</f>
        <v>76725</v>
      </c>
      <c r="G47" s="82">
        <f t="shared" ref="G47" si="2">D47+E47+F47</f>
        <v>228667</v>
      </c>
      <c r="H47" s="82">
        <f t="shared" ref="H47" si="3">G47*12</f>
        <v>2744004</v>
      </c>
      <c r="I47" s="82">
        <v>1920803</v>
      </c>
      <c r="J47" s="82">
        <f>H47-I47</f>
        <v>823201</v>
      </c>
    </row>
  </sheetData>
  <mergeCells count="11">
    <mergeCell ref="B32:G32"/>
    <mergeCell ref="A2:K2"/>
    <mergeCell ref="A3:K3"/>
    <mergeCell ref="A12:F12"/>
    <mergeCell ref="A13:F13"/>
    <mergeCell ref="I11:I13"/>
    <mergeCell ref="G24:G26"/>
    <mergeCell ref="A26:E26"/>
    <mergeCell ref="A25:E25"/>
    <mergeCell ref="A24:E24"/>
    <mergeCell ref="A11:F11"/>
  </mergeCells>
  <pageMargins left="0.7" right="0.7" top="0.75" bottom="0.75" header="0.3" footer="0.3"/>
  <pageSetup paperSize="9" scale="3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9"/>
  <sheetViews>
    <sheetView zoomScaleNormal="100" workbookViewId="0">
      <selection activeCell="D13" sqref="D13"/>
    </sheetView>
  </sheetViews>
  <sheetFormatPr defaultColWidth="9.140625" defaultRowHeight="15.75" x14ac:dyDescent="0.25"/>
  <cols>
    <col min="1" max="1" width="36.140625" style="79" customWidth="1"/>
    <col min="2" max="2" width="13.7109375" style="79" bestFit="1" customWidth="1"/>
    <col min="3" max="3" width="11.28515625" style="79" bestFit="1" customWidth="1"/>
    <col min="4" max="4" width="17.5703125" style="79" bestFit="1" customWidth="1"/>
    <col min="5" max="5" width="13.85546875" style="79" bestFit="1" customWidth="1"/>
    <col min="6" max="6" width="11.85546875" style="79" customWidth="1"/>
    <col min="7" max="7" width="17.5703125" style="79" customWidth="1"/>
    <col min="8" max="16384" width="9.140625" style="79"/>
  </cols>
  <sheetData>
    <row r="1" spans="1:9" x14ac:dyDescent="0.25">
      <c r="A1" s="77"/>
      <c r="F1" s="107"/>
      <c r="G1" s="107" t="s">
        <v>214</v>
      </c>
    </row>
    <row r="2" spans="1:9" ht="51" customHeight="1" x14ac:dyDescent="0.25">
      <c r="A2" s="470" t="s">
        <v>305</v>
      </c>
      <c r="B2" s="470"/>
      <c r="C2" s="470"/>
      <c r="D2" s="470"/>
      <c r="E2" s="470"/>
      <c r="F2" s="470"/>
      <c r="G2" s="470"/>
    </row>
    <row r="3" spans="1:9" ht="15.75" customHeight="1" x14ac:dyDescent="0.25">
      <c r="A3" s="77"/>
    </row>
    <row r="4" spans="1:9" s="109" customFormat="1" x14ac:dyDescent="0.25">
      <c r="A4" s="79" t="s">
        <v>220</v>
      </c>
      <c r="B4" s="79"/>
      <c r="C4" s="79"/>
      <c r="D4" s="79"/>
      <c r="E4" s="79"/>
      <c r="F4" s="79"/>
      <c r="G4" s="79"/>
      <c r="H4" s="108"/>
      <c r="I4" s="108"/>
    </row>
    <row r="5" spans="1:9" x14ac:dyDescent="0.25">
      <c r="A5" s="79" t="s">
        <v>314</v>
      </c>
    </row>
    <row r="7" spans="1:9" ht="33" customHeight="1" x14ac:dyDescent="0.25">
      <c r="A7" s="530" t="s">
        <v>408</v>
      </c>
      <c r="B7" s="530"/>
      <c r="C7" s="530"/>
      <c r="D7" s="530"/>
      <c r="E7" s="530"/>
      <c r="F7" s="530"/>
      <c r="G7" s="530"/>
    </row>
    <row r="8" spans="1:9" x14ac:dyDescent="0.25">
      <c r="A8" s="528" t="s">
        <v>306</v>
      </c>
      <c r="B8" s="528" t="s">
        <v>133</v>
      </c>
      <c r="C8" s="528" t="s">
        <v>307</v>
      </c>
      <c r="D8" s="529" t="s">
        <v>308</v>
      </c>
      <c r="E8" s="529"/>
      <c r="F8" s="529"/>
      <c r="G8" s="527" t="s">
        <v>225</v>
      </c>
    </row>
    <row r="9" spans="1:9" ht="63" x14ac:dyDescent="0.25">
      <c r="A9" s="528"/>
      <c r="B9" s="528"/>
      <c r="C9" s="528"/>
      <c r="D9" s="203" t="s">
        <v>309</v>
      </c>
      <c r="E9" s="203" t="s">
        <v>310</v>
      </c>
      <c r="F9" s="143" t="s">
        <v>311</v>
      </c>
      <c r="G9" s="527"/>
    </row>
    <row r="10" spans="1:9" x14ac:dyDescent="0.25">
      <c r="A10" s="204" t="s">
        <v>312</v>
      </c>
      <c r="B10" s="82">
        <v>6373</v>
      </c>
      <c r="C10" s="82">
        <v>175649</v>
      </c>
      <c r="D10" s="205">
        <v>92.01</v>
      </c>
      <c r="E10" s="206">
        <v>57.15</v>
      </c>
      <c r="F10" s="205">
        <f>D10-E10</f>
        <v>34.860000000000007</v>
      </c>
      <c r="G10" s="82">
        <f>C10*F10</f>
        <v>6123124.1400000015</v>
      </c>
    </row>
    <row r="11" spans="1:9" x14ac:dyDescent="0.25">
      <c r="A11" s="204" t="s">
        <v>313</v>
      </c>
      <c r="B11" s="82">
        <v>13784</v>
      </c>
      <c r="C11" s="82">
        <v>367616.99999999988</v>
      </c>
      <c r="D11" s="205">
        <v>63.05</v>
      </c>
      <c r="E11" s="206">
        <v>57.15</v>
      </c>
      <c r="F11" s="205">
        <f>D11-E11</f>
        <v>5.8999999999999986</v>
      </c>
      <c r="G11" s="82">
        <f>C11*F11</f>
        <v>2168940.2999999989</v>
      </c>
    </row>
    <row r="12" spans="1:9" x14ac:dyDescent="0.25">
      <c r="A12" s="207" t="s">
        <v>149</v>
      </c>
      <c r="B12" s="208">
        <f t="shared" ref="B12" si="0">SUM(B10:B11)</f>
        <v>20157</v>
      </c>
      <c r="C12" s="208">
        <f t="shared" ref="C12" si="1">SUM(C10:C11)</f>
        <v>543265.99999999988</v>
      </c>
      <c r="D12" s="83"/>
      <c r="E12" s="85"/>
      <c r="F12" s="85"/>
      <c r="G12" s="208">
        <f t="shared" ref="G12" si="2">SUM(G10:G11)</f>
        <v>8292064.4400000004</v>
      </c>
    </row>
    <row r="14" spans="1:9" ht="81" customHeight="1" x14ac:dyDescent="0.25">
      <c r="A14" s="520" t="s">
        <v>409</v>
      </c>
      <c r="B14" s="520"/>
      <c r="C14" s="520"/>
      <c r="D14" s="520"/>
      <c r="E14" s="520"/>
      <c r="F14" s="520"/>
      <c r="G14" s="520"/>
    </row>
    <row r="15" spans="1:9" x14ac:dyDescent="0.25">
      <c r="A15" s="209"/>
      <c r="B15" s="209"/>
      <c r="C15" s="209"/>
      <c r="D15" s="209"/>
      <c r="E15" s="209"/>
      <c r="F15" s="209"/>
      <c r="G15" s="209"/>
    </row>
    <row r="16" spans="1:9" s="109" customFormat="1" x14ac:dyDescent="0.25">
      <c r="A16" s="109" t="s">
        <v>328</v>
      </c>
      <c r="E16" s="210"/>
    </row>
    <row r="17" spans="1:8" s="106" customFormat="1" ht="63" x14ac:dyDescent="0.25">
      <c r="A17" s="113" t="s">
        <v>0</v>
      </c>
      <c r="B17" s="113" t="s">
        <v>317</v>
      </c>
      <c r="C17" s="113" t="s">
        <v>319</v>
      </c>
      <c r="D17" s="113" t="s">
        <v>176</v>
      </c>
      <c r="E17" s="113" t="s">
        <v>212</v>
      </c>
    </row>
    <row r="18" spans="1:8" s="106" customFormat="1" ht="65.25" customHeight="1" x14ac:dyDescent="0.25">
      <c r="A18" s="185" t="s">
        <v>318</v>
      </c>
      <c r="B18" s="116">
        <v>1640</v>
      </c>
      <c r="C18" s="113">
        <v>57.15</v>
      </c>
      <c r="D18" s="116">
        <f>C18*B18</f>
        <v>93726</v>
      </c>
      <c r="E18" s="116">
        <f>D18</f>
        <v>93726</v>
      </c>
    </row>
    <row r="19" spans="1:8" s="109" customFormat="1" x14ac:dyDescent="0.25">
      <c r="A19" s="211"/>
      <c r="B19" s="211"/>
      <c r="C19" s="211"/>
      <c r="D19" s="211"/>
      <c r="E19" s="212"/>
      <c r="F19" s="212"/>
      <c r="G19" s="211"/>
    </row>
    <row r="20" spans="1:8" s="109" customFormat="1" x14ac:dyDescent="0.25">
      <c r="A20" s="109" t="s">
        <v>320</v>
      </c>
      <c r="E20" s="210"/>
    </row>
    <row r="21" spans="1:8" s="109" customFormat="1" ht="78.75" x14ac:dyDescent="0.25">
      <c r="A21" s="203" t="s">
        <v>306</v>
      </c>
      <c r="B21" s="203" t="s">
        <v>321</v>
      </c>
      <c r="C21" s="203" t="s">
        <v>322</v>
      </c>
      <c r="D21" s="203" t="s">
        <v>323</v>
      </c>
    </row>
    <row r="22" spans="1:8" s="109" customFormat="1" x14ac:dyDescent="0.25">
      <c r="A22" s="204" t="s">
        <v>312</v>
      </c>
      <c r="B22" s="168">
        <v>535</v>
      </c>
      <c r="C22" s="92">
        <v>92.01</v>
      </c>
      <c r="D22" s="213">
        <f>B22*C22</f>
        <v>49225.350000000006</v>
      </c>
    </row>
    <row r="23" spans="1:8" s="109" customFormat="1" x14ac:dyDescent="0.25">
      <c r="A23" s="94" t="s">
        <v>324</v>
      </c>
      <c r="B23" s="168">
        <v>423</v>
      </c>
      <c r="C23" s="92">
        <v>63.05</v>
      </c>
      <c r="D23" s="213">
        <f>B23*C23</f>
        <v>26670.149999999998</v>
      </c>
    </row>
    <row r="24" spans="1:8" s="109" customFormat="1" x14ac:dyDescent="0.25">
      <c r="A24" s="94" t="s">
        <v>325</v>
      </c>
      <c r="B24" s="168">
        <v>263</v>
      </c>
      <c r="C24" s="92">
        <v>63.05</v>
      </c>
      <c r="D24" s="213">
        <f>B24*C24</f>
        <v>16582.149999999998</v>
      </c>
    </row>
    <row r="25" spans="1:8" s="109" customFormat="1" x14ac:dyDescent="0.25">
      <c r="A25" s="204" t="s">
        <v>326</v>
      </c>
      <c r="B25" s="168">
        <v>119</v>
      </c>
      <c r="C25" s="92">
        <v>63.05</v>
      </c>
      <c r="D25" s="213">
        <f>B25*C25</f>
        <v>7502.95</v>
      </c>
    </row>
    <row r="26" spans="1:8" s="109" customFormat="1" x14ac:dyDescent="0.25">
      <c r="A26" s="204" t="s">
        <v>327</v>
      </c>
      <c r="B26" s="168">
        <v>300</v>
      </c>
      <c r="C26" s="92">
        <v>63.05</v>
      </c>
      <c r="D26" s="213">
        <f>B26*C26</f>
        <v>18915</v>
      </c>
    </row>
    <row r="27" spans="1:8" s="109" customFormat="1" ht="14.25" customHeight="1" x14ac:dyDescent="0.25">
      <c r="A27" s="214" t="s">
        <v>149</v>
      </c>
      <c r="B27" s="215">
        <f>SUM(B22:B26)</f>
        <v>1640</v>
      </c>
      <c r="C27" s="92"/>
      <c r="D27" s="216">
        <f>SUM(D22:D26)</f>
        <v>118895.59999999999</v>
      </c>
    </row>
    <row r="28" spans="1:8" s="109" customFormat="1" x14ac:dyDescent="0.25"/>
    <row r="29" spans="1:8" x14ac:dyDescent="0.25">
      <c r="A29" s="217"/>
      <c r="B29" s="217"/>
      <c r="C29" s="217"/>
      <c r="D29" s="217"/>
      <c r="E29" s="217"/>
      <c r="F29" s="217"/>
      <c r="G29" s="217"/>
      <c r="H29" s="217"/>
    </row>
  </sheetData>
  <mergeCells count="8">
    <mergeCell ref="A14:G14"/>
    <mergeCell ref="G8:G9"/>
    <mergeCell ref="A2:G2"/>
    <mergeCell ref="A8:A9"/>
    <mergeCell ref="B8:B9"/>
    <mergeCell ref="C8:C9"/>
    <mergeCell ref="D8:F8"/>
    <mergeCell ref="A7:G7"/>
  </mergeCells>
  <pageMargins left="0.7" right="0.7" top="0.75" bottom="0.75" header="0.3" footer="0.3"/>
  <pageSetup paperSize="9"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4"/>
  <sheetViews>
    <sheetView zoomScaleNormal="100" workbookViewId="0">
      <selection activeCell="E15" sqref="E15"/>
    </sheetView>
  </sheetViews>
  <sheetFormatPr defaultColWidth="9.140625" defaultRowHeight="15.75" x14ac:dyDescent="0.25"/>
  <cols>
    <col min="1" max="1" width="33.5703125" style="106" customWidth="1"/>
    <col min="2" max="2" width="17.28515625" style="106" customWidth="1"/>
    <col min="3" max="3" width="14.85546875" style="106" customWidth="1"/>
    <col min="4" max="4" width="20.42578125" style="106" customWidth="1"/>
    <col min="5" max="5" width="15" style="106" customWidth="1"/>
    <col min="6" max="6" width="21.5703125" style="106" customWidth="1"/>
    <col min="7" max="7" width="17.42578125" style="106" customWidth="1"/>
    <col min="8" max="16384" width="9.140625" style="106"/>
  </cols>
  <sheetData>
    <row r="1" spans="1:9" x14ac:dyDescent="0.25">
      <c r="F1" s="137" t="s">
        <v>316</v>
      </c>
    </row>
    <row r="2" spans="1:9" ht="28.5" customHeight="1" x14ac:dyDescent="0.25">
      <c r="A2" s="476" t="s">
        <v>315</v>
      </c>
      <c r="B2" s="476"/>
      <c r="C2" s="476"/>
      <c r="D2" s="476"/>
      <c r="E2" s="476"/>
      <c r="F2" s="476"/>
      <c r="G2" s="218"/>
    </row>
    <row r="4" spans="1:9" s="109" customFormat="1" x14ac:dyDescent="0.25">
      <c r="A4" s="79" t="s">
        <v>220</v>
      </c>
      <c r="B4" s="79"/>
      <c r="C4" s="79"/>
      <c r="D4" s="79"/>
      <c r="E4" s="79"/>
      <c r="F4" s="79"/>
      <c r="G4" s="79"/>
      <c r="H4" s="108"/>
      <c r="I4" s="108"/>
    </row>
    <row r="5" spans="1:9" s="79" customFormat="1" x14ac:dyDescent="0.25">
      <c r="A5" s="79" t="s">
        <v>314</v>
      </c>
    </row>
    <row r="6" spans="1:9" s="109" customFormat="1" ht="36.75" customHeight="1" x14ac:dyDescent="0.25">
      <c r="A6" s="497" t="s">
        <v>429</v>
      </c>
      <c r="B6" s="497"/>
      <c r="C6" s="497"/>
      <c r="D6" s="497"/>
      <c r="E6" s="497"/>
      <c r="F6" s="497"/>
      <c r="G6" s="111"/>
      <c r="H6" s="108"/>
      <c r="I6" s="108"/>
    </row>
    <row r="8" spans="1:9" x14ac:dyDescent="0.25">
      <c r="A8" s="200" t="s">
        <v>261</v>
      </c>
    </row>
    <row r="9" spans="1:9" ht="94.5" x14ac:dyDescent="0.25">
      <c r="A9" s="113" t="s">
        <v>0</v>
      </c>
      <c r="B9" s="113" t="s">
        <v>317</v>
      </c>
      <c r="C9" s="113" t="s">
        <v>319</v>
      </c>
      <c r="D9" s="113" t="s">
        <v>176</v>
      </c>
      <c r="E9" s="113" t="s">
        <v>212</v>
      </c>
      <c r="F9" s="113" t="s">
        <v>404</v>
      </c>
    </row>
    <row r="10" spans="1:9" ht="51" customHeight="1" x14ac:dyDescent="0.25">
      <c r="A10" s="185" t="s">
        <v>318</v>
      </c>
      <c r="B10" s="116">
        <v>1574</v>
      </c>
      <c r="C10" s="113">
        <v>57.15</v>
      </c>
      <c r="D10" s="116">
        <f>ROUND(C10*B10,0)</f>
        <v>89954</v>
      </c>
      <c r="E10" s="116">
        <f>D10</f>
        <v>89954</v>
      </c>
      <c r="F10" s="116">
        <f>ROUND(E10/12*9,0)</f>
        <v>67466</v>
      </c>
    </row>
    <row r="12" spans="1:9" x14ac:dyDescent="0.25">
      <c r="A12" s="118" t="s">
        <v>285</v>
      </c>
    </row>
    <row r="13" spans="1:9" ht="63" x14ac:dyDescent="0.25">
      <c r="A13" s="113" t="s">
        <v>0</v>
      </c>
      <c r="B13" s="113" t="s">
        <v>317</v>
      </c>
      <c r="C13" s="113" t="s">
        <v>319</v>
      </c>
      <c r="D13" s="113" t="s">
        <v>182</v>
      </c>
      <c r="E13" s="113" t="s">
        <v>379</v>
      </c>
    </row>
    <row r="14" spans="1:9" ht="54.75" customHeight="1" x14ac:dyDescent="0.25">
      <c r="A14" s="185" t="s">
        <v>318</v>
      </c>
      <c r="B14" s="116">
        <v>1640</v>
      </c>
      <c r="C14" s="113">
        <v>57.15</v>
      </c>
      <c r="D14" s="116">
        <f>C14*B14</f>
        <v>93726</v>
      </c>
      <c r="E14" s="116">
        <f>D14</f>
        <v>93726</v>
      </c>
    </row>
  </sheetData>
  <mergeCells count="2">
    <mergeCell ref="A2:F2"/>
    <mergeCell ref="A6:F6"/>
  </mergeCells>
  <pageMargins left="0.7" right="0.7" top="0.75" bottom="0.75" header="0.3" footer="0.3"/>
  <pageSetup paperSize="9" scale="7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A0CF7-3E7F-49CE-80C1-33F6050A03A1}">
  <dimension ref="A1:L22"/>
  <sheetViews>
    <sheetView showGridLines="0" zoomScale="95" zoomScaleNormal="95" workbookViewId="0">
      <selection activeCell="H21" sqref="H21"/>
    </sheetView>
  </sheetViews>
  <sheetFormatPr defaultRowHeight="15.75" x14ac:dyDescent="0.25"/>
  <cols>
    <col min="1" max="1" width="48.140625" style="219" customWidth="1"/>
    <col min="2" max="2" width="31.140625" style="219" customWidth="1"/>
    <col min="3" max="3" width="20.85546875" style="219" customWidth="1"/>
    <col min="4" max="4" width="23.5703125" style="219" customWidth="1"/>
    <col min="5" max="5" width="25" style="219" customWidth="1"/>
    <col min="6" max="6" width="34.7109375" style="219" customWidth="1"/>
    <col min="7" max="11" width="9.140625" style="219"/>
    <col min="12" max="12" width="5.5703125" style="219" customWidth="1"/>
    <col min="13" max="13" width="13.140625" style="219" customWidth="1"/>
    <col min="14" max="14" width="51.42578125" style="219" customWidth="1"/>
    <col min="15" max="15" width="11.7109375" style="219" customWidth="1"/>
    <col min="16" max="254" width="9.140625" style="219"/>
    <col min="255" max="256" width="41" style="219" customWidth="1"/>
    <col min="257" max="257" width="23.42578125" style="219" customWidth="1"/>
    <col min="258" max="258" width="25" style="219" customWidth="1"/>
    <col min="259" max="259" width="43.140625" style="219" customWidth="1"/>
    <col min="260" max="260" width="14.5703125" style="219" customWidth="1"/>
    <col min="261" max="267" width="9.140625" style="219"/>
    <col min="268" max="268" width="5.5703125" style="219" customWidth="1"/>
    <col min="269" max="269" width="13.140625" style="219" customWidth="1"/>
    <col min="270" max="270" width="51.42578125" style="219" customWidth="1"/>
    <col min="271" max="271" width="11.7109375" style="219" customWidth="1"/>
    <col min="272" max="510" width="9.140625" style="219"/>
    <col min="511" max="512" width="41" style="219" customWidth="1"/>
    <col min="513" max="513" width="23.42578125" style="219" customWidth="1"/>
    <col min="514" max="514" width="25" style="219" customWidth="1"/>
    <col min="515" max="515" width="43.140625" style="219" customWidth="1"/>
    <col min="516" max="516" width="14.5703125" style="219" customWidth="1"/>
    <col min="517" max="523" width="9.140625" style="219"/>
    <col min="524" max="524" width="5.5703125" style="219" customWidth="1"/>
    <col min="525" max="525" width="13.140625" style="219" customWidth="1"/>
    <col min="526" max="526" width="51.42578125" style="219" customWidth="1"/>
    <col min="527" max="527" width="11.7109375" style="219" customWidth="1"/>
    <col min="528" max="766" width="9.140625" style="219"/>
    <col min="767" max="768" width="41" style="219" customWidth="1"/>
    <col min="769" max="769" width="23.42578125" style="219" customWidth="1"/>
    <col min="770" max="770" width="25" style="219" customWidth="1"/>
    <col min="771" max="771" width="43.140625" style="219" customWidth="1"/>
    <col min="772" max="772" width="14.5703125" style="219" customWidth="1"/>
    <col min="773" max="779" width="9.140625" style="219"/>
    <col min="780" max="780" width="5.5703125" style="219" customWidth="1"/>
    <col min="781" max="781" width="13.140625" style="219" customWidth="1"/>
    <col min="782" max="782" width="51.42578125" style="219" customWidth="1"/>
    <col min="783" max="783" width="11.7109375" style="219" customWidth="1"/>
    <col min="784" max="1022" width="9.140625" style="219"/>
    <col min="1023" max="1024" width="41" style="219" customWidth="1"/>
    <col min="1025" max="1025" width="23.42578125" style="219" customWidth="1"/>
    <col min="1026" max="1026" width="25" style="219" customWidth="1"/>
    <col min="1027" max="1027" width="43.140625" style="219" customWidth="1"/>
    <col min="1028" max="1028" width="14.5703125" style="219" customWidth="1"/>
    <col min="1029" max="1035" width="9.140625" style="219"/>
    <col min="1036" max="1036" width="5.5703125" style="219" customWidth="1"/>
    <col min="1037" max="1037" width="13.140625" style="219" customWidth="1"/>
    <col min="1038" max="1038" width="51.42578125" style="219" customWidth="1"/>
    <col min="1039" max="1039" width="11.7109375" style="219" customWidth="1"/>
    <col min="1040" max="1278" width="9.140625" style="219"/>
    <col min="1279" max="1280" width="41" style="219" customWidth="1"/>
    <col min="1281" max="1281" width="23.42578125" style="219" customWidth="1"/>
    <col min="1282" max="1282" width="25" style="219" customWidth="1"/>
    <col min="1283" max="1283" width="43.140625" style="219" customWidth="1"/>
    <col min="1284" max="1284" width="14.5703125" style="219" customWidth="1"/>
    <col min="1285" max="1291" width="9.140625" style="219"/>
    <col min="1292" max="1292" width="5.5703125" style="219" customWidth="1"/>
    <col min="1293" max="1293" width="13.140625" style="219" customWidth="1"/>
    <col min="1294" max="1294" width="51.42578125" style="219" customWidth="1"/>
    <col min="1295" max="1295" width="11.7109375" style="219" customWidth="1"/>
    <col min="1296" max="1534" width="9.140625" style="219"/>
    <col min="1535" max="1536" width="41" style="219" customWidth="1"/>
    <col min="1537" max="1537" width="23.42578125" style="219" customWidth="1"/>
    <col min="1538" max="1538" width="25" style="219" customWidth="1"/>
    <col min="1539" max="1539" width="43.140625" style="219" customWidth="1"/>
    <col min="1540" max="1540" width="14.5703125" style="219" customWidth="1"/>
    <col min="1541" max="1547" width="9.140625" style="219"/>
    <col min="1548" max="1548" width="5.5703125" style="219" customWidth="1"/>
    <col min="1549" max="1549" width="13.140625" style="219" customWidth="1"/>
    <col min="1550" max="1550" width="51.42578125" style="219" customWidth="1"/>
    <col min="1551" max="1551" width="11.7109375" style="219" customWidth="1"/>
    <col min="1552" max="1790" width="9.140625" style="219"/>
    <col min="1791" max="1792" width="41" style="219" customWidth="1"/>
    <col min="1793" max="1793" width="23.42578125" style="219" customWidth="1"/>
    <col min="1794" max="1794" width="25" style="219" customWidth="1"/>
    <col min="1795" max="1795" width="43.140625" style="219" customWidth="1"/>
    <col min="1796" max="1796" width="14.5703125" style="219" customWidth="1"/>
    <col min="1797" max="1803" width="9.140625" style="219"/>
    <col min="1804" max="1804" width="5.5703125" style="219" customWidth="1"/>
    <col min="1805" max="1805" width="13.140625" style="219" customWidth="1"/>
    <col min="1806" max="1806" width="51.42578125" style="219" customWidth="1"/>
    <col min="1807" max="1807" width="11.7109375" style="219" customWidth="1"/>
    <col min="1808" max="2046" width="9.140625" style="219"/>
    <col min="2047" max="2048" width="41" style="219" customWidth="1"/>
    <col min="2049" max="2049" width="23.42578125" style="219" customWidth="1"/>
    <col min="2050" max="2050" width="25" style="219" customWidth="1"/>
    <col min="2051" max="2051" width="43.140625" style="219" customWidth="1"/>
    <col min="2052" max="2052" width="14.5703125" style="219" customWidth="1"/>
    <col min="2053" max="2059" width="9.140625" style="219"/>
    <col min="2060" max="2060" width="5.5703125" style="219" customWidth="1"/>
    <col min="2061" max="2061" width="13.140625" style="219" customWidth="1"/>
    <col min="2062" max="2062" width="51.42578125" style="219" customWidth="1"/>
    <col min="2063" max="2063" width="11.7109375" style="219" customWidth="1"/>
    <col min="2064" max="2302" width="9.140625" style="219"/>
    <col min="2303" max="2304" width="41" style="219" customWidth="1"/>
    <col min="2305" max="2305" width="23.42578125" style="219" customWidth="1"/>
    <col min="2306" max="2306" width="25" style="219" customWidth="1"/>
    <col min="2307" max="2307" width="43.140625" style="219" customWidth="1"/>
    <col min="2308" max="2308" width="14.5703125" style="219" customWidth="1"/>
    <col min="2309" max="2315" width="9.140625" style="219"/>
    <col min="2316" max="2316" width="5.5703125" style="219" customWidth="1"/>
    <col min="2317" max="2317" width="13.140625" style="219" customWidth="1"/>
    <col min="2318" max="2318" width="51.42578125" style="219" customWidth="1"/>
    <col min="2319" max="2319" width="11.7109375" style="219" customWidth="1"/>
    <col min="2320" max="2558" width="9.140625" style="219"/>
    <col min="2559" max="2560" width="41" style="219" customWidth="1"/>
    <col min="2561" max="2561" width="23.42578125" style="219" customWidth="1"/>
    <col min="2562" max="2562" width="25" style="219" customWidth="1"/>
    <col min="2563" max="2563" width="43.140625" style="219" customWidth="1"/>
    <col min="2564" max="2564" width="14.5703125" style="219" customWidth="1"/>
    <col min="2565" max="2571" width="9.140625" style="219"/>
    <col min="2572" max="2572" width="5.5703125" style="219" customWidth="1"/>
    <col min="2573" max="2573" width="13.140625" style="219" customWidth="1"/>
    <col min="2574" max="2574" width="51.42578125" style="219" customWidth="1"/>
    <col min="2575" max="2575" width="11.7109375" style="219" customWidth="1"/>
    <col min="2576" max="2814" width="9.140625" style="219"/>
    <col min="2815" max="2816" width="41" style="219" customWidth="1"/>
    <col min="2817" max="2817" width="23.42578125" style="219" customWidth="1"/>
    <col min="2818" max="2818" width="25" style="219" customWidth="1"/>
    <col min="2819" max="2819" width="43.140625" style="219" customWidth="1"/>
    <col min="2820" max="2820" width="14.5703125" style="219" customWidth="1"/>
    <col min="2821" max="2827" width="9.140625" style="219"/>
    <col min="2828" max="2828" width="5.5703125" style="219" customWidth="1"/>
    <col min="2829" max="2829" width="13.140625" style="219" customWidth="1"/>
    <col min="2830" max="2830" width="51.42578125" style="219" customWidth="1"/>
    <col min="2831" max="2831" width="11.7109375" style="219" customWidth="1"/>
    <col min="2832" max="3070" width="9.140625" style="219"/>
    <col min="3071" max="3072" width="41" style="219" customWidth="1"/>
    <col min="3073" max="3073" width="23.42578125" style="219" customWidth="1"/>
    <col min="3074" max="3074" width="25" style="219" customWidth="1"/>
    <col min="3075" max="3075" width="43.140625" style="219" customWidth="1"/>
    <col min="3076" max="3076" width="14.5703125" style="219" customWidth="1"/>
    <col min="3077" max="3083" width="9.140625" style="219"/>
    <col min="3084" max="3084" width="5.5703125" style="219" customWidth="1"/>
    <col min="3085" max="3085" width="13.140625" style="219" customWidth="1"/>
    <col min="3086" max="3086" width="51.42578125" style="219" customWidth="1"/>
    <col min="3087" max="3087" width="11.7109375" style="219" customWidth="1"/>
    <col min="3088" max="3326" width="9.140625" style="219"/>
    <col min="3327" max="3328" width="41" style="219" customWidth="1"/>
    <col min="3329" max="3329" width="23.42578125" style="219" customWidth="1"/>
    <col min="3330" max="3330" width="25" style="219" customWidth="1"/>
    <col min="3331" max="3331" width="43.140625" style="219" customWidth="1"/>
    <col min="3332" max="3332" width="14.5703125" style="219" customWidth="1"/>
    <col min="3333" max="3339" width="9.140625" style="219"/>
    <col min="3340" max="3340" width="5.5703125" style="219" customWidth="1"/>
    <col min="3341" max="3341" width="13.140625" style="219" customWidth="1"/>
    <col min="3342" max="3342" width="51.42578125" style="219" customWidth="1"/>
    <col min="3343" max="3343" width="11.7109375" style="219" customWidth="1"/>
    <col min="3344" max="3582" width="9.140625" style="219"/>
    <col min="3583" max="3584" width="41" style="219" customWidth="1"/>
    <col min="3585" max="3585" width="23.42578125" style="219" customWidth="1"/>
    <col min="3586" max="3586" width="25" style="219" customWidth="1"/>
    <col min="3587" max="3587" width="43.140625" style="219" customWidth="1"/>
    <col min="3588" max="3588" width="14.5703125" style="219" customWidth="1"/>
    <col min="3589" max="3595" width="9.140625" style="219"/>
    <col min="3596" max="3596" width="5.5703125" style="219" customWidth="1"/>
    <col min="3597" max="3597" width="13.140625" style="219" customWidth="1"/>
    <col min="3598" max="3598" width="51.42578125" style="219" customWidth="1"/>
    <col min="3599" max="3599" width="11.7109375" style="219" customWidth="1"/>
    <col min="3600" max="3838" width="9.140625" style="219"/>
    <col min="3839" max="3840" width="41" style="219" customWidth="1"/>
    <col min="3841" max="3841" width="23.42578125" style="219" customWidth="1"/>
    <col min="3842" max="3842" width="25" style="219" customWidth="1"/>
    <col min="3843" max="3843" width="43.140625" style="219" customWidth="1"/>
    <col min="3844" max="3844" width="14.5703125" style="219" customWidth="1"/>
    <col min="3845" max="3851" width="9.140625" style="219"/>
    <col min="3852" max="3852" width="5.5703125" style="219" customWidth="1"/>
    <col min="3853" max="3853" width="13.140625" style="219" customWidth="1"/>
    <col min="3854" max="3854" width="51.42578125" style="219" customWidth="1"/>
    <col min="3855" max="3855" width="11.7109375" style="219" customWidth="1"/>
    <col min="3856" max="4094" width="9.140625" style="219"/>
    <col min="4095" max="4096" width="41" style="219" customWidth="1"/>
    <col min="4097" max="4097" width="23.42578125" style="219" customWidth="1"/>
    <col min="4098" max="4098" width="25" style="219" customWidth="1"/>
    <col min="4099" max="4099" width="43.140625" style="219" customWidth="1"/>
    <col min="4100" max="4100" width="14.5703125" style="219" customWidth="1"/>
    <col min="4101" max="4107" width="9.140625" style="219"/>
    <col min="4108" max="4108" width="5.5703125" style="219" customWidth="1"/>
    <col min="4109" max="4109" width="13.140625" style="219" customWidth="1"/>
    <col min="4110" max="4110" width="51.42578125" style="219" customWidth="1"/>
    <col min="4111" max="4111" width="11.7109375" style="219" customWidth="1"/>
    <col min="4112" max="4350" width="9.140625" style="219"/>
    <col min="4351" max="4352" width="41" style="219" customWidth="1"/>
    <col min="4353" max="4353" width="23.42578125" style="219" customWidth="1"/>
    <col min="4354" max="4354" width="25" style="219" customWidth="1"/>
    <col min="4355" max="4355" width="43.140625" style="219" customWidth="1"/>
    <col min="4356" max="4356" width="14.5703125" style="219" customWidth="1"/>
    <col min="4357" max="4363" width="9.140625" style="219"/>
    <col min="4364" max="4364" width="5.5703125" style="219" customWidth="1"/>
    <col min="4365" max="4365" width="13.140625" style="219" customWidth="1"/>
    <col min="4366" max="4366" width="51.42578125" style="219" customWidth="1"/>
    <col min="4367" max="4367" width="11.7109375" style="219" customWidth="1"/>
    <col min="4368" max="4606" width="9.140625" style="219"/>
    <col min="4607" max="4608" width="41" style="219" customWidth="1"/>
    <col min="4609" max="4609" width="23.42578125" style="219" customWidth="1"/>
    <col min="4610" max="4610" width="25" style="219" customWidth="1"/>
    <col min="4611" max="4611" width="43.140625" style="219" customWidth="1"/>
    <col min="4612" max="4612" width="14.5703125" style="219" customWidth="1"/>
    <col min="4613" max="4619" width="9.140625" style="219"/>
    <col min="4620" max="4620" width="5.5703125" style="219" customWidth="1"/>
    <col min="4621" max="4621" width="13.140625" style="219" customWidth="1"/>
    <col min="4622" max="4622" width="51.42578125" style="219" customWidth="1"/>
    <col min="4623" max="4623" width="11.7109375" style="219" customWidth="1"/>
    <col min="4624" max="4862" width="9.140625" style="219"/>
    <col min="4863" max="4864" width="41" style="219" customWidth="1"/>
    <col min="4865" max="4865" width="23.42578125" style="219" customWidth="1"/>
    <col min="4866" max="4866" width="25" style="219" customWidth="1"/>
    <col min="4867" max="4867" width="43.140625" style="219" customWidth="1"/>
    <col min="4868" max="4868" width="14.5703125" style="219" customWidth="1"/>
    <col min="4869" max="4875" width="9.140625" style="219"/>
    <col min="4876" max="4876" width="5.5703125" style="219" customWidth="1"/>
    <col min="4877" max="4877" width="13.140625" style="219" customWidth="1"/>
    <col min="4878" max="4878" width="51.42578125" style="219" customWidth="1"/>
    <col min="4879" max="4879" width="11.7109375" style="219" customWidth="1"/>
    <col min="4880" max="5118" width="9.140625" style="219"/>
    <col min="5119" max="5120" width="41" style="219" customWidth="1"/>
    <col min="5121" max="5121" width="23.42578125" style="219" customWidth="1"/>
    <col min="5122" max="5122" width="25" style="219" customWidth="1"/>
    <col min="5123" max="5123" width="43.140625" style="219" customWidth="1"/>
    <col min="5124" max="5124" width="14.5703125" style="219" customWidth="1"/>
    <col min="5125" max="5131" width="9.140625" style="219"/>
    <col min="5132" max="5132" width="5.5703125" style="219" customWidth="1"/>
    <col min="5133" max="5133" width="13.140625" style="219" customWidth="1"/>
    <col min="5134" max="5134" width="51.42578125" style="219" customWidth="1"/>
    <col min="5135" max="5135" width="11.7109375" style="219" customWidth="1"/>
    <col min="5136" max="5374" width="9.140625" style="219"/>
    <col min="5375" max="5376" width="41" style="219" customWidth="1"/>
    <col min="5377" max="5377" width="23.42578125" style="219" customWidth="1"/>
    <col min="5378" max="5378" width="25" style="219" customWidth="1"/>
    <col min="5379" max="5379" width="43.140625" style="219" customWidth="1"/>
    <col min="5380" max="5380" width="14.5703125" style="219" customWidth="1"/>
    <col min="5381" max="5387" width="9.140625" style="219"/>
    <col min="5388" max="5388" width="5.5703125" style="219" customWidth="1"/>
    <col min="5389" max="5389" width="13.140625" style="219" customWidth="1"/>
    <col min="5390" max="5390" width="51.42578125" style="219" customWidth="1"/>
    <col min="5391" max="5391" width="11.7109375" style="219" customWidth="1"/>
    <col min="5392" max="5630" width="9.140625" style="219"/>
    <col min="5631" max="5632" width="41" style="219" customWidth="1"/>
    <col min="5633" max="5633" width="23.42578125" style="219" customWidth="1"/>
    <col min="5634" max="5634" width="25" style="219" customWidth="1"/>
    <col min="5635" max="5635" width="43.140625" style="219" customWidth="1"/>
    <col min="5636" max="5636" width="14.5703125" style="219" customWidth="1"/>
    <col min="5637" max="5643" width="9.140625" style="219"/>
    <col min="5644" max="5644" width="5.5703125" style="219" customWidth="1"/>
    <col min="5645" max="5645" width="13.140625" style="219" customWidth="1"/>
    <col min="5646" max="5646" width="51.42578125" style="219" customWidth="1"/>
    <col min="5647" max="5647" width="11.7109375" style="219" customWidth="1"/>
    <col min="5648" max="5886" width="9.140625" style="219"/>
    <col min="5887" max="5888" width="41" style="219" customWidth="1"/>
    <col min="5889" max="5889" width="23.42578125" style="219" customWidth="1"/>
    <col min="5890" max="5890" width="25" style="219" customWidth="1"/>
    <col min="5891" max="5891" width="43.140625" style="219" customWidth="1"/>
    <col min="5892" max="5892" width="14.5703125" style="219" customWidth="1"/>
    <col min="5893" max="5899" width="9.140625" style="219"/>
    <col min="5900" max="5900" width="5.5703125" style="219" customWidth="1"/>
    <col min="5901" max="5901" width="13.140625" style="219" customWidth="1"/>
    <col min="5902" max="5902" width="51.42578125" style="219" customWidth="1"/>
    <col min="5903" max="5903" width="11.7109375" style="219" customWidth="1"/>
    <col min="5904" max="6142" width="9.140625" style="219"/>
    <col min="6143" max="6144" width="41" style="219" customWidth="1"/>
    <col min="6145" max="6145" width="23.42578125" style="219" customWidth="1"/>
    <col min="6146" max="6146" width="25" style="219" customWidth="1"/>
    <col min="6147" max="6147" width="43.140625" style="219" customWidth="1"/>
    <col min="6148" max="6148" width="14.5703125" style="219" customWidth="1"/>
    <col min="6149" max="6155" width="9.140625" style="219"/>
    <col min="6156" max="6156" width="5.5703125" style="219" customWidth="1"/>
    <col min="6157" max="6157" width="13.140625" style="219" customWidth="1"/>
    <col min="6158" max="6158" width="51.42578125" style="219" customWidth="1"/>
    <col min="6159" max="6159" width="11.7109375" style="219" customWidth="1"/>
    <col min="6160" max="6398" width="9.140625" style="219"/>
    <col min="6399" max="6400" width="41" style="219" customWidth="1"/>
    <col min="6401" max="6401" width="23.42578125" style="219" customWidth="1"/>
    <col min="6402" max="6402" width="25" style="219" customWidth="1"/>
    <col min="6403" max="6403" width="43.140625" style="219" customWidth="1"/>
    <col min="6404" max="6404" width="14.5703125" style="219" customWidth="1"/>
    <col min="6405" max="6411" width="9.140625" style="219"/>
    <col min="6412" max="6412" width="5.5703125" style="219" customWidth="1"/>
    <col min="6413" max="6413" width="13.140625" style="219" customWidth="1"/>
    <col min="6414" max="6414" width="51.42578125" style="219" customWidth="1"/>
    <col min="6415" max="6415" width="11.7109375" style="219" customWidth="1"/>
    <col min="6416" max="6654" width="9.140625" style="219"/>
    <col min="6655" max="6656" width="41" style="219" customWidth="1"/>
    <col min="6657" max="6657" width="23.42578125" style="219" customWidth="1"/>
    <col min="6658" max="6658" width="25" style="219" customWidth="1"/>
    <col min="6659" max="6659" width="43.140625" style="219" customWidth="1"/>
    <col min="6660" max="6660" width="14.5703125" style="219" customWidth="1"/>
    <col min="6661" max="6667" width="9.140625" style="219"/>
    <col min="6668" max="6668" width="5.5703125" style="219" customWidth="1"/>
    <col min="6669" max="6669" width="13.140625" style="219" customWidth="1"/>
    <col min="6670" max="6670" width="51.42578125" style="219" customWidth="1"/>
    <col min="6671" max="6671" width="11.7109375" style="219" customWidth="1"/>
    <col min="6672" max="6910" width="9.140625" style="219"/>
    <col min="6911" max="6912" width="41" style="219" customWidth="1"/>
    <col min="6913" max="6913" width="23.42578125" style="219" customWidth="1"/>
    <col min="6914" max="6914" width="25" style="219" customWidth="1"/>
    <col min="6915" max="6915" width="43.140625" style="219" customWidth="1"/>
    <col min="6916" max="6916" width="14.5703125" style="219" customWidth="1"/>
    <col min="6917" max="6923" width="9.140625" style="219"/>
    <col min="6924" max="6924" width="5.5703125" style="219" customWidth="1"/>
    <col min="6925" max="6925" width="13.140625" style="219" customWidth="1"/>
    <col min="6926" max="6926" width="51.42578125" style="219" customWidth="1"/>
    <col min="6927" max="6927" width="11.7109375" style="219" customWidth="1"/>
    <col min="6928" max="7166" width="9.140625" style="219"/>
    <col min="7167" max="7168" width="41" style="219" customWidth="1"/>
    <col min="7169" max="7169" width="23.42578125" style="219" customWidth="1"/>
    <col min="7170" max="7170" width="25" style="219" customWidth="1"/>
    <col min="7171" max="7171" width="43.140625" style="219" customWidth="1"/>
    <col min="7172" max="7172" width="14.5703125" style="219" customWidth="1"/>
    <col min="7173" max="7179" width="9.140625" style="219"/>
    <col min="7180" max="7180" width="5.5703125" style="219" customWidth="1"/>
    <col min="7181" max="7181" width="13.140625" style="219" customWidth="1"/>
    <col min="7182" max="7182" width="51.42578125" style="219" customWidth="1"/>
    <col min="7183" max="7183" width="11.7109375" style="219" customWidth="1"/>
    <col min="7184" max="7422" width="9.140625" style="219"/>
    <col min="7423" max="7424" width="41" style="219" customWidth="1"/>
    <col min="7425" max="7425" width="23.42578125" style="219" customWidth="1"/>
    <col min="7426" max="7426" width="25" style="219" customWidth="1"/>
    <col min="7427" max="7427" width="43.140625" style="219" customWidth="1"/>
    <col min="7428" max="7428" width="14.5703125" style="219" customWidth="1"/>
    <col min="7429" max="7435" width="9.140625" style="219"/>
    <col min="7436" max="7436" width="5.5703125" style="219" customWidth="1"/>
    <col min="7437" max="7437" width="13.140625" style="219" customWidth="1"/>
    <col min="7438" max="7438" width="51.42578125" style="219" customWidth="1"/>
    <col min="7439" max="7439" width="11.7109375" style="219" customWidth="1"/>
    <col min="7440" max="7678" width="9.140625" style="219"/>
    <col min="7679" max="7680" width="41" style="219" customWidth="1"/>
    <col min="7681" max="7681" width="23.42578125" style="219" customWidth="1"/>
    <col min="7682" max="7682" width="25" style="219" customWidth="1"/>
    <col min="7683" max="7683" width="43.140625" style="219" customWidth="1"/>
    <col min="7684" max="7684" width="14.5703125" style="219" customWidth="1"/>
    <col min="7685" max="7691" width="9.140625" style="219"/>
    <col min="7692" max="7692" width="5.5703125" style="219" customWidth="1"/>
    <col min="7693" max="7693" width="13.140625" style="219" customWidth="1"/>
    <col min="7694" max="7694" width="51.42578125" style="219" customWidth="1"/>
    <col min="7695" max="7695" width="11.7109375" style="219" customWidth="1"/>
    <col min="7696" max="7934" width="9.140625" style="219"/>
    <col min="7935" max="7936" width="41" style="219" customWidth="1"/>
    <col min="7937" max="7937" width="23.42578125" style="219" customWidth="1"/>
    <col min="7938" max="7938" width="25" style="219" customWidth="1"/>
    <col min="7939" max="7939" width="43.140625" style="219" customWidth="1"/>
    <col min="7940" max="7940" width="14.5703125" style="219" customWidth="1"/>
    <col min="7941" max="7947" width="9.140625" style="219"/>
    <col min="7948" max="7948" width="5.5703125" style="219" customWidth="1"/>
    <col min="7949" max="7949" width="13.140625" style="219" customWidth="1"/>
    <col min="7950" max="7950" width="51.42578125" style="219" customWidth="1"/>
    <col min="7951" max="7951" width="11.7109375" style="219" customWidth="1"/>
    <col min="7952" max="8190" width="9.140625" style="219"/>
    <col min="8191" max="8192" width="41" style="219" customWidth="1"/>
    <col min="8193" max="8193" width="23.42578125" style="219" customWidth="1"/>
    <col min="8194" max="8194" width="25" style="219" customWidth="1"/>
    <col min="8195" max="8195" width="43.140625" style="219" customWidth="1"/>
    <col min="8196" max="8196" width="14.5703125" style="219" customWidth="1"/>
    <col min="8197" max="8203" width="9.140625" style="219"/>
    <col min="8204" max="8204" width="5.5703125" style="219" customWidth="1"/>
    <col min="8205" max="8205" width="13.140625" style="219" customWidth="1"/>
    <col min="8206" max="8206" width="51.42578125" style="219" customWidth="1"/>
    <col min="8207" max="8207" width="11.7109375" style="219" customWidth="1"/>
    <col min="8208" max="8446" width="9.140625" style="219"/>
    <col min="8447" max="8448" width="41" style="219" customWidth="1"/>
    <col min="8449" max="8449" width="23.42578125" style="219" customWidth="1"/>
    <col min="8450" max="8450" width="25" style="219" customWidth="1"/>
    <col min="8451" max="8451" width="43.140625" style="219" customWidth="1"/>
    <col min="8452" max="8452" width="14.5703125" style="219" customWidth="1"/>
    <col min="8453" max="8459" width="9.140625" style="219"/>
    <col min="8460" max="8460" width="5.5703125" style="219" customWidth="1"/>
    <col min="8461" max="8461" width="13.140625" style="219" customWidth="1"/>
    <col min="8462" max="8462" width="51.42578125" style="219" customWidth="1"/>
    <col min="8463" max="8463" width="11.7109375" style="219" customWidth="1"/>
    <col min="8464" max="8702" width="9.140625" style="219"/>
    <col min="8703" max="8704" width="41" style="219" customWidth="1"/>
    <col min="8705" max="8705" width="23.42578125" style="219" customWidth="1"/>
    <col min="8706" max="8706" width="25" style="219" customWidth="1"/>
    <col min="8707" max="8707" width="43.140625" style="219" customWidth="1"/>
    <col min="8708" max="8708" width="14.5703125" style="219" customWidth="1"/>
    <col min="8709" max="8715" width="9.140625" style="219"/>
    <col min="8716" max="8716" width="5.5703125" style="219" customWidth="1"/>
    <col min="8717" max="8717" width="13.140625" style="219" customWidth="1"/>
    <col min="8718" max="8718" width="51.42578125" style="219" customWidth="1"/>
    <col min="8719" max="8719" width="11.7109375" style="219" customWidth="1"/>
    <col min="8720" max="8958" width="9.140625" style="219"/>
    <col min="8959" max="8960" width="41" style="219" customWidth="1"/>
    <col min="8961" max="8961" width="23.42578125" style="219" customWidth="1"/>
    <col min="8962" max="8962" width="25" style="219" customWidth="1"/>
    <col min="8963" max="8963" width="43.140625" style="219" customWidth="1"/>
    <col min="8964" max="8964" width="14.5703125" style="219" customWidth="1"/>
    <col min="8965" max="8971" width="9.140625" style="219"/>
    <col min="8972" max="8972" width="5.5703125" style="219" customWidth="1"/>
    <col min="8973" max="8973" width="13.140625" style="219" customWidth="1"/>
    <col min="8974" max="8974" width="51.42578125" style="219" customWidth="1"/>
    <col min="8975" max="8975" width="11.7109375" style="219" customWidth="1"/>
    <col min="8976" max="9214" width="9.140625" style="219"/>
    <col min="9215" max="9216" width="41" style="219" customWidth="1"/>
    <col min="9217" max="9217" width="23.42578125" style="219" customWidth="1"/>
    <col min="9218" max="9218" width="25" style="219" customWidth="1"/>
    <col min="9219" max="9219" width="43.140625" style="219" customWidth="1"/>
    <col min="9220" max="9220" width="14.5703125" style="219" customWidth="1"/>
    <col min="9221" max="9227" width="9.140625" style="219"/>
    <col min="9228" max="9228" width="5.5703125" style="219" customWidth="1"/>
    <col min="9229" max="9229" width="13.140625" style="219" customWidth="1"/>
    <col min="9230" max="9230" width="51.42578125" style="219" customWidth="1"/>
    <col min="9231" max="9231" width="11.7109375" style="219" customWidth="1"/>
    <col min="9232" max="9470" width="9.140625" style="219"/>
    <col min="9471" max="9472" width="41" style="219" customWidth="1"/>
    <col min="9473" max="9473" width="23.42578125" style="219" customWidth="1"/>
    <col min="9474" max="9474" width="25" style="219" customWidth="1"/>
    <col min="9475" max="9475" width="43.140625" style="219" customWidth="1"/>
    <col min="9476" max="9476" width="14.5703125" style="219" customWidth="1"/>
    <col min="9477" max="9483" width="9.140625" style="219"/>
    <col min="9484" max="9484" width="5.5703125" style="219" customWidth="1"/>
    <col min="9485" max="9485" width="13.140625" style="219" customWidth="1"/>
    <col min="9486" max="9486" width="51.42578125" style="219" customWidth="1"/>
    <col min="9487" max="9487" width="11.7109375" style="219" customWidth="1"/>
    <col min="9488" max="9726" width="9.140625" style="219"/>
    <col min="9727" max="9728" width="41" style="219" customWidth="1"/>
    <col min="9729" max="9729" width="23.42578125" style="219" customWidth="1"/>
    <col min="9730" max="9730" width="25" style="219" customWidth="1"/>
    <col min="9731" max="9731" width="43.140625" style="219" customWidth="1"/>
    <col min="9732" max="9732" width="14.5703125" style="219" customWidth="1"/>
    <col min="9733" max="9739" width="9.140625" style="219"/>
    <col min="9740" max="9740" width="5.5703125" style="219" customWidth="1"/>
    <col min="9741" max="9741" width="13.140625" style="219" customWidth="1"/>
    <col min="9742" max="9742" width="51.42578125" style="219" customWidth="1"/>
    <col min="9743" max="9743" width="11.7109375" style="219" customWidth="1"/>
    <col min="9744" max="9982" width="9.140625" style="219"/>
    <col min="9983" max="9984" width="41" style="219" customWidth="1"/>
    <col min="9985" max="9985" width="23.42578125" style="219" customWidth="1"/>
    <col min="9986" max="9986" width="25" style="219" customWidth="1"/>
    <col min="9987" max="9987" width="43.140625" style="219" customWidth="1"/>
    <col min="9988" max="9988" width="14.5703125" style="219" customWidth="1"/>
    <col min="9989" max="9995" width="9.140625" style="219"/>
    <col min="9996" max="9996" width="5.5703125" style="219" customWidth="1"/>
    <col min="9997" max="9997" width="13.140625" style="219" customWidth="1"/>
    <col min="9998" max="9998" width="51.42578125" style="219" customWidth="1"/>
    <col min="9999" max="9999" width="11.7109375" style="219" customWidth="1"/>
    <col min="10000" max="10238" width="9.140625" style="219"/>
    <col min="10239" max="10240" width="41" style="219" customWidth="1"/>
    <col min="10241" max="10241" width="23.42578125" style="219" customWidth="1"/>
    <col min="10242" max="10242" width="25" style="219" customWidth="1"/>
    <col min="10243" max="10243" width="43.140625" style="219" customWidth="1"/>
    <col min="10244" max="10244" width="14.5703125" style="219" customWidth="1"/>
    <col min="10245" max="10251" width="9.140625" style="219"/>
    <col min="10252" max="10252" width="5.5703125" style="219" customWidth="1"/>
    <col min="10253" max="10253" width="13.140625" style="219" customWidth="1"/>
    <col min="10254" max="10254" width="51.42578125" style="219" customWidth="1"/>
    <col min="10255" max="10255" width="11.7109375" style="219" customWidth="1"/>
    <col min="10256" max="10494" width="9.140625" style="219"/>
    <col min="10495" max="10496" width="41" style="219" customWidth="1"/>
    <col min="10497" max="10497" width="23.42578125" style="219" customWidth="1"/>
    <col min="10498" max="10498" width="25" style="219" customWidth="1"/>
    <col min="10499" max="10499" width="43.140625" style="219" customWidth="1"/>
    <col min="10500" max="10500" width="14.5703125" style="219" customWidth="1"/>
    <col min="10501" max="10507" width="9.140625" style="219"/>
    <col min="10508" max="10508" width="5.5703125" style="219" customWidth="1"/>
    <col min="10509" max="10509" width="13.140625" style="219" customWidth="1"/>
    <col min="10510" max="10510" width="51.42578125" style="219" customWidth="1"/>
    <col min="10511" max="10511" width="11.7109375" style="219" customWidth="1"/>
    <col min="10512" max="10750" width="9.140625" style="219"/>
    <col min="10751" max="10752" width="41" style="219" customWidth="1"/>
    <col min="10753" max="10753" width="23.42578125" style="219" customWidth="1"/>
    <col min="10754" max="10754" width="25" style="219" customWidth="1"/>
    <col min="10755" max="10755" width="43.140625" style="219" customWidth="1"/>
    <col min="10756" max="10756" width="14.5703125" style="219" customWidth="1"/>
    <col min="10757" max="10763" width="9.140625" style="219"/>
    <col min="10764" max="10764" width="5.5703125" style="219" customWidth="1"/>
    <col min="10765" max="10765" width="13.140625" style="219" customWidth="1"/>
    <col min="10766" max="10766" width="51.42578125" style="219" customWidth="1"/>
    <col min="10767" max="10767" width="11.7109375" style="219" customWidth="1"/>
    <col min="10768" max="11006" width="9.140625" style="219"/>
    <col min="11007" max="11008" width="41" style="219" customWidth="1"/>
    <col min="11009" max="11009" width="23.42578125" style="219" customWidth="1"/>
    <col min="11010" max="11010" width="25" style="219" customWidth="1"/>
    <col min="11011" max="11011" width="43.140625" style="219" customWidth="1"/>
    <col min="11012" max="11012" width="14.5703125" style="219" customWidth="1"/>
    <col min="11013" max="11019" width="9.140625" style="219"/>
    <col min="11020" max="11020" width="5.5703125" style="219" customWidth="1"/>
    <col min="11021" max="11021" width="13.140625" style="219" customWidth="1"/>
    <col min="11022" max="11022" width="51.42578125" style="219" customWidth="1"/>
    <col min="11023" max="11023" width="11.7109375" style="219" customWidth="1"/>
    <col min="11024" max="11262" width="9.140625" style="219"/>
    <col min="11263" max="11264" width="41" style="219" customWidth="1"/>
    <col min="11265" max="11265" width="23.42578125" style="219" customWidth="1"/>
    <col min="11266" max="11266" width="25" style="219" customWidth="1"/>
    <col min="11267" max="11267" width="43.140625" style="219" customWidth="1"/>
    <col min="11268" max="11268" width="14.5703125" style="219" customWidth="1"/>
    <col min="11269" max="11275" width="9.140625" style="219"/>
    <col min="11276" max="11276" width="5.5703125" style="219" customWidth="1"/>
    <col min="11277" max="11277" width="13.140625" style="219" customWidth="1"/>
    <col min="11278" max="11278" width="51.42578125" style="219" customWidth="1"/>
    <col min="11279" max="11279" width="11.7109375" style="219" customWidth="1"/>
    <col min="11280" max="11518" width="9.140625" style="219"/>
    <col min="11519" max="11520" width="41" style="219" customWidth="1"/>
    <col min="11521" max="11521" width="23.42578125" style="219" customWidth="1"/>
    <col min="11522" max="11522" width="25" style="219" customWidth="1"/>
    <col min="11523" max="11523" width="43.140625" style="219" customWidth="1"/>
    <col min="11524" max="11524" width="14.5703125" style="219" customWidth="1"/>
    <col min="11525" max="11531" width="9.140625" style="219"/>
    <col min="11532" max="11532" width="5.5703125" style="219" customWidth="1"/>
    <col min="11533" max="11533" width="13.140625" style="219" customWidth="1"/>
    <col min="11534" max="11534" width="51.42578125" style="219" customWidth="1"/>
    <col min="11535" max="11535" width="11.7109375" style="219" customWidth="1"/>
    <col min="11536" max="11774" width="9.140625" style="219"/>
    <col min="11775" max="11776" width="41" style="219" customWidth="1"/>
    <col min="11777" max="11777" width="23.42578125" style="219" customWidth="1"/>
    <col min="11778" max="11778" width="25" style="219" customWidth="1"/>
    <col min="11779" max="11779" width="43.140625" style="219" customWidth="1"/>
    <col min="11780" max="11780" width="14.5703125" style="219" customWidth="1"/>
    <col min="11781" max="11787" width="9.140625" style="219"/>
    <col min="11788" max="11788" width="5.5703125" style="219" customWidth="1"/>
    <col min="11789" max="11789" width="13.140625" style="219" customWidth="1"/>
    <col min="11790" max="11790" width="51.42578125" style="219" customWidth="1"/>
    <col min="11791" max="11791" width="11.7109375" style="219" customWidth="1"/>
    <col min="11792" max="12030" width="9.140625" style="219"/>
    <col min="12031" max="12032" width="41" style="219" customWidth="1"/>
    <col min="12033" max="12033" width="23.42578125" style="219" customWidth="1"/>
    <col min="12034" max="12034" width="25" style="219" customWidth="1"/>
    <col min="12035" max="12035" width="43.140625" style="219" customWidth="1"/>
    <col min="12036" max="12036" width="14.5703125" style="219" customWidth="1"/>
    <col min="12037" max="12043" width="9.140625" style="219"/>
    <col min="12044" max="12044" width="5.5703125" style="219" customWidth="1"/>
    <col min="12045" max="12045" width="13.140625" style="219" customWidth="1"/>
    <col min="12046" max="12046" width="51.42578125" style="219" customWidth="1"/>
    <col min="12047" max="12047" width="11.7109375" style="219" customWidth="1"/>
    <col min="12048" max="12286" width="9.140625" style="219"/>
    <col min="12287" max="12288" width="41" style="219" customWidth="1"/>
    <col min="12289" max="12289" width="23.42578125" style="219" customWidth="1"/>
    <col min="12290" max="12290" width="25" style="219" customWidth="1"/>
    <col min="12291" max="12291" width="43.140625" style="219" customWidth="1"/>
    <col min="12292" max="12292" width="14.5703125" style="219" customWidth="1"/>
    <col min="12293" max="12299" width="9.140625" style="219"/>
    <col min="12300" max="12300" width="5.5703125" style="219" customWidth="1"/>
    <col min="12301" max="12301" width="13.140625" style="219" customWidth="1"/>
    <col min="12302" max="12302" width="51.42578125" style="219" customWidth="1"/>
    <col min="12303" max="12303" width="11.7109375" style="219" customWidth="1"/>
    <col min="12304" max="12542" width="9.140625" style="219"/>
    <col min="12543" max="12544" width="41" style="219" customWidth="1"/>
    <col min="12545" max="12545" width="23.42578125" style="219" customWidth="1"/>
    <col min="12546" max="12546" width="25" style="219" customWidth="1"/>
    <col min="12547" max="12547" width="43.140625" style="219" customWidth="1"/>
    <col min="12548" max="12548" width="14.5703125" style="219" customWidth="1"/>
    <col min="12549" max="12555" width="9.140625" style="219"/>
    <col min="12556" max="12556" width="5.5703125" style="219" customWidth="1"/>
    <col min="12557" max="12557" width="13.140625" style="219" customWidth="1"/>
    <col min="12558" max="12558" width="51.42578125" style="219" customWidth="1"/>
    <col min="12559" max="12559" width="11.7109375" style="219" customWidth="1"/>
    <col min="12560" max="12798" width="9.140625" style="219"/>
    <col min="12799" max="12800" width="41" style="219" customWidth="1"/>
    <col min="12801" max="12801" width="23.42578125" style="219" customWidth="1"/>
    <col min="12802" max="12802" width="25" style="219" customWidth="1"/>
    <col min="12803" max="12803" width="43.140625" style="219" customWidth="1"/>
    <col min="12804" max="12804" width="14.5703125" style="219" customWidth="1"/>
    <col min="12805" max="12811" width="9.140625" style="219"/>
    <col min="12812" max="12812" width="5.5703125" style="219" customWidth="1"/>
    <col min="12813" max="12813" width="13.140625" style="219" customWidth="1"/>
    <col min="12814" max="12814" width="51.42578125" style="219" customWidth="1"/>
    <col min="12815" max="12815" width="11.7109375" style="219" customWidth="1"/>
    <col min="12816" max="13054" width="9.140625" style="219"/>
    <col min="13055" max="13056" width="41" style="219" customWidth="1"/>
    <col min="13057" max="13057" width="23.42578125" style="219" customWidth="1"/>
    <col min="13058" max="13058" width="25" style="219" customWidth="1"/>
    <col min="13059" max="13059" width="43.140625" style="219" customWidth="1"/>
    <col min="13060" max="13060" width="14.5703125" style="219" customWidth="1"/>
    <col min="13061" max="13067" width="9.140625" style="219"/>
    <col min="13068" max="13068" width="5.5703125" style="219" customWidth="1"/>
    <col min="13069" max="13069" width="13.140625" style="219" customWidth="1"/>
    <col min="13070" max="13070" width="51.42578125" style="219" customWidth="1"/>
    <col min="13071" max="13071" width="11.7109375" style="219" customWidth="1"/>
    <col min="13072" max="13310" width="9.140625" style="219"/>
    <col min="13311" max="13312" width="41" style="219" customWidth="1"/>
    <col min="13313" max="13313" width="23.42578125" style="219" customWidth="1"/>
    <col min="13314" max="13314" width="25" style="219" customWidth="1"/>
    <col min="13315" max="13315" width="43.140625" style="219" customWidth="1"/>
    <col min="13316" max="13316" width="14.5703125" style="219" customWidth="1"/>
    <col min="13317" max="13323" width="9.140625" style="219"/>
    <col min="13324" max="13324" width="5.5703125" style="219" customWidth="1"/>
    <col min="13325" max="13325" width="13.140625" style="219" customWidth="1"/>
    <col min="13326" max="13326" width="51.42578125" style="219" customWidth="1"/>
    <col min="13327" max="13327" width="11.7109375" style="219" customWidth="1"/>
    <col min="13328" max="13566" width="9.140625" style="219"/>
    <col min="13567" max="13568" width="41" style="219" customWidth="1"/>
    <col min="13569" max="13569" width="23.42578125" style="219" customWidth="1"/>
    <col min="13570" max="13570" width="25" style="219" customWidth="1"/>
    <col min="13571" max="13571" width="43.140625" style="219" customWidth="1"/>
    <col min="13572" max="13572" width="14.5703125" style="219" customWidth="1"/>
    <col min="13573" max="13579" width="9.140625" style="219"/>
    <col min="13580" max="13580" width="5.5703125" style="219" customWidth="1"/>
    <col min="13581" max="13581" width="13.140625" style="219" customWidth="1"/>
    <col min="13582" max="13582" width="51.42578125" style="219" customWidth="1"/>
    <col min="13583" max="13583" width="11.7109375" style="219" customWidth="1"/>
    <col min="13584" max="13822" width="9.140625" style="219"/>
    <col min="13823" max="13824" width="41" style="219" customWidth="1"/>
    <col min="13825" max="13825" width="23.42578125" style="219" customWidth="1"/>
    <col min="13826" max="13826" width="25" style="219" customWidth="1"/>
    <col min="13827" max="13827" width="43.140625" style="219" customWidth="1"/>
    <col min="13828" max="13828" width="14.5703125" style="219" customWidth="1"/>
    <col min="13829" max="13835" width="9.140625" style="219"/>
    <col min="13836" max="13836" width="5.5703125" style="219" customWidth="1"/>
    <col min="13837" max="13837" width="13.140625" style="219" customWidth="1"/>
    <col min="13838" max="13838" width="51.42578125" style="219" customWidth="1"/>
    <col min="13839" max="13839" width="11.7109375" style="219" customWidth="1"/>
    <col min="13840" max="14078" width="9.140625" style="219"/>
    <col min="14079" max="14080" width="41" style="219" customWidth="1"/>
    <col min="14081" max="14081" width="23.42578125" style="219" customWidth="1"/>
    <col min="14082" max="14082" width="25" style="219" customWidth="1"/>
    <col min="14083" max="14083" width="43.140625" style="219" customWidth="1"/>
    <col min="14084" max="14084" width="14.5703125" style="219" customWidth="1"/>
    <col min="14085" max="14091" width="9.140625" style="219"/>
    <col min="14092" max="14092" width="5.5703125" style="219" customWidth="1"/>
    <col min="14093" max="14093" width="13.140625" style="219" customWidth="1"/>
    <col min="14094" max="14094" width="51.42578125" style="219" customWidth="1"/>
    <col min="14095" max="14095" width="11.7109375" style="219" customWidth="1"/>
    <col min="14096" max="14334" width="9.140625" style="219"/>
    <col min="14335" max="14336" width="41" style="219" customWidth="1"/>
    <col min="14337" max="14337" width="23.42578125" style="219" customWidth="1"/>
    <col min="14338" max="14338" width="25" style="219" customWidth="1"/>
    <col min="14339" max="14339" width="43.140625" style="219" customWidth="1"/>
    <col min="14340" max="14340" width="14.5703125" style="219" customWidth="1"/>
    <col min="14341" max="14347" width="9.140625" style="219"/>
    <col min="14348" max="14348" width="5.5703125" style="219" customWidth="1"/>
    <col min="14349" max="14349" width="13.140625" style="219" customWidth="1"/>
    <col min="14350" max="14350" width="51.42578125" style="219" customWidth="1"/>
    <col min="14351" max="14351" width="11.7109375" style="219" customWidth="1"/>
    <col min="14352" max="14590" width="9.140625" style="219"/>
    <col min="14591" max="14592" width="41" style="219" customWidth="1"/>
    <col min="14593" max="14593" width="23.42578125" style="219" customWidth="1"/>
    <col min="14594" max="14594" width="25" style="219" customWidth="1"/>
    <col min="14595" max="14595" width="43.140625" style="219" customWidth="1"/>
    <col min="14596" max="14596" width="14.5703125" style="219" customWidth="1"/>
    <col min="14597" max="14603" width="9.140625" style="219"/>
    <col min="14604" max="14604" width="5.5703125" style="219" customWidth="1"/>
    <col min="14605" max="14605" width="13.140625" style="219" customWidth="1"/>
    <col min="14606" max="14606" width="51.42578125" style="219" customWidth="1"/>
    <col min="14607" max="14607" width="11.7109375" style="219" customWidth="1"/>
    <col min="14608" max="14846" width="9.140625" style="219"/>
    <col min="14847" max="14848" width="41" style="219" customWidth="1"/>
    <col min="14849" max="14849" width="23.42578125" style="219" customWidth="1"/>
    <col min="14850" max="14850" width="25" style="219" customWidth="1"/>
    <col min="14851" max="14851" width="43.140625" style="219" customWidth="1"/>
    <col min="14852" max="14852" width="14.5703125" style="219" customWidth="1"/>
    <col min="14853" max="14859" width="9.140625" style="219"/>
    <col min="14860" max="14860" width="5.5703125" style="219" customWidth="1"/>
    <col min="14861" max="14861" width="13.140625" style="219" customWidth="1"/>
    <col min="14862" max="14862" width="51.42578125" style="219" customWidth="1"/>
    <col min="14863" max="14863" width="11.7109375" style="219" customWidth="1"/>
    <col min="14864" max="15102" width="9.140625" style="219"/>
    <col min="15103" max="15104" width="41" style="219" customWidth="1"/>
    <col min="15105" max="15105" width="23.42578125" style="219" customWidth="1"/>
    <col min="15106" max="15106" width="25" style="219" customWidth="1"/>
    <col min="15107" max="15107" width="43.140625" style="219" customWidth="1"/>
    <col min="15108" max="15108" width="14.5703125" style="219" customWidth="1"/>
    <col min="15109" max="15115" width="9.140625" style="219"/>
    <col min="15116" max="15116" width="5.5703125" style="219" customWidth="1"/>
    <col min="15117" max="15117" width="13.140625" style="219" customWidth="1"/>
    <col min="15118" max="15118" width="51.42578125" style="219" customWidth="1"/>
    <col min="15119" max="15119" width="11.7109375" style="219" customWidth="1"/>
    <col min="15120" max="15358" width="9.140625" style="219"/>
    <col min="15359" max="15360" width="41" style="219" customWidth="1"/>
    <col min="15361" max="15361" width="23.42578125" style="219" customWidth="1"/>
    <col min="15362" max="15362" width="25" style="219" customWidth="1"/>
    <col min="15363" max="15363" width="43.140625" style="219" customWidth="1"/>
    <col min="15364" max="15364" width="14.5703125" style="219" customWidth="1"/>
    <col min="15365" max="15371" width="9.140625" style="219"/>
    <col min="15372" max="15372" width="5.5703125" style="219" customWidth="1"/>
    <col min="15373" max="15373" width="13.140625" style="219" customWidth="1"/>
    <col min="15374" max="15374" width="51.42578125" style="219" customWidth="1"/>
    <col min="15375" max="15375" width="11.7109375" style="219" customWidth="1"/>
    <col min="15376" max="15614" width="9.140625" style="219"/>
    <col min="15615" max="15616" width="41" style="219" customWidth="1"/>
    <col min="15617" max="15617" width="23.42578125" style="219" customWidth="1"/>
    <col min="15618" max="15618" width="25" style="219" customWidth="1"/>
    <col min="15619" max="15619" width="43.140625" style="219" customWidth="1"/>
    <col min="15620" max="15620" width="14.5703125" style="219" customWidth="1"/>
    <col min="15621" max="15627" width="9.140625" style="219"/>
    <col min="15628" max="15628" width="5.5703125" style="219" customWidth="1"/>
    <col min="15629" max="15629" width="13.140625" style="219" customWidth="1"/>
    <col min="15630" max="15630" width="51.42578125" style="219" customWidth="1"/>
    <col min="15631" max="15631" width="11.7109375" style="219" customWidth="1"/>
    <col min="15632" max="15870" width="9.140625" style="219"/>
    <col min="15871" max="15872" width="41" style="219" customWidth="1"/>
    <col min="15873" max="15873" width="23.42578125" style="219" customWidth="1"/>
    <col min="15874" max="15874" width="25" style="219" customWidth="1"/>
    <col min="15875" max="15875" width="43.140625" style="219" customWidth="1"/>
    <col min="15876" max="15876" width="14.5703125" style="219" customWidth="1"/>
    <col min="15877" max="15883" width="9.140625" style="219"/>
    <col min="15884" max="15884" width="5.5703125" style="219" customWidth="1"/>
    <col min="15885" max="15885" width="13.140625" style="219" customWidth="1"/>
    <col min="15886" max="15886" width="51.42578125" style="219" customWidth="1"/>
    <col min="15887" max="15887" width="11.7109375" style="219" customWidth="1"/>
    <col min="15888" max="16126" width="9.140625" style="219"/>
    <col min="16127" max="16128" width="41" style="219" customWidth="1"/>
    <col min="16129" max="16129" width="23.42578125" style="219" customWidth="1"/>
    <col min="16130" max="16130" width="25" style="219" customWidth="1"/>
    <col min="16131" max="16131" width="43.140625" style="219" customWidth="1"/>
    <col min="16132" max="16132" width="14.5703125" style="219" customWidth="1"/>
    <col min="16133" max="16139" width="9.140625" style="219"/>
    <col min="16140" max="16140" width="5.5703125" style="219" customWidth="1"/>
    <col min="16141" max="16141" width="13.140625" style="219" customWidth="1"/>
    <col min="16142" max="16142" width="51.42578125" style="219" customWidth="1"/>
    <col min="16143" max="16143" width="11.7109375" style="219" customWidth="1"/>
    <col min="16144" max="16384" width="9.140625" style="219"/>
  </cols>
  <sheetData>
    <row r="1" spans="1:12" x14ac:dyDescent="0.25">
      <c r="F1" s="220" t="s">
        <v>110</v>
      </c>
    </row>
    <row r="2" spans="1:12" ht="27" customHeight="1" x14ac:dyDescent="0.25">
      <c r="A2" s="532" t="s">
        <v>207</v>
      </c>
      <c r="B2" s="532"/>
      <c r="C2" s="532"/>
      <c r="D2" s="532"/>
      <c r="E2" s="532"/>
      <c r="F2" s="532"/>
    </row>
    <row r="3" spans="1:12" s="109" customFormat="1" x14ac:dyDescent="0.25">
      <c r="A3" s="474" t="s">
        <v>220</v>
      </c>
      <c r="B3" s="474"/>
      <c r="C3" s="474"/>
      <c r="D3" s="474"/>
      <c r="E3" s="474"/>
      <c r="F3" s="474"/>
      <c r="G3" s="474"/>
      <c r="H3" s="108"/>
      <c r="I3" s="108"/>
    </row>
    <row r="4" spans="1:12" s="109" customFormat="1" x14ac:dyDescent="0.25">
      <c r="A4" s="110" t="s">
        <v>223</v>
      </c>
      <c r="B4" s="110"/>
      <c r="C4" s="110"/>
      <c r="D4" s="110"/>
      <c r="E4" s="110"/>
      <c r="F4" s="110"/>
      <c r="G4" s="110"/>
      <c r="H4" s="108"/>
      <c r="I4" s="108"/>
    </row>
    <row r="5" spans="1:12" s="109" customFormat="1" ht="36.75" customHeight="1" x14ac:dyDescent="0.25">
      <c r="A5" s="497" t="s">
        <v>429</v>
      </c>
      <c r="B5" s="497"/>
      <c r="C5" s="497"/>
      <c r="D5" s="497"/>
      <c r="E5" s="497"/>
      <c r="F5" s="497"/>
      <c r="G5" s="111"/>
      <c r="H5" s="108"/>
      <c r="I5" s="108"/>
    </row>
    <row r="6" spans="1:12" ht="19.5" customHeight="1" x14ac:dyDescent="0.25">
      <c r="A6" s="221"/>
      <c r="B6" s="221"/>
      <c r="C6" s="221"/>
      <c r="D6" s="221"/>
      <c r="E6" s="221"/>
      <c r="F6" s="221"/>
    </row>
    <row r="7" spans="1:12" s="225" customFormat="1" ht="63" x14ac:dyDescent="0.25">
      <c r="A7" s="222"/>
      <c r="B7" s="223" t="s">
        <v>66</v>
      </c>
      <c r="C7" s="223" t="s">
        <v>67</v>
      </c>
      <c r="D7" s="224" t="s">
        <v>68</v>
      </c>
    </row>
    <row r="8" spans="1:12" s="225" customFormat="1" x14ac:dyDescent="0.25">
      <c r="A8" s="226" t="s">
        <v>78</v>
      </c>
      <c r="B8" s="227">
        <v>645</v>
      </c>
      <c r="C8" s="228"/>
      <c r="D8" s="229"/>
      <c r="E8" s="151"/>
      <c r="F8" s="151"/>
      <c r="G8" s="151"/>
      <c r="H8" s="151"/>
      <c r="I8" s="151"/>
      <c r="J8" s="151"/>
      <c r="K8" s="151"/>
      <c r="L8" s="151"/>
    </row>
    <row r="9" spans="1:12" s="225" customFormat="1" x14ac:dyDescent="0.25">
      <c r="A9" s="230" t="s">
        <v>208</v>
      </c>
      <c r="B9" s="227">
        <v>171</v>
      </c>
      <c r="C9" s="231">
        <v>964</v>
      </c>
      <c r="D9" s="232">
        <f>C9/B9</f>
        <v>5.6374269005847957</v>
      </c>
      <c r="E9" s="151"/>
      <c r="F9" s="151"/>
      <c r="G9" s="151"/>
      <c r="H9" s="151"/>
      <c r="I9" s="151"/>
      <c r="J9" s="151"/>
      <c r="K9" s="151"/>
      <c r="L9" s="151"/>
    </row>
    <row r="10" spans="1:12" ht="31.5" x14ac:dyDescent="0.25">
      <c r="A10" s="233" t="s">
        <v>69</v>
      </c>
      <c r="B10" s="234">
        <f>B9/B8</f>
        <v>0.26511627906976742</v>
      </c>
      <c r="C10" s="235"/>
      <c r="D10" s="236"/>
      <c r="E10" s="151"/>
      <c r="F10" s="237"/>
      <c r="G10" s="237"/>
      <c r="H10" s="151"/>
      <c r="I10" s="151"/>
      <c r="J10" s="151"/>
      <c r="K10" s="151"/>
      <c r="L10" s="151"/>
    </row>
    <row r="11" spans="1:12" ht="7.5" customHeight="1" x14ac:dyDescent="0.25">
      <c r="A11" s="238"/>
      <c r="B11" s="239"/>
      <c r="C11" s="225"/>
      <c r="D11" s="240"/>
      <c r="E11" s="151"/>
      <c r="F11" s="151"/>
      <c r="G11" s="151"/>
      <c r="H11" s="151"/>
      <c r="I11" s="151"/>
      <c r="J11" s="151"/>
      <c r="K11" s="151"/>
      <c r="L11" s="151"/>
    </row>
    <row r="12" spans="1:12" x14ac:dyDescent="0.25">
      <c r="A12" s="195" t="s">
        <v>210</v>
      </c>
      <c r="B12" s="195"/>
      <c r="C12" s="151"/>
      <c r="D12" s="151"/>
      <c r="E12" s="151"/>
      <c r="F12" s="151"/>
      <c r="G12" s="151"/>
      <c r="H12" s="151"/>
      <c r="I12" s="151"/>
      <c r="J12" s="151"/>
      <c r="K12" s="151"/>
      <c r="L12" s="151"/>
    </row>
    <row r="13" spans="1:12" ht="32.25" customHeight="1" x14ac:dyDescent="0.25">
      <c r="A13" s="241" t="s">
        <v>70</v>
      </c>
      <c r="B13" s="242">
        <v>868</v>
      </c>
      <c r="C13" s="151"/>
      <c r="D13" s="151"/>
      <c r="E13" s="151"/>
      <c r="F13" s="151"/>
      <c r="G13" s="151"/>
      <c r="H13" s="151"/>
      <c r="I13" s="151"/>
      <c r="J13" s="151"/>
      <c r="K13" s="151"/>
      <c r="L13" s="151"/>
    </row>
    <row r="14" spans="1:12" ht="30.2" customHeight="1" x14ac:dyDescent="0.25">
      <c r="A14" s="243" t="s">
        <v>211</v>
      </c>
      <c r="B14" s="244">
        <f>B13*B10</f>
        <v>230.12093023255812</v>
      </c>
      <c r="C14" s="151"/>
      <c r="D14" s="151"/>
      <c r="E14" s="151"/>
      <c r="F14" s="151"/>
      <c r="G14" s="151"/>
      <c r="H14" s="151"/>
      <c r="I14" s="151"/>
      <c r="J14" s="151"/>
      <c r="K14" s="151"/>
      <c r="L14" s="151"/>
    </row>
    <row r="15" spans="1:12" ht="35.450000000000003" customHeight="1" x14ac:dyDescent="0.25">
      <c r="A15" s="245" t="s">
        <v>71</v>
      </c>
      <c r="B15" s="246">
        <f>D9</f>
        <v>5.6374269005847957</v>
      </c>
      <c r="C15" s="151"/>
      <c r="D15" s="151"/>
      <c r="E15" s="151"/>
      <c r="F15" s="151"/>
      <c r="G15" s="151"/>
      <c r="H15" s="151"/>
      <c r="I15" s="151"/>
      <c r="J15" s="151"/>
      <c r="K15" s="151"/>
      <c r="L15" s="151"/>
    </row>
    <row r="16" spans="1:12" x14ac:dyDescent="0.25">
      <c r="A16" s="247" t="s">
        <v>72</v>
      </c>
      <c r="B16" s="248">
        <f>ROUND(B14*B15,0)</f>
        <v>1297</v>
      </c>
      <c r="C16" s="151"/>
      <c r="D16" s="151"/>
      <c r="E16" s="151"/>
      <c r="F16" s="151"/>
      <c r="G16" s="151"/>
      <c r="H16" s="151"/>
      <c r="I16" s="151"/>
      <c r="J16" s="151"/>
      <c r="K16" s="151"/>
      <c r="L16" s="151"/>
    </row>
    <row r="17" spans="1:12" ht="18" customHeight="1" x14ac:dyDescent="0.25">
      <c r="A17" s="249"/>
      <c r="C17" s="151"/>
      <c r="D17" s="151"/>
      <c r="E17" s="151"/>
      <c r="F17" s="151"/>
      <c r="G17" s="151"/>
      <c r="H17" s="151"/>
      <c r="I17" s="151"/>
      <c r="J17" s="151"/>
      <c r="K17" s="151"/>
      <c r="L17" s="151"/>
    </row>
    <row r="18" spans="1:12" x14ac:dyDescent="0.25">
      <c r="A18" s="219" t="s">
        <v>73</v>
      </c>
    </row>
    <row r="19" spans="1:12" ht="31.5" x14ac:dyDescent="0.25">
      <c r="A19" s="242" t="s">
        <v>74</v>
      </c>
      <c r="B19" s="242" t="s">
        <v>59</v>
      </c>
      <c r="C19" s="242" t="s">
        <v>60</v>
      </c>
      <c r="D19" s="250" t="s">
        <v>75</v>
      </c>
      <c r="E19" s="224" t="s">
        <v>76</v>
      </c>
      <c r="F19" s="224" t="s">
        <v>405</v>
      </c>
    </row>
    <row r="20" spans="1:12" ht="69.75" customHeight="1" x14ac:dyDescent="0.25">
      <c r="A20" s="251">
        <v>60107</v>
      </c>
      <c r="B20" s="252" t="s">
        <v>77</v>
      </c>
      <c r="C20" s="253">
        <v>10.81</v>
      </c>
      <c r="D20" s="248">
        <f>B16</f>
        <v>1297</v>
      </c>
      <c r="E20" s="254">
        <f>C20*D20</f>
        <v>14020.570000000002</v>
      </c>
      <c r="F20" s="254">
        <f>E20/12*9</f>
        <v>10515.4275</v>
      </c>
    </row>
    <row r="21" spans="1:12" ht="6.75" customHeight="1" x14ac:dyDescent="0.25"/>
    <row r="22" spans="1:12" x14ac:dyDescent="0.25">
      <c r="A22" s="531" t="s">
        <v>209</v>
      </c>
      <c r="B22" s="531"/>
      <c r="C22" s="531"/>
      <c r="D22" s="531"/>
      <c r="E22" s="531"/>
    </row>
  </sheetData>
  <mergeCells count="4">
    <mergeCell ref="A22:E22"/>
    <mergeCell ref="A2:F2"/>
    <mergeCell ref="A3:G3"/>
    <mergeCell ref="A5:F5"/>
  </mergeCells>
  <pageMargins left="0.4" right="0.17" top="0.26" bottom="0.18" header="0.17" footer="0.17"/>
  <pageSetup paperSize="9" scale="7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413BC-5EE0-4C2C-8382-7001368995EB}">
  <dimension ref="A1:J29"/>
  <sheetViews>
    <sheetView zoomScaleNormal="100" workbookViewId="0">
      <selection activeCell="F20" sqref="F20"/>
    </sheetView>
  </sheetViews>
  <sheetFormatPr defaultColWidth="9.140625" defaultRowHeight="15.75" x14ac:dyDescent="0.25"/>
  <cols>
    <col min="1" max="1" width="12.5703125" style="5" customWidth="1"/>
    <col min="2" max="2" width="37.140625" style="5" customWidth="1"/>
    <col min="3" max="3" width="11.5703125" style="5" customWidth="1"/>
    <col min="4" max="4" width="14" style="5" customWidth="1"/>
    <col min="5" max="5" width="12.42578125" style="5" customWidth="1"/>
    <col min="6" max="6" width="13.42578125" style="5" customWidth="1"/>
    <col min="7" max="7" width="9.140625" style="5"/>
    <col min="8" max="8" width="11" style="5" customWidth="1"/>
    <col min="9" max="9" width="12.85546875" style="5" customWidth="1"/>
    <col min="10" max="16384" width="9.140625" style="5"/>
  </cols>
  <sheetData>
    <row r="1" spans="1:10" x14ac:dyDescent="0.25">
      <c r="E1" s="7" t="s">
        <v>542</v>
      </c>
    </row>
    <row r="2" spans="1:10" ht="33.75" customHeight="1" x14ac:dyDescent="0.25">
      <c r="A2" s="509" t="s">
        <v>545</v>
      </c>
      <c r="B2" s="509"/>
      <c r="C2" s="509"/>
      <c r="D2" s="509"/>
      <c r="E2" s="509"/>
      <c r="F2" s="17"/>
      <c r="G2" s="17"/>
      <c r="H2" s="17"/>
      <c r="I2" s="17"/>
      <c r="J2" s="17"/>
    </row>
    <row r="3" spans="1:10" x14ac:dyDescent="0.25">
      <c r="A3" s="329"/>
      <c r="B3" s="329"/>
      <c r="C3" s="329"/>
      <c r="D3" s="329"/>
      <c r="E3" s="329"/>
      <c r="F3" s="329"/>
      <c r="G3" s="329"/>
      <c r="H3" s="329"/>
      <c r="I3" s="329"/>
      <c r="J3" s="329"/>
    </row>
    <row r="4" spans="1:10" s="16" customFormat="1" x14ac:dyDescent="0.25">
      <c r="A4" s="482" t="s">
        <v>570</v>
      </c>
      <c r="B4" s="482"/>
      <c r="C4" s="482"/>
      <c r="D4" s="482"/>
      <c r="E4" s="482"/>
      <c r="F4" s="482"/>
      <c r="G4" s="482"/>
      <c r="H4" s="327"/>
      <c r="I4" s="327"/>
    </row>
    <row r="5" spans="1:10" s="16" customFormat="1" x14ac:dyDescent="0.25">
      <c r="A5" s="328" t="s">
        <v>220</v>
      </c>
      <c r="B5" s="328"/>
      <c r="C5" s="328"/>
      <c r="D5" s="328"/>
      <c r="E5" s="328"/>
      <c r="F5" s="328"/>
      <c r="G5" s="328"/>
      <c r="H5" s="327"/>
      <c r="I5" s="327"/>
    </row>
    <row r="6" spans="1:10" s="16" customFormat="1" x14ac:dyDescent="0.25">
      <c r="A6" s="328" t="s">
        <v>530</v>
      </c>
      <c r="B6" s="328"/>
      <c r="C6" s="328"/>
      <c r="D6" s="328"/>
      <c r="E6" s="328"/>
      <c r="F6" s="328"/>
      <c r="G6" s="328"/>
      <c r="H6" s="327"/>
      <c r="I6" s="327"/>
    </row>
    <row r="7" spans="1:10" s="16" customFormat="1" x14ac:dyDescent="0.25">
      <c r="A7" s="328"/>
      <c r="B7" s="328"/>
      <c r="C7" s="328"/>
      <c r="D7" s="328"/>
      <c r="E7" s="328"/>
      <c r="F7" s="328"/>
      <c r="G7" s="328"/>
      <c r="H7" s="327"/>
      <c r="I7" s="327"/>
    </row>
    <row r="8" spans="1:10" ht="36" customHeight="1" x14ac:dyDescent="0.25">
      <c r="A8" s="519" t="s">
        <v>569</v>
      </c>
      <c r="B8" s="519"/>
      <c r="C8" s="519"/>
      <c r="D8" s="519"/>
      <c r="E8" s="519"/>
      <c r="F8" s="406"/>
      <c r="G8" s="406"/>
      <c r="H8" s="406"/>
      <c r="I8" s="406"/>
      <c r="J8" s="406"/>
    </row>
    <row r="9" spans="1:10" x14ac:dyDescent="0.25">
      <c r="A9" s="519"/>
      <c r="B9" s="519"/>
      <c r="C9" s="519"/>
      <c r="D9" s="519"/>
      <c r="E9" s="519"/>
      <c r="F9" s="406"/>
      <c r="G9" s="406"/>
      <c r="H9" s="406"/>
      <c r="I9" s="406"/>
      <c r="J9" s="406"/>
    </row>
    <row r="10" spans="1:10" ht="29.25" customHeight="1" x14ac:dyDescent="0.25">
      <c r="A10" s="519"/>
      <c r="B10" s="519"/>
      <c r="C10" s="519"/>
      <c r="D10" s="519"/>
      <c r="E10" s="519"/>
      <c r="F10" s="406"/>
      <c r="G10" s="406"/>
      <c r="H10" s="406"/>
      <c r="I10" s="406"/>
      <c r="J10" s="406"/>
    </row>
    <row r="12" spans="1:10" ht="18" customHeight="1" x14ac:dyDescent="0.25">
      <c r="A12" s="535" t="s">
        <v>567</v>
      </c>
      <c r="B12" s="535"/>
      <c r="C12" s="535"/>
      <c r="D12" s="535"/>
      <c r="E12" s="535"/>
    </row>
    <row r="13" spans="1:10" ht="30" x14ac:dyDescent="0.25">
      <c r="A13" s="30" t="s">
        <v>383</v>
      </c>
      <c r="B13" s="30" t="s">
        <v>546</v>
      </c>
      <c r="C13" s="30" t="s">
        <v>433</v>
      </c>
      <c r="D13" s="30" t="s">
        <v>547</v>
      </c>
      <c r="E13" s="30" t="s">
        <v>157</v>
      </c>
    </row>
    <row r="14" spans="1:10" ht="45" x14ac:dyDescent="0.25">
      <c r="A14" s="30">
        <v>1</v>
      </c>
      <c r="B14" s="30" t="s">
        <v>548</v>
      </c>
      <c r="C14" s="30" t="s">
        <v>549</v>
      </c>
      <c r="D14" s="30">
        <v>1</v>
      </c>
      <c r="E14" s="409">
        <v>500</v>
      </c>
    </row>
    <row r="15" spans="1:10" x14ac:dyDescent="0.25">
      <c r="A15" s="30">
        <v>2</v>
      </c>
      <c r="B15" s="30" t="s">
        <v>550</v>
      </c>
      <c r="C15" s="30" t="s">
        <v>549</v>
      </c>
      <c r="D15" s="30">
        <v>1</v>
      </c>
      <c r="E15" s="409">
        <v>100</v>
      </c>
    </row>
    <row r="16" spans="1:10" ht="60" x14ac:dyDescent="0.25">
      <c r="A16" s="30">
        <v>3</v>
      </c>
      <c r="B16" s="30" t="s">
        <v>551</v>
      </c>
      <c r="C16" s="30" t="s">
        <v>549</v>
      </c>
      <c r="D16" s="30">
        <v>1</v>
      </c>
      <c r="E16" s="409">
        <v>150</v>
      </c>
    </row>
    <row r="17" spans="1:5" ht="30" x14ac:dyDescent="0.25">
      <c r="A17" s="30">
        <v>4</v>
      </c>
      <c r="B17" s="30" t="s">
        <v>552</v>
      </c>
      <c r="C17" s="30" t="s">
        <v>553</v>
      </c>
      <c r="D17" s="30">
        <v>44</v>
      </c>
      <c r="E17" s="409">
        <v>800</v>
      </c>
    </row>
    <row r="18" spans="1:5" ht="30" x14ac:dyDescent="0.25">
      <c r="A18" s="30">
        <v>5</v>
      </c>
      <c r="B18" s="30" t="s">
        <v>554</v>
      </c>
      <c r="C18" s="30" t="s">
        <v>553</v>
      </c>
      <c r="D18" s="30" t="s">
        <v>555</v>
      </c>
      <c r="E18" s="409">
        <v>600</v>
      </c>
    </row>
    <row r="19" spans="1:5" ht="30" x14ac:dyDescent="0.25">
      <c r="A19" s="30">
        <v>6</v>
      </c>
      <c r="B19" s="407" t="s">
        <v>556</v>
      </c>
      <c r="C19" s="30" t="s">
        <v>553</v>
      </c>
      <c r="D19" s="30">
        <v>72</v>
      </c>
      <c r="E19" s="409">
        <v>6000</v>
      </c>
    </row>
    <row r="20" spans="1:5" x14ac:dyDescent="0.25">
      <c r="A20" s="30">
        <v>7</v>
      </c>
      <c r="B20" s="407" t="s">
        <v>557</v>
      </c>
      <c r="C20" s="30" t="s">
        <v>549</v>
      </c>
      <c r="D20" s="30">
        <v>1</v>
      </c>
      <c r="E20" s="409">
        <v>2500</v>
      </c>
    </row>
    <row r="21" spans="1:5" ht="30" x14ac:dyDescent="0.25">
      <c r="A21" s="30">
        <v>8</v>
      </c>
      <c r="B21" s="30" t="s">
        <v>558</v>
      </c>
      <c r="C21" s="30" t="s">
        <v>553</v>
      </c>
      <c r="D21" s="30" t="s">
        <v>559</v>
      </c>
      <c r="E21" s="409">
        <v>8000</v>
      </c>
    </row>
    <row r="22" spans="1:5" ht="60" x14ac:dyDescent="0.25">
      <c r="A22" s="536">
        <v>9</v>
      </c>
      <c r="B22" s="30" t="s">
        <v>560</v>
      </c>
      <c r="C22" s="536" t="s">
        <v>549</v>
      </c>
      <c r="D22" s="536">
        <v>1</v>
      </c>
      <c r="E22" s="537">
        <v>800</v>
      </c>
    </row>
    <row r="23" spans="1:5" ht="30" x14ac:dyDescent="0.25">
      <c r="A23" s="536"/>
      <c r="B23" s="407" t="s">
        <v>568</v>
      </c>
      <c r="C23" s="536"/>
      <c r="D23" s="536"/>
      <c r="E23" s="537"/>
    </row>
    <row r="24" spans="1:5" ht="45" x14ac:dyDescent="0.25">
      <c r="A24" s="30">
        <v>10</v>
      </c>
      <c r="B24" s="30" t="s">
        <v>561</v>
      </c>
      <c r="C24" s="30" t="s">
        <v>549</v>
      </c>
      <c r="D24" s="30">
        <v>1</v>
      </c>
      <c r="E24" s="409">
        <v>3500</v>
      </c>
    </row>
    <row r="25" spans="1:5" x14ac:dyDescent="0.25">
      <c r="A25" s="30">
        <v>11</v>
      </c>
      <c r="B25" s="30" t="s">
        <v>562</v>
      </c>
      <c r="C25" s="30" t="s">
        <v>549</v>
      </c>
      <c r="D25" s="30">
        <v>1</v>
      </c>
      <c r="E25" s="409">
        <v>500</v>
      </c>
    </row>
    <row r="26" spans="1:5" x14ac:dyDescent="0.25">
      <c r="A26" s="533" t="s">
        <v>563</v>
      </c>
      <c r="B26" s="533"/>
      <c r="C26" s="30" t="s">
        <v>85</v>
      </c>
      <c r="D26" s="30"/>
      <c r="E26" s="409">
        <f>SUM(E14:E25)</f>
        <v>23450</v>
      </c>
    </row>
    <row r="27" spans="1:5" x14ac:dyDescent="0.25">
      <c r="A27" s="533" t="s">
        <v>564</v>
      </c>
      <c r="B27" s="533"/>
      <c r="C27" s="30" t="s">
        <v>565</v>
      </c>
      <c r="D27" s="30">
        <v>10</v>
      </c>
      <c r="E27" s="409">
        <f>E26*0.1</f>
        <v>2345</v>
      </c>
    </row>
    <row r="28" spans="1:5" x14ac:dyDescent="0.25">
      <c r="A28" s="534" t="s">
        <v>566</v>
      </c>
      <c r="B28" s="534"/>
      <c r="C28" s="408" t="s">
        <v>85</v>
      </c>
      <c r="D28" s="408"/>
      <c r="E28" s="410">
        <f>E26+E27</f>
        <v>25795</v>
      </c>
    </row>
    <row r="29" spans="1:5" x14ac:dyDescent="0.25">
      <c r="A29" s="396"/>
      <c r="B29"/>
      <c r="C29"/>
      <c r="D29"/>
      <c r="E29"/>
    </row>
  </sheetData>
  <mergeCells count="11">
    <mergeCell ref="A26:B26"/>
    <mergeCell ref="A27:B27"/>
    <mergeCell ref="A28:B28"/>
    <mergeCell ref="A12:E12"/>
    <mergeCell ref="A2:E2"/>
    <mergeCell ref="A8:E10"/>
    <mergeCell ref="A22:A23"/>
    <mergeCell ref="C22:C23"/>
    <mergeCell ref="D22:D23"/>
    <mergeCell ref="E22:E23"/>
    <mergeCell ref="A4:G4"/>
  </mergeCells>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1"/>
  <sheetViews>
    <sheetView zoomScaleNormal="100" workbookViewId="0">
      <selection activeCell="D15" sqref="D15"/>
    </sheetView>
  </sheetViews>
  <sheetFormatPr defaultColWidth="9.140625" defaultRowHeight="15.75" x14ac:dyDescent="0.25"/>
  <cols>
    <col min="1" max="1" width="12.5703125" style="5" customWidth="1"/>
    <col min="2" max="2" width="13" style="5" customWidth="1"/>
    <col min="3" max="3" width="11.5703125" style="5" customWidth="1"/>
    <col min="4" max="4" width="14" style="5" customWidth="1"/>
    <col min="5" max="5" width="10.5703125" style="5" customWidth="1"/>
    <col min="6" max="6" width="13.42578125" style="5" customWidth="1"/>
    <col min="7" max="7" width="9.140625" style="5"/>
    <col min="8" max="8" width="11" style="5" customWidth="1"/>
    <col min="9" max="9" width="12.85546875" style="5" customWidth="1"/>
    <col min="10" max="16384" width="9.140625" style="5"/>
  </cols>
  <sheetData>
    <row r="1" spans="1:10" x14ac:dyDescent="0.25">
      <c r="J1" s="7" t="s">
        <v>340</v>
      </c>
    </row>
    <row r="2" spans="1:10" ht="24.75" customHeight="1" x14ac:dyDescent="0.25">
      <c r="A2" s="509" t="s">
        <v>339</v>
      </c>
      <c r="B2" s="509"/>
      <c r="C2" s="509"/>
      <c r="D2" s="509"/>
      <c r="E2" s="509"/>
      <c r="F2" s="509"/>
      <c r="G2" s="509"/>
      <c r="H2" s="509"/>
      <c r="I2" s="509"/>
      <c r="J2" s="509"/>
    </row>
    <row r="3" spans="1:10" x14ac:dyDescent="0.25">
      <c r="A3" s="12"/>
      <c r="B3" s="12"/>
      <c r="C3" s="12"/>
      <c r="D3" s="12"/>
      <c r="E3" s="12"/>
      <c r="F3" s="12"/>
      <c r="G3" s="12"/>
      <c r="H3" s="12"/>
      <c r="I3" s="12"/>
      <c r="J3" s="12"/>
    </row>
    <row r="4" spans="1:10" s="16" customFormat="1" x14ac:dyDescent="0.25">
      <c r="A4" s="482" t="s">
        <v>220</v>
      </c>
      <c r="B4" s="482"/>
      <c r="C4" s="482"/>
      <c r="D4" s="482"/>
      <c r="E4" s="482"/>
      <c r="F4" s="482"/>
      <c r="G4" s="482"/>
      <c r="H4" s="49"/>
      <c r="I4" s="49"/>
    </row>
    <row r="5" spans="1:10" s="16" customFormat="1" x14ac:dyDescent="0.25">
      <c r="A5" s="55" t="s">
        <v>231</v>
      </c>
      <c r="B5" s="55"/>
      <c r="C5" s="55"/>
      <c r="D5" s="55"/>
      <c r="E5" s="55"/>
      <c r="F5" s="55"/>
      <c r="G5" s="55"/>
      <c r="H5" s="49"/>
      <c r="I5" s="49"/>
    </row>
    <row r="6" spans="1:10" s="16" customFormat="1" x14ac:dyDescent="0.25">
      <c r="A6" s="55"/>
      <c r="B6" s="55"/>
      <c r="C6" s="55"/>
      <c r="D6" s="55"/>
      <c r="E6" s="55"/>
      <c r="F6" s="55"/>
      <c r="G6" s="55"/>
      <c r="H6" s="49"/>
      <c r="I6" s="49"/>
    </row>
    <row r="7" spans="1:10" ht="115.5" customHeight="1" x14ac:dyDescent="0.25">
      <c r="A7" s="540" t="s">
        <v>337</v>
      </c>
      <c r="B7" s="540"/>
      <c r="C7" s="540"/>
      <c r="D7" s="540"/>
      <c r="E7" s="540"/>
      <c r="F7" s="540"/>
      <c r="G7" s="540"/>
      <c r="H7" s="540"/>
      <c r="I7" s="540"/>
      <c r="J7" s="540"/>
    </row>
    <row r="8" spans="1:10" ht="51" customHeight="1" x14ac:dyDescent="0.25">
      <c r="A8" s="519" t="s">
        <v>330</v>
      </c>
      <c r="B8" s="519"/>
      <c r="C8" s="519"/>
      <c r="D8" s="519"/>
      <c r="E8" s="519"/>
      <c r="F8" s="519"/>
      <c r="G8" s="519"/>
      <c r="H8" s="519"/>
      <c r="I8" s="519"/>
      <c r="J8" s="519"/>
    </row>
    <row r="9" spans="1:10" ht="31.7" customHeight="1" x14ac:dyDescent="0.25">
      <c r="A9" s="519" t="s">
        <v>331</v>
      </c>
      <c r="B9" s="519"/>
      <c r="C9" s="519"/>
      <c r="D9" s="519"/>
      <c r="E9" s="519"/>
      <c r="F9" s="519"/>
      <c r="G9" s="519"/>
      <c r="H9" s="519"/>
      <c r="I9" s="519"/>
      <c r="J9" s="519"/>
    </row>
    <row r="10" spans="1:10" ht="16.5" customHeight="1" x14ac:dyDescent="0.25">
      <c r="A10" s="519" t="s">
        <v>332</v>
      </c>
      <c r="B10" s="519"/>
      <c r="C10" s="519"/>
      <c r="D10" s="519"/>
      <c r="E10" s="519"/>
      <c r="F10" s="519"/>
      <c r="G10" s="519"/>
      <c r="H10" s="519"/>
      <c r="I10" s="519"/>
      <c r="J10" s="519"/>
    </row>
    <row r="11" spans="1:10" x14ac:dyDescent="0.25">
      <c r="A11" s="519" t="s">
        <v>333</v>
      </c>
      <c r="B11" s="519"/>
      <c r="C11" s="519"/>
      <c r="D11" s="519"/>
      <c r="E11" s="519"/>
      <c r="F11" s="519"/>
      <c r="G11" s="519"/>
      <c r="H11" s="519"/>
      <c r="I11" s="519"/>
      <c r="J11" s="519"/>
    </row>
    <row r="12" spans="1:10" x14ac:dyDescent="0.25">
      <c r="A12" s="519" t="s">
        <v>334</v>
      </c>
      <c r="B12" s="519"/>
      <c r="C12" s="519"/>
      <c r="D12" s="519"/>
      <c r="E12" s="519"/>
      <c r="F12" s="519"/>
      <c r="G12" s="519"/>
      <c r="H12" s="519"/>
      <c r="I12" s="519"/>
      <c r="J12" s="519"/>
    </row>
    <row r="13" spans="1:10" x14ac:dyDescent="0.25">
      <c r="A13" s="519" t="s">
        <v>335</v>
      </c>
      <c r="B13" s="519"/>
      <c r="C13" s="519"/>
      <c r="D13" s="519"/>
      <c r="E13" s="519"/>
      <c r="F13" s="519"/>
      <c r="G13" s="519"/>
      <c r="H13" s="519"/>
      <c r="I13" s="519"/>
      <c r="J13" s="519"/>
    </row>
    <row r="14" spans="1:10" ht="30.75" customHeight="1" x14ac:dyDescent="0.25">
      <c r="A14" s="519" t="s">
        <v>336</v>
      </c>
      <c r="B14" s="519"/>
      <c r="C14" s="519"/>
      <c r="D14" s="519"/>
      <c r="E14" s="519"/>
      <c r="F14" s="519"/>
      <c r="G14" s="519"/>
      <c r="H14" s="519"/>
      <c r="I14" s="519"/>
      <c r="J14" s="519"/>
    </row>
    <row r="16" spans="1:10" ht="35.450000000000003" customHeight="1" x14ac:dyDescent="0.25">
      <c r="A16" s="519" t="s">
        <v>338</v>
      </c>
      <c r="B16" s="519"/>
      <c r="C16" s="519"/>
      <c r="D16" s="519"/>
      <c r="E16" s="519"/>
      <c r="F16" s="519"/>
      <c r="G16" s="519"/>
      <c r="H16" s="519"/>
      <c r="I16" s="519"/>
      <c r="J16" s="519"/>
    </row>
    <row r="18" spans="1:4" ht="47.25" x14ac:dyDescent="0.25">
      <c r="A18" s="538" t="s">
        <v>4</v>
      </c>
      <c r="B18" s="538"/>
      <c r="C18" s="538"/>
      <c r="D18" s="18" t="s">
        <v>53</v>
      </c>
    </row>
    <row r="19" spans="1:4" ht="15" customHeight="1" x14ac:dyDescent="0.25">
      <c r="A19" s="538"/>
      <c r="B19" s="538"/>
      <c r="C19" s="538"/>
      <c r="D19" s="539" t="s">
        <v>5</v>
      </c>
    </row>
    <row r="20" spans="1:4" x14ac:dyDescent="0.25">
      <c r="A20" s="18" t="s">
        <v>1</v>
      </c>
      <c r="B20" s="18" t="s">
        <v>11</v>
      </c>
      <c r="C20" s="18" t="s">
        <v>14</v>
      </c>
      <c r="D20" s="539"/>
    </row>
    <row r="21" spans="1:4" x14ac:dyDescent="0.25">
      <c r="A21" s="66">
        <v>0</v>
      </c>
      <c r="B21" s="59">
        <v>363000</v>
      </c>
      <c r="C21" s="59">
        <v>363000</v>
      </c>
      <c r="D21" s="59">
        <v>474800</v>
      </c>
    </row>
  </sheetData>
  <mergeCells count="13">
    <mergeCell ref="A11:J11"/>
    <mergeCell ref="A16:J16"/>
    <mergeCell ref="A2:J2"/>
    <mergeCell ref="A18:C19"/>
    <mergeCell ref="D19:D20"/>
    <mergeCell ref="A4:G4"/>
    <mergeCell ref="A7:J7"/>
    <mergeCell ref="A8:J8"/>
    <mergeCell ref="A9:J9"/>
    <mergeCell ref="A10:J10"/>
    <mergeCell ref="A14:J14"/>
    <mergeCell ref="A13:J13"/>
    <mergeCell ref="A12:J12"/>
  </mergeCells>
  <pageMargins left="0.7" right="0.7" top="0.75" bottom="0.75" header="0.3" footer="0.3"/>
  <pageSetup paperSize="9" scale="7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9"/>
  <sheetViews>
    <sheetView zoomScaleNormal="100" workbookViewId="0">
      <selection activeCell="A8" sqref="A8:J8"/>
    </sheetView>
  </sheetViews>
  <sheetFormatPr defaultColWidth="9.140625" defaultRowHeight="15.75" x14ac:dyDescent="0.25"/>
  <cols>
    <col min="1" max="1" width="10.5703125" style="5" customWidth="1"/>
    <col min="2" max="2" width="27.28515625" style="5" customWidth="1"/>
    <col min="3" max="3" width="11.42578125" style="5" customWidth="1"/>
    <col min="4" max="4" width="14.42578125" style="5" customWidth="1"/>
    <col min="5" max="5" width="12" style="5" customWidth="1"/>
    <col min="6" max="6" width="12.28515625" style="5" customWidth="1"/>
    <col min="7" max="7" width="12.7109375" style="5" customWidth="1"/>
    <col min="8" max="16384" width="9.140625" style="5"/>
  </cols>
  <sheetData>
    <row r="1" spans="1:10" x14ac:dyDescent="0.25">
      <c r="J1" s="7" t="s">
        <v>347</v>
      </c>
    </row>
    <row r="2" spans="1:10" ht="24.75" customHeight="1" x14ac:dyDescent="0.25">
      <c r="A2" s="509" t="s">
        <v>581</v>
      </c>
      <c r="B2" s="509"/>
      <c r="C2" s="509"/>
      <c r="D2" s="509"/>
      <c r="E2" s="509"/>
      <c r="F2" s="509"/>
      <c r="G2" s="509"/>
      <c r="H2" s="509"/>
      <c r="I2" s="509"/>
      <c r="J2" s="509"/>
    </row>
    <row r="3" spans="1:10" x14ac:dyDescent="0.25">
      <c r="A3" s="12"/>
      <c r="B3" s="12"/>
      <c r="C3" s="12"/>
      <c r="D3" s="12"/>
      <c r="E3" s="12"/>
      <c r="F3" s="12"/>
      <c r="G3" s="12"/>
      <c r="H3" s="12"/>
      <c r="I3" s="12"/>
      <c r="J3" s="12"/>
    </row>
    <row r="4" spans="1:10" s="16" customFormat="1" x14ac:dyDescent="0.25">
      <c r="A4" s="482" t="s">
        <v>220</v>
      </c>
      <c r="B4" s="482"/>
      <c r="C4" s="482"/>
      <c r="D4" s="482"/>
      <c r="E4" s="482"/>
      <c r="F4" s="482"/>
      <c r="G4" s="482"/>
      <c r="H4" s="49"/>
      <c r="I4" s="49"/>
    </row>
    <row r="5" spans="1:10" s="16" customFormat="1" x14ac:dyDescent="0.25">
      <c r="A5" s="55" t="s">
        <v>231</v>
      </c>
      <c r="B5" s="55"/>
      <c r="C5" s="55"/>
      <c r="D5" s="55"/>
      <c r="E5" s="55"/>
      <c r="F5" s="55"/>
      <c r="G5" s="55"/>
      <c r="H5" s="49"/>
      <c r="I5" s="49"/>
    </row>
    <row r="6" spans="1:10" s="16" customFormat="1" x14ac:dyDescent="0.25">
      <c r="A6" s="55"/>
      <c r="B6" s="55"/>
      <c r="C6" s="55"/>
      <c r="D6" s="55"/>
      <c r="E6" s="55"/>
      <c r="F6" s="55"/>
      <c r="G6" s="55"/>
      <c r="H6" s="49"/>
      <c r="I6" s="49"/>
    </row>
    <row r="7" spans="1:10" ht="30.2" customHeight="1" x14ac:dyDescent="0.25">
      <c r="A7" s="540" t="s">
        <v>348</v>
      </c>
      <c r="B7" s="540"/>
      <c r="C7" s="540"/>
      <c r="D7" s="540"/>
      <c r="E7" s="540"/>
      <c r="F7" s="540"/>
      <c r="G7" s="540"/>
      <c r="H7" s="540"/>
      <c r="I7" s="540"/>
      <c r="J7" s="540"/>
    </row>
    <row r="8" spans="1:10" ht="35.450000000000003" customHeight="1" x14ac:dyDescent="0.25">
      <c r="A8" s="519" t="s">
        <v>341</v>
      </c>
      <c r="B8" s="519"/>
      <c r="C8" s="519"/>
      <c r="D8" s="519"/>
      <c r="E8" s="519"/>
      <c r="F8" s="519"/>
      <c r="G8" s="519"/>
      <c r="H8" s="519"/>
      <c r="I8" s="519"/>
      <c r="J8" s="519"/>
    </row>
    <row r="9" spans="1:10" ht="145.5" customHeight="1" x14ac:dyDescent="0.25">
      <c r="A9" s="519" t="s">
        <v>342</v>
      </c>
      <c r="B9" s="519"/>
      <c r="C9" s="519"/>
      <c r="D9" s="519"/>
      <c r="E9" s="519"/>
      <c r="F9" s="519"/>
      <c r="G9" s="519"/>
      <c r="H9" s="519"/>
      <c r="I9" s="519"/>
      <c r="J9" s="519"/>
    </row>
    <row r="10" spans="1:10" ht="69.75" customHeight="1" x14ac:dyDescent="0.25">
      <c r="A10" s="519" t="s">
        <v>343</v>
      </c>
      <c r="B10" s="519"/>
      <c r="C10" s="519"/>
      <c r="D10" s="519"/>
      <c r="E10" s="519"/>
      <c r="F10" s="519"/>
      <c r="G10" s="519"/>
      <c r="H10" s="519"/>
      <c r="I10" s="519"/>
      <c r="J10" s="519"/>
    </row>
    <row r="11" spans="1:10" ht="48.2" customHeight="1" x14ac:dyDescent="0.25">
      <c r="A11" s="519" t="s">
        <v>344</v>
      </c>
      <c r="B11" s="519"/>
      <c r="C11" s="519"/>
      <c r="D11" s="519"/>
      <c r="E11" s="519"/>
      <c r="F11" s="519"/>
      <c r="G11" s="519"/>
      <c r="H11" s="519"/>
      <c r="I11" s="519"/>
      <c r="J11" s="519"/>
    </row>
    <row r="12" spans="1:10" x14ac:dyDescent="0.25">
      <c r="A12" s="519" t="s">
        <v>345</v>
      </c>
      <c r="B12" s="519"/>
      <c r="C12" s="519"/>
      <c r="D12" s="519"/>
      <c r="E12" s="519"/>
      <c r="F12" s="519"/>
      <c r="G12" s="519"/>
      <c r="H12" s="519"/>
      <c r="I12" s="519"/>
      <c r="J12" s="519"/>
    </row>
    <row r="14" spans="1:10" x14ac:dyDescent="0.25">
      <c r="A14" s="5" t="s">
        <v>346</v>
      </c>
    </row>
    <row r="16" spans="1:10" ht="47.25" x14ac:dyDescent="0.25">
      <c r="A16" s="538" t="s">
        <v>4</v>
      </c>
      <c r="B16" s="538"/>
      <c r="C16" s="538"/>
      <c r="D16" s="18" t="s">
        <v>53</v>
      </c>
    </row>
    <row r="17" spans="1:4" x14ac:dyDescent="0.25">
      <c r="A17" s="538"/>
      <c r="B17" s="538"/>
      <c r="C17" s="538"/>
      <c r="D17" s="539" t="s">
        <v>5</v>
      </c>
    </row>
    <row r="18" spans="1:4" x14ac:dyDescent="0.25">
      <c r="A18" s="18" t="s">
        <v>1</v>
      </c>
      <c r="B18" s="18" t="s">
        <v>11</v>
      </c>
      <c r="C18" s="18" t="s">
        <v>14</v>
      </c>
      <c r="D18" s="539"/>
    </row>
    <row r="19" spans="1:4" x14ac:dyDescent="0.25">
      <c r="A19" s="59">
        <v>50000</v>
      </c>
      <c r="B19" s="59">
        <v>200000</v>
      </c>
      <c r="C19" s="59"/>
      <c r="D19" s="59"/>
    </row>
  </sheetData>
  <mergeCells count="10">
    <mergeCell ref="A16:C17"/>
    <mergeCell ref="D17:D18"/>
    <mergeCell ref="A2:J2"/>
    <mergeCell ref="A4:G4"/>
    <mergeCell ref="A7:J7"/>
    <mergeCell ref="A8:J8"/>
    <mergeCell ref="A9:J9"/>
    <mergeCell ref="A10:J10"/>
    <mergeCell ref="A11:J11"/>
    <mergeCell ref="A12:J12"/>
  </mergeCells>
  <pageMargins left="0.7" right="0.7" top="0.75" bottom="0.75"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C84F-D894-4BF0-B51D-82C52B224F9D}">
  <dimension ref="A1:J20"/>
  <sheetViews>
    <sheetView zoomScaleNormal="100" workbookViewId="0">
      <selection activeCell="A7" sqref="A7:J7"/>
    </sheetView>
  </sheetViews>
  <sheetFormatPr defaultColWidth="9.140625" defaultRowHeight="15.75" x14ac:dyDescent="0.25"/>
  <cols>
    <col min="1" max="1" width="10.5703125" style="5" customWidth="1"/>
    <col min="2" max="4" width="10.28515625" style="5" customWidth="1"/>
    <col min="5" max="5" width="16" style="5" customWidth="1"/>
    <col min="6" max="16384" width="9.140625" style="5"/>
  </cols>
  <sheetData>
    <row r="1" spans="1:10" x14ac:dyDescent="0.25">
      <c r="J1" s="7" t="s">
        <v>357</v>
      </c>
    </row>
    <row r="2" spans="1:10" ht="24.75" customHeight="1" x14ac:dyDescent="0.25">
      <c r="A2" s="509" t="s">
        <v>356</v>
      </c>
      <c r="B2" s="509"/>
      <c r="C2" s="509"/>
      <c r="D2" s="509"/>
      <c r="E2" s="509"/>
      <c r="F2" s="509"/>
      <c r="G2" s="509"/>
      <c r="H2" s="509"/>
      <c r="I2" s="509"/>
      <c r="J2" s="509"/>
    </row>
    <row r="3" spans="1:10" x14ac:dyDescent="0.25">
      <c r="A3" s="12"/>
      <c r="B3" s="12"/>
      <c r="C3" s="12"/>
      <c r="D3" s="12"/>
      <c r="E3" s="12"/>
      <c r="F3" s="12"/>
      <c r="G3" s="12"/>
      <c r="H3" s="12"/>
      <c r="I3" s="12"/>
      <c r="J3" s="12"/>
    </row>
    <row r="4" spans="1:10" s="16" customFormat="1" x14ac:dyDescent="0.25">
      <c r="A4" s="482" t="s">
        <v>220</v>
      </c>
      <c r="B4" s="482"/>
      <c r="C4" s="482"/>
      <c r="D4" s="482"/>
      <c r="E4" s="482"/>
      <c r="F4" s="482"/>
      <c r="G4" s="482"/>
      <c r="H4" s="49"/>
      <c r="I4" s="49"/>
    </row>
    <row r="5" spans="1:10" s="16" customFormat="1" x14ac:dyDescent="0.25">
      <c r="A5" s="55" t="s">
        <v>231</v>
      </c>
      <c r="B5" s="55"/>
      <c r="C5" s="55"/>
      <c r="D5" s="55"/>
      <c r="E5" s="55"/>
      <c r="F5" s="55"/>
      <c r="G5" s="55"/>
      <c r="H5" s="49"/>
      <c r="I5" s="49"/>
    </row>
    <row r="7" spans="1:10" x14ac:dyDescent="0.25">
      <c r="A7" s="540" t="s">
        <v>329</v>
      </c>
      <c r="B7" s="540"/>
      <c r="C7" s="540"/>
      <c r="D7" s="540"/>
      <c r="E7" s="540"/>
      <c r="F7" s="540"/>
      <c r="G7" s="540"/>
      <c r="H7" s="540"/>
      <c r="I7" s="540"/>
      <c r="J7" s="540"/>
    </row>
    <row r="8" spans="1:10" ht="38.25" customHeight="1" x14ac:dyDescent="0.25">
      <c r="A8" s="519" t="s">
        <v>349</v>
      </c>
      <c r="B8" s="519"/>
      <c r="C8" s="519"/>
      <c r="D8" s="519"/>
      <c r="E8" s="519"/>
      <c r="F8" s="519"/>
      <c r="G8" s="519"/>
      <c r="H8" s="519"/>
      <c r="I8" s="519"/>
      <c r="J8" s="519"/>
    </row>
    <row r="9" spans="1:10" ht="49.7" customHeight="1" x14ac:dyDescent="0.25">
      <c r="A9" s="519" t="s">
        <v>350</v>
      </c>
      <c r="B9" s="519"/>
      <c r="C9" s="519"/>
      <c r="D9" s="519"/>
      <c r="E9" s="519"/>
      <c r="F9" s="519"/>
      <c r="G9" s="519"/>
      <c r="H9" s="519"/>
      <c r="I9" s="519"/>
      <c r="J9" s="519"/>
    </row>
    <row r="10" spans="1:10" ht="36.75" customHeight="1" x14ac:dyDescent="0.25">
      <c r="A10" s="519" t="s">
        <v>351</v>
      </c>
      <c r="B10" s="519"/>
      <c r="C10" s="519"/>
      <c r="D10" s="519"/>
      <c r="E10" s="519"/>
      <c r="F10" s="519"/>
      <c r="G10" s="519"/>
      <c r="H10" s="519"/>
      <c r="I10" s="519"/>
      <c r="J10" s="519"/>
    </row>
    <row r="11" spans="1:10" ht="33" customHeight="1" x14ac:dyDescent="0.25">
      <c r="A11" s="519" t="s">
        <v>352</v>
      </c>
      <c r="B11" s="519"/>
      <c r="C11" s="519"/>
      <c r="D11" s="519"/>
      <c r="E11" s="519"/>
      <c r="F11" s="519"/>
      <c r="G11" s="519"/>
      <c r="H11" s="519"/>
      <c r="I11" s="519"/>
      <c r="J11" s="519"/>
    </row>
    <row r="12" spans="1:10" ht="32.25" customHeight="1" x14ac:dyDescent="0.25">
      <c r="A12" s="519" t="s">
        <v>353</v>
      </c>
      <c r="B12" s="519"/>
      <c r="C12" s="519"/>
      <c r="D12" s="519"/>
      <c r="E12" s="519"/>
      <c r="F12" s="519"/>
      <c r="G12" s="519"/>
      <c r="H12" s="519"/>
      <c r="I12" s="519"/>
      <c r="J12" s="519"/>
    </row>
    <row r="13" spans="1:10" ht="32.25" customHeight="1" x14ac:dyDescent="0.25">
      <c r="A13" s="519" t="s">
        <v>354</v>
      </c>
      <c r="B13" s="519"/>
      <c r="C13" s="519"/>
      <c r="D13" s="519"/>
      <c r="E13" s="519"/>
      <c r="F13" s="519"/>
      <c r="G13" s="519"/>
      <c r="H13" s="519"/>
      <c r="I13" s="519"/>
      <c r="J13" s="519"/>
    </row>
    <row r="15" spans="1:10" ht="47.25" x14ac:dyDescent="0.25">
      <c r="A15" s="541" t="s">
        <v>358</v>
      </c>
      <c r="B15" s="538" t="s">
        <v>4</v>
      </c>
      <c r="C15" s="538"/>
      <c r="D15" s="538"/>
      <c r="E15" s="18" t="s">
        <v>53</v>
      </c>
    </row>
    <row r="16" spans="1:10" x14ac:dyDescent="0.25">
      <c r="A16" s="542"/>
      <c r="B16" s="538"/>
      <c r="C16" s="538"/>
      <c r="D16" s="538"/>
      <c r="E16" s="539" t="s">
        <v>5</v>
      </c>
    </row>
    <row r="17" spans="1:5" x14ac:dyDescent="0.25">
      <c r="A17" s="543"/>
      <c r="B17" s="18" t="s">
        <v>1</v>
      </c>
      <c r="C17" s="18" t="s">
        <v>11</v>
      </c>
      <c r="D17" s="18" t="s">
        <v>14</v>
      </c>
      <c r="E17" s="539"/>
    </row>
    <row r="18" spans="1:5" x14ac:dyDescent="0.25">
      <c r="A18" s="8">
        <v>1</v>
      </c>
      <c r="B18" s="59">
        <v>8200</v>
      </c>
      <c r="C18" s="59">
        <v>73800</v>
      </c>
      <c r="D18" s="59"/>
      <c r="E18" s="59"/>
    </row>
    <row r="19" spans="1:5" x14ac:dyDescent="0.25">
      <c r="A19" s="8">
        <v>2</v>
      </c>
      <c r="B19" s="8"/>
      <c r="C19" s="59">
        <v>6000</v>
      </c>
      <c r="D19" s="59">
        <v>54000</v>
      </c>
      <c r="E19" s="8"/>
    </row>
    <row r="20" spans="1:5" x14ac:dyDescent="0.25">
      <c r="A20" s="8" t="s">
        <v>355</v>
      </c>
      <c r="B20" s="59">
        <f>SUM(B18:B19)</f>
        <v>8200</v>
      </c>
      <c r="C20" s="59">
        <f t="shared" ref="C20:D20" si="0">SUM(C18:C19)</f>
        <v>79800</v>
      </c>
      <c r="D20" s="59">
        <f t="shared" si="0"/>
        <v>54000</v>
      </c>
      <c r="E20" s="67"/>
    </row>
  </sheetData>
  <mergeCells count="12">
    <mergeCell ref="A13:J13"/>
    <mergeCell ref="A15:A17"/>
    <mergeCell ref="B15:D16"/>
    <mergeCell ref="E16:E17"/>
    <mergeCell ref="A2:J2"/>
    <mergeCell ref="A4:G4"/>
    <mergeCell ref="A7:J7"/>
    <mergeCell ref="A8:J8"/>
    <mergeCell ref="A9:J9"/>
    <mergeCell ref="A10:J10"/>
    <mergeCell ref="A11:J11"/>
    <mergeCell ref="A12:J12"/>
  </mergeCell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zoomScaleNormal="100" workbookViewId="0">
      <selection activeCell="F12" sqref="F12"/>
    </sheetView>
  </sheetViews>
  <sheetFormatPr defaultColWidth="9.140625" defaultRowHeight="15.75" x14ac:dyDescent="0.25"/>
  <cols>
    <col min="1" max="3" width="11.42578125" style="79" customWidth="1"/>
    <col min="4" max="4" width="28.42578125" style="79" customWidth="1"/>
    <col min="5" max="5" width="8.140625" style="79" customWidth="1"/>
    <col min="6" max="6" width="9.140625" style="79" bestFit="1" customWidth="1"/>
    <col min="7" max="16384" width="9.140625" style="79"/>
  </cols>
  <sheetData>
    <row r="1" spans="1:9" x14ac:dyDescent="0.25">
      <c r="D1" s="107" t="s">
        <v>93</v>
      </c>
    </row>
    <row r="2" spans="1:9" x14ac:dyDescent="0.25">
      <c r="A2" s="470" t="s">
        <v>94</v>
      </c>
      <c r="B2" s="470"/>
      <c r="C2" s="470"/>
      <c r="D2" s="470"/>
    </row>
    <row r="4" spans="1:9" s="109" customFormat="1" x14ac:dyDescent="0.25">
      <c r="A4" s="474" t="s">
        <v>220</v>
      </c>
      <c r="B4" s="474"/>
      <c r="C4" s="474"/>
      <c r="D4" s="474"/>
      <c r="E4" s="474"/>
      <c r="F4" s="474"/>
      <c r="G4" s="474"/>
      <c r="H4" s="108"/>
      <c r="I4" s="108"/>
    </row>
    <row r="5" spans="1:9" s="109" customFormat="1" ht="30.75" customHeight="1" x14ac:dyDescent="0.25">
      <c r="A5" s="469" t="s">
        <v>231</v>
      </c>
      <c r="B5" s="469"/>
      <c r="C5" s="469"/>
      <c r="D5" s="469"/>
      <c r="E5" s="110"/>
      <c r="F5" s="110"/>
      <c r="G5" s="110"/>
      <c r="H5" s="108"/>
      <c r="I5" s="108"/>
    </row>
    <row r="6" spans="1:9" s="109" customFormat="1" ht="30.75" customHeight="1" x14ac:dyDescent="0.25">
      <c r="A6" s="469" t="s">
        <v>410</v>
      </c>
      <c r="B6" s="469"/>
      <c r="C6" s="469"/>
      <c r="D6" s="469"/>
      <c r="E6" s="110"/>
      <c r="F6" s="110"/>
      <c r="G6" s="110"/>
      <c r="H6" s="108"/>
      <c r="I6" s="108"/>
    </row>
    <row r="7" spans="1:9" s="109" customFormat="1" x14ac:dyDescent="0.25">
      <c r="A7" s="110"/>
      <c r="B7" s="110"/>
      <c r="C7" s="110"/>
      <c r="D7" s="110"/>
      <c r="E7" s="110"/>
      <c r="F7" s="110"/>
      <c r="G7" s="110"/>
      <c r="H7" s="108"/>
      <c r="I7" s="108"/>
    </row>
    <row r="8" spans="1:9" ht="31.5" x14ac:dyDescent="0.25">
      <c r="A8" s="471" t="s">
        <v>4</v>
      </c>
      <c r="B8" s="471"/>
      <c r="C8" s="471"/>
      <c r="D8" s="80" t="s">
        <v>53</v>
      </c>
    </row>
    <row r="9" spans="1:9" x14ac:dyDescent="0.25">
      <c r="A9" s="471"/>
      <c r="B9" s="471"/>
      <c r="C9" s="471"/>
      <c r="D9" s="472" t="s">
        <v>5</v>
      </c>
    </row>
    <row r="10" spans="1:9" ht="48.2" customHeight="1" x14ac:dyDescent="0.25">
      <c r="A10" s="80" t="s">
        <v>1</v>
      </c>
      <c r="B10" s="80" t="s">
        <v>11</v>
      </c>
      <c r="C10" s="80" t="s">
        <v>14</v>
      </c>
      <c r="D10" s="472"/>
    </row>
    <row r="11" spans="1:9" x14ac:dyDescent="0.25">
      <c r="A11" s="136">
        <v>98000</v>
      </c>
      <c r="B11" s="136">
        <v>65000</v>
      </c>
      <c r="C11" s="136">
        <v>65000</v>
      </c>
      <c r="D11" s="136">
        <v>65000</v>
      </c>
    </row>
    <row r="12" spans="1:9" ht="258" customHeight="1" x14ac:dyDescent="0.25">
      <c r="A12" s="473" t="s">
        <v>253</v>
      </c>
      <c r="B12" s="473"/>
      <c r="C12" s="473"/>
      <c r="D12" s="473"/>
    </row>
    <row r="13" spans="1:9" ht="15.75" customHeight="1" x14ac:dyDescent="0.25"/>
    <row r="14" spans="1:9" ht="15.75" customHeight="1" x14ac:dyDescent="0.25"/>
  </sheetData>
  <mergeCells count="7">
    <mergeCell ref="A5:D5"/>
    <mergeCell ref="A2:D2"/>
    <mergeCell ref="A8:C9"/>
    <mergeCell ref="D9:D10"/>
    <mergeCell ref="A12:D12"/>
    <mergeCell ref="A4:G4"/>
    <mergeCell ref="A6:D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5D10-ECE3-48A0-AC48-FD5DFD7DB2BD}">
  <dimension ref="A1:I17"/>
  <sheetViews>
    <sheetView zoomScaleNormal="100" workbookViewId="0">
      <selection activeCell="B25" sqref="B25"/>
    </sheetView>
  </sheetViews>
  <sheetFormatPr defaultColWidth="9.140625" defaultRowHeight="15.75" x14ac:dyDescent="0.25"/>
  <cols>
    <col min="1" max="1" width="11.85546875" style="106" customWidth="1"/>
    <col min="2" max="2" width="70.140625" style="106" bestFit="1" customWidth="1"/>
    <col min="3" max="3" width="9.5703125" style="106" bestFit="1" customWidth="1"/>
    <col min="4" max="4" width="9.28515625" style="106" customWidth="1"/>
    <col min="5" max="16384" width="9.140625" style="106"/>
  </cols>
  <sheetData>
    <row r="1" spans="1:9" x14ac:dyDescent="0.25">
      <c r="D1" s="137" t="s">
        <v>251</v>
      </c>
    </row>
    <row r="2" spans="1:9" ht="31.7" customHeight="1" x14ac:dyDescent="0.25">
      <c r="A2" s="518" t="s">
        <v>250</v>
      </c>
      <c r="B2" s="518"/>
      <c r="C2" s="518"/>
      <c r="D2" s="518"/>
    </row>
    <row r="4" spans="1:9" s="109" customFormat="1" x14ac:dyDescent="0.25">
      <c r="A4" s="474" t="s">
        <v>220</v>
      </c>
      <c r="B4" s="474"/>
      <c r="C4" s="474"/>
      <c r="D4" s="474"/>
      <c r="E4" s="474"/>
      <c r="F4" s="474"/>
      <c r="G4" s="474"/>
      <c r="H4" s="108"/>
      <c r="I4" s="108"/>
    </row>
    <row r="5" spans="1:9" s="109" customFormat="1" x14ac:dyDescent="0.25">
      <c r="A5" s="110" t="s">
        <v>231</v>
      </c>
      <c r="B5" s="110"/>
      <c r="C5" s="110"/>
      <c r="D5" s="110"/>
      <c r="E5" s="110"/>
      <c r="F5" s="110"/>
      <c r="G5" s="110"/>
      <c r="H5" s="108"/>
      <c r="I5" s="108"/>
    </row>
    <row r="6" spans="1:9" s="109" customFormat="1" x14ac:dyDescent="0.25">
      <c r="A6" s="110" t="s">
        <v>413</v>
      </c>
      <c r="B6" s="110"/>
      <c r="C6" s="110"/>
      <c r="D6" s="110"/>
      <c r="E6" s="110"/>
      <c r="F6" s="110"/>
      <c r="G6" s="110"/>
      <c r="H6" s="108"/>
      <c r="I6" s="108"/>
    </row>
    <row r="7" spans="1:9" s="255" customFormat="1" ht="46.5" customHeight="1" x14ac:dyDescent="0.25">
      <c r="A7" s="80" t="s">
        <v>248</v>
      </c>
      <c r="B7" s="80" t="s">
        <v>249</v>
      </c>
      <c r="C7" s="80"/>
      <c r="D7" s="80" t="s">
        <v>85</v>
      </c>
    </row>
    <row r="8" spans="1:9" ht="53.45" customHeight="1" x14ac:dyDescent="0.25">
      <c r="A8" s="544" t="s">
        <v>1</v>
      </c>
      <c r="B8" s="196" t="s">
        <v>237</v>
      </c>
      <c r="C8" s="256">
        <v>10700</v>
      </c>
      <c r="D8" s="257" t="s">
        <v>238</v>
      </c>
    </row>
    <row r="9" spans="1:9" x14ac:dyDescent="0.25">
      <c r="A9" s="544"/>
      <c r="B9" s="194" t="s">
        <v>239</v>
      </c>
      <c r="C9" s="256" t="s">
        <v>240</v>
      </c>
      <c r="D9" s="257"/>
    </row>
    <row r="10" spans="1:9" x14ac:dyDescent="0.25">
      <c r="A10" s="544"/>
      <c r="B10" s="194" t="s">
        <v>241</v>
      </c>
      <c r="C10" s="256" t="s">
        <v>242</v>
      </c>
      <c r="D10" s="257" t="s">
        <v>243</v>
      </c>
    </row>
    <row r="11" spans="1:9" x14ac:dyDescent="0.25">
      <c r="A11" s="544"/>
      <c r="B11" s="258" t="s">
        <v>244</v>
      </c>
      <c r="C11" s="259"/>
      <c r="D11" s="257" t="s">
        <v>245</v>
      </c>
    </row>
    <row r="12" spans="1:9" x14ac:dyDescent="0.25">
      <c r="A12" s="544"/>
      <c r="B12" s="258" t="s">
        <v>246</v>
      </c>
      <c r="C12" s="259"/>
      <c r="D12" s="257">
        <f>D11*1.21</f>
        <v>96001.4</v>
      </c>
    </row>
    <row r="13" spans="1:9" ht="51" customHeight="1" x14ac:dyDescent="0.25">
      <c r="A13" s="545" t="s">
        <v>11</v>
      </c>
      <c r="B13" s="196" t="s">
        <v>237</v>
      </c>
      <c r="C13" s="256">
        <v>11770</v>
      </c>
      <c r="D13" s="257">
        <v>11770</v>
      </c>
    </row>
    <row r="14" spans="1:9" x14ac:dyDescent="0.25">
      <c r="A14" s="546"/>
      <c r="B14" s="194" t="s">
        <v>239</v>
      </c>
      <c r="C14" s="256">
        <v>1573</v>
      </c>
      <c r="D14" s="257">
        <v>1573</v>
      </c>
    </row>
    <row r="15" spans="1:9" x14ac:dyDescent="0.25">
      <c r="A15" s="546"/>
      <c r="B15" s="194" t="s">
        <v>241</v>
      </c>
      <c r="C15" s="256" t="s">
        <v>247</v>
      </c>
      <c r="D15" s="257">
        <v>75504</v>
      </c>
    </row>
    <row r="16" spans="1:9" x14ac:dyDescent="0.25">
      <c r="A16" s="546"/>
      <c r="B16" s="258" t="s">
        <v>244</v>
      </c>
      <c r="C16" s="256"/>
      <c r="D16" s="257">
        <v>87274</v>
      </c>
    </row>
    <row r="17" spans="1:4" x14ac:dyDescent="0.25">
      <c r="A17" s="547"/>
      <c r="B17" s="258" t="s">
        <v>246</v>
      </c>
      <c r="C17" s="256"/>
      <c r="D17" s="257">
        <f>D16*1.21</f>
        <v>105601.54</v>
      </c>
    </row>
  </sheetData>
  <mergeCells count="4">
    <mergeCell ref="A8:A12"/>
    <mergeCell ref="A2:D2"/>
    <mergeCell ref="A13:A17"/>
    <mergeCell ref="A4:G4"/>
  </mergeCells>
  <pageMargins left="0.7" right="0.7" top="0.75" bottom="0.75" header="0.3" footer="0.3"/>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6CA44-A0C4-41B0-8C2C-C9EBB209F76D}">
  <dimension ref="A1:I18"/>
  <sheetViews>
    <sheetView zoomScaleNormal="100" workbookViewId="0">
      <selection activeCell="G15" sqref="G15"/>
    </sheetView>
  </sheetViews>
  <sheetFormatPr defaultColWidth="9.140625" defaultRowHeight="15.75" x14ac:dyDescent="0.25"/>
  <cols>
    <col min="1" max="1" width="6.85546875" style="38" customWidth="1"/>
    <col min="2" max="2" width="36.85546875" style="38" customWidth="1"/>
    <col min="3" max="3" width="62.140625" style="38" customWidth="1"/>
    <col min="4" max="4" width="19.42578125" style="38" customWidth="1"/>
    <col min="5" max="5" width="17.7109375" style="38" customWidth="1"/>
    <col min="6" max="6" width="14.28515625" style="38" customWidth="1"/>
    <col min="7" max="7" width="18" style="38" customWidth="1"/>
    <col min="8" max="8" width="15.28515625" style="38" customWidth="1"/>
    <col min="9" max="16384" width="9.140625" style="38"/>
  </cols>
  <sheetData>
    <row r="1" spans="1:9" x14ac:dyDescent="0.25">
      <c r="D1" s="39" t="s">
        <v>374</v>
      </c>
    </row>
    <row r="2" spans="1:9" ht="31.7" customHeight="1" x14ac:dyDescent="0.25">
      <c r="A2" s="556" t="s">
        <v>375</v>
      </c>
      <c r="B2" s="556"/>
      <c r="C2" s="556"/>
      <c r="D2" s="556"/>
      <c r="E2" s="70"/>
    </row>
    <row r="4" spans="1:9" s="16" customFormat="1" x14ac:dyDescent="0.25">
      <c r="A4" s="482" t="s">
        <v>220</v>
      </c>
      <c r="B4" s="482"/>
      <c r="C4" s="482"/>
      <c r="D4" s="482"/>
      <c r="E4" s="482"/>
      <c r="F4" s="482"/>
      <c r="G4" s="482"/>
      <c r="H4" s="49"/>
      <c r="I4" s="49"/>
    </row>
    <row r="5" spans="1:9" s="16" customFormat="1" x14ac:dyDescent="0.25">
      <c r="A5" s="55" t="s">
        <v>231</v>
      </c>
      <c r="B5" s="55"/>
      <c r="C5" s="55"/>
      <c r="D5" s="55"/>
      <c r="E5" s="55"/>
      <c r="F5" s="55"/>
      <c r="G5" s="55"/>
      <c r="H5" s="49"/>
      <c r="I5" s="49"/>
    </row>
    <row r="7" spans="1:9" ht="83.25" customHeight="1" x14ac:dyDescent="0.25">
      <c r="A7" s="557" t="s">
        <v>391</v>
      </c>
      <c r="B7" s="557"/>
      <c r="C7" s="557"/>
      <c r="D7" s="557"/>
      <c r="E7" s="14"/>
    </row>
    <row r="9" spans="1:9" ht="31.5" x14ac:dyDescent="0.25">
      <c r="A9" s="69" t="s">
        <v>383</v>
      </c>
      <c r="B9" s="69" t="s">
        <v>0</v>
      </c>
      <c r="C9" s="69" t="s">
        <v>384</v>
      </c>
      <c r="D9" s="69" t="s">
        <v>390</v>
      </c>
    </row>
    <row r="10" spans="1:9" ht="47.25" x14ac:dyDescent="0.25">
      <c r="A10" s="551">
        <v>1</v>
      </c>
      <c r="B10" s="558" t="s">
        <v>385</v>
      </c>
      <c r="C10" s="68" t="s">
        <v>392</v>
      </c>
      <c r="D10" s="553">
        <v>9244.16</v>
      </c>
    </row>
    <row r="11" spans="1:9" ht="78.75" x14ac:dyDescent="0.25">
      <c r="A11" s="551"/>
      <c r="B11" s="558"/>
      <c r="C11" s="68" t="s">
        <v>386</v>
      </c>
      <c r="D11" s="553"/>
    </row>
    <row r="12" spans="1:9" ht="94.5" x14ac:dyDescent="0.25">
      <c r="A12" s="551">
        <v>2</v>
      </c>
      <c r="B12" s="552" t="s">
        <v>396</v>
      </c>
      <c r="C12" s="68" t="s">
        <v>393</v>
      </c>
      <c r="D12" s="554">
        <v>13711.2</v>
      </c>
    </row>
    <row r="13" spans="1:9" ht="78.75" x14ac:dyDescent="0.25">
      <c r="A13" s="551"/>
      <c r="B13" s="552"/>
      <c r="C13" s="68" t="s">
        <v>387</v>
      </c>
      <c r="D13" s="555"/>
    </row>
    <row r="14" spans="1:9" ht="63" x14ac:dyDescent="0.25">
      <c r="A14" s="551">
        <v>3</v>
      </c>
      <c r="B14" s="552" t="s">
        <v>388</v>
      </c>
      <c r="C14" s="68" t="s">
        <v>394</v>
      </c>
      <c r="D14" s="553">
        <v>3800.98</v>
      </c>
    </row>
    <row r="15" spans="1:9" ht="78.75" x14ac:dyDescent="0.25">
      <c r="A15" s="551"/>
      <c r="B15" s="552"/>
      <c r="C15" s="68" t="s">
        <v>386</v>
      </c>
      <c r="D15" s="553"/>
    </row>
    <row r="16" spans="1:9" ht="94.5" x14ac:dyDescent="0.25">
      <c r="A16" s="551">
        <v>4</v>
      </c>
      <c r="B16" s="552" t="s">
        <v>389</v>
      </c>
      <c r="C16" s="68" t="s">
        <v>395</v>
      </c>
      <c r="D16" s="554">
        <v>20584.66</v>
      </c>
    </row>
    <row r="17" spans="1:4" ht="78.75" x14ac:dyDescent="0.25">
      <c r="A17" s="551"/>
      <c r="B17" s="552"/>
      <c r="C17" s="68" t="s">
        <v>387</v>
      </c>
      <c r="D17" s="555"/>
    </row>
    <row r="18" spans="1:4" x14ac:dyDescent="0.25">
      <c r="A18" s="548" t="s">
        <v>206</v>
      </c>
      <c r="B18" s="549"/>
      <c r="C18" s="550"/>
      <c r="D18" s="71">
        <f>D10+D12+D14+D16</f>
        <v>47341</v>
      </c>
    </row>
  </sheetData>
  <mergeCells count="16">
    <mergeCell ref="A2:D2"/>
    <mergeCell ref="A4:G4"/>
    <mergeCell ref="A7:D7"/>
    <mergeCell ref="A10:A11"/>
    <mergeCell ref="B10:B11"/>
    <mergeCell ref="A18:C18"/>
    <mergeCell ref="A16:A17"/>
    <mergeCell ref="B16:B17"/>
    <mergeCell ref="D10:D11"/>
    <mergeCell ref="D14:D15"/>
    <mergeCell ref="D12:D13"/>
    <mergeCell ref="D16:D17"/>
    <mergeCell ref="A12:A13"/>
    <mergeCell ref="B12:B13"/>
    <mergeCell ref="A14:A15"/>
    <mergeCell ref="B14:B15"/>
  </mergeCells>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1C80B-71EA-4AF7-9642-FFCAF9EBBB93}">
  <dimension ref="A1:I7"/>
  <sheetViews>
    <sheetView zoomScaleNormal="100" workbookViewId="0">
      <selection activeCell="C14" sqref="C14"/>
    </sheetView>
  </sheetViews>
  <sheetFormatPr defaultRowHeight="15" x14ac:dyDescent="0.25"/>
  <cols>
    <col min="1" max="1" width="15.7109375" customWidth="1"/>
    <col min="2" max="2" width="24" customWidth="1"/>
    <col min="3" max="3" width="20.42578125" customWidth="1"/>
    <col min="4" max="4" width="17.85546875" customWidth="1"/>
  </cols>
  <sheetData>
    <row r="1" spans="1:9" s="5" customFormat="1" ht="15.75" x14ac:dyDescent="0.25">
      <c r="D1" s="7" t="s">
        <v>376</v>
      </c>
    </row>
    <row r="2" spans="1:9" s="5" customFormat="1" ht="31.7" customHeight="1" x14ac:dyDescent="0.25">
      <c r="A2" s="559" t="s">
        <v>377</v>
      </c>
      <c r="B2" s="559"/>
      <c r="C2" s="559"/>
      <c r="D2" s="559"/>
    </row>
    <row r="3" spans="1:9" s="5" customFormat="1" ht="15.75" x14ac:dyDescent="0.25"/>
    <row r="4" spans="1:9" s="16" customFormat="1" ht="15.75" x14ac:dyDescent="0.25">
      <c r="A4" s="482" t="s">
        <v>220</v>
      </c>
      <c r="B4" s="482"/>
      <c r="C4" s="482"/>
      <c r="D4" s="482"/>
      <c r="E4" s="482"/>
      <c r="F4" s="482"/>
      <c r="G4" s="482"/>
      <c r="H4" s="49"/>
      <c r="I4" s="49"/>
    </row>
    <row r="5" spans="1:9" s="16" customFormat="1" ht="15.75" x14ac:dyDescent="0.25">
      <c r="A5" s="55" t="s">
        <v>231</v>
      </c>
      <c r="B5" s="55"/>
      <c r="C5" s="55"/>
      <c r="D5" s="55"/>
      <c r="E5" s="55"/>
      <c r="F5" s="55"/>
      <c r="G5" s="55"/>
      <c r="H5" s="49"/>
      <c r="I5" s="49"/>
    </row>
    <row r="6" spans="1:9" s="5" customFormat="1" ht="15.75" x14ac:dyDescent="0.25"/>
    <row r="7" spans="1:9" s="5" customFormat="1" ht="140.25" customHeight="1" x14ac:dyDescent="0.25">
      <c r="A7" s="519" t="s">
        <v>397</v>
      </c>
      <c r="B7" s="519"/>
      <c r="C7" s="519"/>
      <c r="D7" s="519"/>
    </row>
  </sheetData>
  <mergeCells count="3">
    <mergeCell ref="A2:D2"/>
    <mergeCell ref="A4:G4"/>
    <mergeCell ref="A7:D7"/>
  </mergeCells>
  <pageMargins left="0.7" right="0.7" top="0.75" bottom="0.75" header="0.3" footer="0.3"/>
  <pageSetup paperSize="9" orientation="portrait" r:id="rId1"/>
  <colBreaks count="1" manualBreakCount="1">
    <brk id="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49CFC-C2D5-4C5A-B576-F63F08BED0F8}">
  <dimension ref="A1:J11"/>
  <sheetViews>
    <sheetView zoomScaleNormal="100" workbookViewId="0">
      <selection activeCell="A6" sqref="A6"/>
    </sheetView>
  </sheetViews>
  <sheetFormatPr defaultColWidth="9.140625" defaultRowHeight="15.75" x14ac:dyDescent="0.25"/>
  <cols>
    <col min="1" max="1" width="15.42578125" style="5" customWidth="1"/>
    <col min="2" max="2" width="12.42578125" style="5" customWidth="1"/>
    <col min="3" max="3" width="13.28515625" style="5" customWidth="1"/>
    <col min="4" max="4" width="10.5703125" style="5" bestFit="1" customWidth="1"/>
    <col min="5" max="5" width="18.140625" style="5" customWidth="1"/>
    <col min="6" max="7" width="9.85546875" style="5" customWidth="1"/>
    <col min="8" max="8" width="9.28515625" style="5" customWidth="1"/>
    <col min="9" max="16384" width="9.140625" style="5"/>
  </cols>
  <sheetData>
    <row r="1" spans="1:10" x14ac:dyDescent="0.25">
      <c r="H1" s="7" t="s">
        <v>365</v>
      </c>
    </row>
    <row r="2" spans="1:10" ht="54.75" customHeight="1" x14ac:dyDescent="0.25">
      <c r="A2" s="509" t="s">
        <v>366</v>
      </c>
      <c r="B2" s="509"/>
      <c r="C2" s="509"/>
      <c r="D2" s="509"/>
      <c r="E2" s="509"/>
      <c r="F2" s="509"/>
      <c r="G2" s="509"/>
      <c r="H2" s="509"/>
      <c r="I2" s="17"/>
      <c r="J2" s="17"/>
    </row>
    <row r="3" spans="1:10" x14ac:dyDescent="0.25">
      <c r="A3" s="12"/>
      <c r="B3" s="12"/>
      <c r="C3" s="12"/>
      <c r="D3" s="12"/>
      <c r="E3" s="12"/>
      <c r="F3" s="12"/>
      <c r="G3" s="12"/>
      <c r="H3" s="12"/>
      <c r="I3" s="12"/>
      <c r="J3" s="12"/>
    </row>
    <row r="4" spans="1:10" s="16" customFormat="1" x14ac:dyDescent="0.25">
      <c r="A4" s="482" t="s">
        <v>220</v>
      </c>
      <c r="B4" s="482"/>
      <c r="C4" s="482"/>
      <c r="D4" s="482"/>
      <c r="E4" s="482"/>
      <c r="F4" s="482"/>
      <c r="G4" s="482"/>
      <c r="H4" s="49"/>
      <c r="I4" s="49"/>
    </row>
    <row r="5" spans="1:10" s="16" customFormat="1" x14ac:dyDescent="0.25">
      <c r="A5" s="55" t="s">
        <v>231</v>
      </c>
      <c r="B5" s="55"/>
      <c r="C5" s="55"/>
      <c r="D5" s="55"/>
      <c r="E5" s="55"/>
      <c r="F5" s="55"/>
      <c r="G5" s="55"/>
      <c r="H5" s="49"/>
      <c r="I5" s="49"/>
    </row>
    <row r="6" spans="1:10" x14ac:dyDescent="0.25">
      <c r="A6" s="5" t="s">
        <v>329</v>
      </c>
    </row>
    <row r="7" spans="1:10" x14ac:dyDescent="0.25">
      <c r="F7" s="64" t="s">
        <v>359</v>
      </c>
      <c r="G7" s="64" t="s">
        <v>360</v>
      </c>
      <c r="H7" s="64" t="s">
        <v>361</v>
      </c>
    </row>
    <row r="8" spans="1:10" ht="31.5" x14ac:dyDescent="0.25">
      <c r="A8" s="6" t="s">
        <v>362</v>
      </c>
      <c r="B8" s="6" t="s">
        <v>368</v>
      </c>
      <c r="C8" s="6" t="s">
        <v>369</v>
      </c>
      <c r="D8" s="6" t="s">
        <v>370</v>
      </c>
      <c r="E8" s="6" t="s">
        <v>371</v>
      </c>
      <c r="F8" s="41"/>
      <c r="G8" s="41"/>
      <c r="H8" s="41"/>
    </row>
    <row r="9" spans="1:10" x14ac:dyDescent="0.25">
      <c r="A9" s="8" t="s">
        <v>363</v>
      </c>
      <c r="B9" s="8">
        <v>0.39</v>
      </c>
      <c r="C9" s="58">
        <v>25000</v>
      </c>
      <c r="D9" s="58">
        <v>6</v>
      </c>
      <c r="E9" s="58">
        <f>B9*C9*D9</f>
        <v>58500</v>
      </c>
      <c r="F9" s="58">
        <v>19500</v>
      </c>
      <c r="G9" s="58">
        <v>19500</v>
      </c>
      <c r="H9" s="58">
        <v>19500</v>
      </c>
    </row>
    <row r="10" spans="1:10" x14ac:dyDescent="0.25">
      <c r="A10" s="8" t="s">
        <v>367</v>
      </c>
      <c r="B10" s="8">
        <v>0.04</v>
      </c>
      <c r="C10" s="58">
        <v>25000</v>
      </c>
      <c r="D10" s="58">
        <v>6</v>
      </c>
      <c r="E10" s="58">
        <f>B10*C10*D10</f>
        <v>6000</v>
      </c>
      <c r="F10" s="58">
        <v>2000</v>
      </c>
      <c r="G10" s="58">
        <v>2000</v>
      </c>
      <c r="H10" s="58">
        <v>2000</v>
      </c>
    </row>
    <row r="11" spans="1:10" x14ac:dyDescent="0.25">
      <c r="A11" s="8" t="s">
        <v>364</v>
      </c>
      <c r="B11" s="8"/>
      <c r="C11" s="58"/>
      <c r="D11" s="58"/>
      <c r="E11" s="58">
        <f>SUM(E9:E10)</f>
        <v>64500</v>
      </c>
      <c r="F11" s="58">
        <f t="shared" ref="F11:H11" si="0">SUM(F9:F10)</f>
        <v>21500</v>
      </c>
      <c r="G11" s="58">
        <f t="shared" si="0"/>
        <v>21500</v>
      </c>
      <c r="H11" s="58">
        <f t="shared" si="0"/>
        <v>21500</v>
      </c>
    </row>
  </sheetData>
  <mergeCells count="2">
    <mergeCell ref="A4:G4"/>
    <mergeCell ref="A2:H2"/>
  </mergeCells>
  <pageMargins left="0.7" right="0.7" top="0.75" bottom="0.75" header="0.3" footer="0.3"/>
  <pageSetup paperSize="9" scale="8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CDA6B-E529-4BB0-A495-80963453A5D4}">
  <sheetPr>
    <pageSetUpPr fitToPage="1"/>
  </sheetPr>
  <dimension ref="A1:I17"/>
  <sheetViews>
    <sheetView showGridLines="0" zoomScaleNormal="100" workbookViewId="0">
      <selection activeCell="K28" sqref="K28"/>
    </sheetView>
  </sheetViews>
  <sheetFormatPr defaultColWidth="9.140625" defaultRowHeight="15.75" x14ac:dyDescent="0.25"/>
  <cols>
    <col min="1" max="1" width="68.5703125" style="106" bestFit="1" customWidth="1"/>
    <col min="2" max="2" width="12.5703125" style="106" customWidth="1"/>
    <col min="3" max="3" width="9.28515625" style="106" bestFit="1" customWidth="1"/>
    <col min="4" max="16384" width="9.140625" style="106"/>
  </cols>
  <sheetData>
    <row r="1" spans="1:9" x14ac:dyDescent="0.25">
      <c r="B1" s="137" t="s">
        <v>84</v>
      </c>
    </row>
    <row r="2" spans="1:9" ht="30.75" customHeight="1" x14ac:dyDescent="0.25">
      <c r="A2" s="518" t="s">
        <v>91</v>
      </c>
      <c r="B2" s="518"/>
      <c r="C2" s="260"/>
      <c r="D2" s="260"/>
      <c r="E2" s="260"/>
      <c r="F2" s="260"/>
      <c r="G2" s="260"/>
      <c r="H2" s="260"/>
    </row>
    <row r="4" spans="1:9" s="109" customFormat="1" x14ac:dyDescent="0.25">
      <c r="A4" s="474" t="s">
        <v>220</v>
      </c>
      <c r="B4" s="474"/>
      <c r="C4" s="474"/>
      <c r="D4" s="474"/>
      <c r="E4" s="474"/>
      <c r="F4" s="474"/>
      <c r="G4" s="474"/>
      <c r="H4" s="108"/>
      <c r="I4" s="108"/>
    </row>
    <row r="5" spans="1:9" s="109" customFormat="1" x14ac:dyDescent="0.25">
      <c r="A5" s="110" t="s">
        <v>231</v>
      </c>
      <c r="B5" s="110"/>
      <c r="C5" s="110"/>
      <c r="D5" s="110"/>
      <c r="E5" s="110"/>
      <c r="F5" s="110"/>
      <c r="G5" s="110"/>
      <c r="H5" s="108"/>
      <c r="I5" s="108"/>
    </row>
    <row r="6" spans="1:9" s="109" customFormat="1" x14ac:dyDescent="0.25">
      <c r="A6" s="110"/>
      <c r="B6" s="110"/>
      <c r="C6" s="110"/>
      <c r="D6" s="110"/>
      <c r="E6" s="110"/>
      <c r="F6" s="110"/>
      <c r="G6" s="110"/>
      <c r="H6" s="108"/>
      <c r="I6" s="108"/>
    </row>
    <row r="7" spans="1:9" ht="33.75" customHeight="1" x14ac:dyDescent="0.25">
      <c r="A7" s="560" t="s">
        <v>380</v>
      </c>
      <c r="B7" s="560"/>
      <c r="C7" s="261"/>
      <c r="D7" s="261"/>
      <c r="E7" s="261"/>
      <c r="F7" s="261"/>
      <c r="G7" s="261"/>
      <c r="H7" s="261"/>
      <c r="I7" s="261"/>
    </row>
    <row r="8" spans="1:9" ht="31.5" customHeight="1" x14ac:dyDescent="0.25">
      <c r="A8" s="561" t="s">
        <v>417</v>
      </c>
      <c r="B8" s="561"/>
    </row>
    <row r="9" spans="1:9" x14ac:dyDescent="0.25">
      <c r="B9" s="137" t="s">
        <v>85</v>
      </c>
    </row>
    <row r="10" spans="1:9" ht="39.75" customHeight="1" x14ac:dyDescent="0.25">
      <c r="A10" s="262" t="s">
        <v>86</v>
      </c>
      <c r="B10" s="263">
        <v>35734</v>
      </c>
      <c r="C10" s="264"/>
      <c r="D10" s="264"/>
      <c r="E10" s="264"/>
    </row>
    <row r="11" spans="1:9" x14ac:dyDescent="0.25">
      <c r="A11" s="188" t="s">
        <v>87</v>
      </c>
      <c r="B11" s="263">
        <v>31712</v>
      </c>
      <c r="C11" s="264"/>
      <c r="D11" s="264"/>
      <c r="E11" s="265"/>
      <c r="F11" s="114"/>
    </row>
    <row r="12" spans="1:9" x14ac:dyDescent="0.25">
      <c r="A12" s="188" t="s">
        <v>88</v>
      </c>
      <c r="B12" s="263">
        <v>31712</v>
      </c>
      <c r="C12" s="264"/>
      <c r="D12" s="264"/>
      <c r="E12" s="264"/>
    </row>
    <row r="13" spans="1:9" ht="31.5" x14ac:dyDescent="0.25">
      <c r="A13" s="262" t="s">
        <v>89</v>
      </c>
      <c r="B13" s="263">
        <v>90184</v>
      </c>
      <c r="C13" s="264"/>
      <c r="D13" s="264"/>
      <c r="E13" s="265"/>
    </row>
    <row r="14" spans="1:9" x14ac:dyDescent="0.25">
      <c r="A14" s="266" t="s">
        <v>90</v>
      </c>
      <c r="B14" s="263">
        <f>SUM(B10:B13)</f>
        <v>189342</v>
      </c>
      <c r="C14" s="264"/>
      <c r="D14" s="264"/>
      <c r="E14" s="264"/>
      <c r="F14" s="264"/>
    </row>
    <row r="15" spans="1:9" x14ac:dyDescent="0.25">
      <c r="A15" s="264"/>
      <c r="B15" s="264"/>
      <c r="C15" s="267"/>
      <c r="D15" s="264"/>
      <c r="E15" s="264"/>
      <c r="F15" s="264"/>
      <c r="G15" s="264"/>
    </row>
    <row r="16" spans="1:9" x14ac:dyDescent="0.25">
      <c r="A16" s="264"/>
      <c r="B16" s="264"/>
      <c r="C16" s="267"/>
      <c r="D16" s="264"/>
      <c r="E16" s="264"/>
      <c r="F16" s="264"/>
      <c r="G16" s="264"/>
    </row>
    <row r="17" spans="1:7" x14ac:dyDescent="0.25">
      <c r="A17" s="264"/>
      <c r="B17" s="264"/>
      <c r="C17" s="264"/>
      <c r="D17" s="264"/>
      <c r="E17" s="264"/>
      <c r="F17" s="264"/>
      <c r="G17" s="264"/>
    </row>
  </sheetData>
  <mergeCells count="4">
    <mergeCell ref="A2:B2"/>
    <mergeCell ref="A7:B7"/>
    <mergeCell ref="A4:G4"/>
    <mergeCell ref="A8:B8"/>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3289-CF55-4B23-A451-7A362E65F835}">
  <dimension ref="A1:I21"/>
  <sheetViews>
    <sheetView zoomScaleNormal="100" workbookViewId="0">
      <selection activeCell="I14" sqref="I14"/>
    </sheetView>
  </sheetViews>
  <sheetFormatPr defaultRowHeight="15" x14ac:dyDescent="0.25"/>
  <cols>
    <col min="1" max="1" width="67.42578125" style="134" bestFit="1" customWidth="1"/>
    <col min="2" max="2" width="10.140625" style="134" bestFit="1" customWidth="1"/>
    <col min="3" max="3" width="12.5703125" style="134" customWidth="1"/>
    <col min="4" max="4" width="12.7109375" style="134" customWidth="1"/>
    <col min="5" max="5" width="12.140625" style="134" customWidth="1"/>
    <col min="6" max="6" width="11.85546875" style="134" customWidth="1"/>
    <col min="7" max="16384" width="9.140625" style="134"/>
  </cols>
  <sheetData>
    <row r="1" spans="1:9" ht="15.75" x14ac:dyDescent="0.25">
      <c r="F1" s="137" t="s">
        <v>276</v>
      </c>
    </row>
    <row r="2" spans="1:9" ht="53.45" customHeight="1" x14ac:dyDescent="0.25">
      <c r="A2" s="518" t="s">
        <v>275</v>
      </c>
      <c r="B2" s="518"/>
      <c r="C2" s="518"/>
      <c r="D2" s="518"/>
      <c r="E2" s="518"/>
      <c r="F2" s="518"/>
    </row>
    <row r="3" spans="1:9" ht="15.75" x14ac:dyDescent="0.25">
      <c r="A3" s="268"/>
      <c r="B3" s="268"/>
      <c r="C3" s="268"/>
      <c r="D3" s="268"/>
      <c r="E3" s="268"/>
      <c r="F3" s="268"/>
    </row>
    <row r="4" spans="1:9" s="109" customFormat="1" ht="15.75" x14ac:dyDescent="0.25">
      <c r="A4" s="474" t="s">
        <v>220</v>
      </c>
      <c r="B4" s="474"/>
      <c r="C4" s="474"/>
      <c r="D4" s="474"/>
      <c r="E4" s="474"/>
      <c r="F4" s="474"/>
      <c r="G4" s="474"/>
      <c r="H4" s="108"/>
      <c r="I4" s="108"/>
    </row>
    <row r="5" spans="1:9" s="109" customFormat="1" ht="15.75" x14ac:dyDescent="0.25">
      <c r="A5" s="110" t="s">
        <v>231</v>
      </c>
      <c r="B5" s="110"/>
      <c r="C5" s="110"/>
      <c r="D5" s="110"/>
      <c r="E5" s="110"/>
      <c r="F5" s="110"/>
      <c r="G5" s="110"/>
      <c r="H5" s="108"/>
      <c r="I5" s="108"/>
    </row>
    <row r="6" spans="1:9" s="109" customFormat="1" ht="15.75" x14ac:dyDescent="0.25">
      <c r="A6" s="110" t="s">
        <v>418</v>
      </c>
      <c r="B6" s="110"/>
      <c r="C6" s="110"/>
      <c r="D6" s="110"/>
      <c r="E6" s="110"/>
      <c r="F6" s="110"/>
      <c r="G6" s="110"/>
      <c r="H6" s="108"/>
      <c r="I6" s="108"/>
    </row>
    <row r="7" spans="1:9" s="109" customFormat="1" ht="15.75" x14ac:dyDescent="0.25">
      <c r="A7" s="110"/>
      <c r="B7" s="110"/>
      <c r="C7" s="110"/>
      <c r="D7" s="110"/>
      <c r="E7" s="110"/>
      <c r="F7" s="110"/>
      <c r="G7" s="110"/>
      <c r="H7" s="108"/>
      <c r="I7" s="108"/>
    </row>
    <row r="8" spans="1:9" ht="47.25" x14ac:dyDescent="0.25">
      <c r="A8" s="196" t="s">
        <v>277</v>
      </c>
      <c r="B8" s="115" t="s">
        <v>278</v>
      </c>
      <c r="C8" s="115" t="s">
        <v>279</v>
      </c>
      <c r="D8" s="115" t="s">
        <v>280</v>
      </c>
      <c r="E8" s="115" t="s">
        <v>281</v>
      </c>
      <c r="F8" s="113" t="s">
        <v>282</v>
      </c>
    </row>
    <row r="9" spans="1:9" ht="31.5" x14ac:dyDescent="0.25">
      <c r="A9" s="196" t="s">
        <v>265</v>
      </c>
      <c r="B9" s="202">
        <v>8447.01</v>
      </c>
      <c r="C9" s="269">
        <v>563.86</v>
      </c>
      <c r="D9" s="269">
        <v>5541.8</v>
      </c>
      <c r="E9" s="269">
        <v>2341.35</v>
      </c>
      <c r="F9" s="269">
        <v>40</v>
      </c>
    </row>
    <row r="10" spans="1:9" ht="31.5" x14ac:dyDescent="0.25">
      <c r="A10" s="196" t="s">
        <v>266</v>
      </c>
      <c r="B10" s="202">
        <v>15143.15</v>
      </c>
      <c r="C10" s="269">
        <v>744.15</v>
      </c>
      <c r="D10" s="269">
        <v>6655</v>
      </c>
      <c r="E10" s="269">
        <v>7744</v>
      </c>
      <c r="F10" s="269">
        <v>50</v>
      </c>
    </row>
    <row r="11" spans="1:9" ht="15.75" x14ac:dyDescent="0.25">
      <c r="A11" s="196" t="s">
        <v>267</v>
      </c>
      <c r="B11" s="202">
        <v>14604.699999999999</v>
      </c>
      <c r="C11" s="269">
        <v>705.43</v>
      </c>
      <c r="D11" s="269">
        <v>10599.6</v>
      </c>
      <c r="E11" s="269">
        <v>3299.67</v>
      </c>
      <c r="F11" s="269">
        <v>60</v>
      </c>
    </row>
    <row r="12" spans="1:9" ht="31.5" x14ac:dyDescent="0.25">
      <c r="A12" s="196" t="s">
        <v>268</v>
      </c>
      <c r="B12" s="202">
        <v>5238.09</v>
      </c>
      <c r="C12" s="269">
        <v>730.84</v>
      </c>
      <c r="D12" s="269">
        <v>2783</v>
      </c>
      <c r="E12" s="269">
        <v>1724.25</v>
      </c>
      <c r="F12" s="269">
        <v>20</v>
      </c>
    </row>
    <row r="13" spans="1:9" ht="15.75" x14ac:dyDescent="0.25">
      <c r="A13" s="194" t="s">
        <v>269</v>
      </c>
      <c r="B13" s="202">
        <v>13771.01</v>
      </c>
      <c r="C13" s="269">
        <v>543.29</v>
      </c>
      <c r="D13" s="269">
        <v>10182.15</v>
      </c>
      <c r="E13" s="269">
        <v>3045.5699999999997</v>
      </c>
      <c r="F13" s="269">
        <v>55</v>
      </c>
    </row>
    <row r="14" spans="1:9" ht="15.75" x14ac:dyDescent="0.25">
      <c r="A14" s="194" t="s">
        <v>270</v>
      </c>
      <c r="B14" s="202">
        <v>5526.07</v>
      </c>
      <c r="C14" s="269">
        <v>584.42999999999995</v>
      </c>
      <c r="D14" s="269">
        <v>2662</v>
      </c>
      <c r="E14" s="269">
        <v>2279.64</v>
      </c>
      <c r="F14" s="269">
        <v>10</v>
      </c>
    </row>
    <row r="15" spans="1:9" ht="31.5" x14ac:dyDescent="0.25">
      <c r="A15" s="196" t="s">
        <v>271</v>
      </c>
      <c r="B15" s="202">
        <v>23553.86</v>
      </c>
      <c r="C15" s="269">
        <v>705.43</v>
      </c>
      <c r="D15" s="269">
        <v>18561.399999999998</v>
      </c>
      <c r="E15" s="269">
        <v>4287.03</v>
      </c>
      <c r="F15" s="269">
        <v>65</v>
      </c>
    </row>
    <row r="16" spans="1:9" ht="15.75" x14ac:dyDescent="0.25">
      <c r="A16" s="194" t="s">
        <v>272</v>
      </c>
      <c r="B16" s="202">
        <v>2825.8824</v>
      </c>
      <c r="C16" s="269">
        <v>155.29140000000001</v>
      </c>
      <c r="D16" s="269">
        <v>2071.6409999999996</v>
      </c>
      <c r="E16" s="269">
        <v>598.94999999999993</v>
      </c>
      <c r="F16" s="269">
        <v>130</v>
      </c>
    </row>
    <row r="17" spans="1:6" ht="15.75" x14ac:dyDescent="0.25">
      <c r="A17" s="194" t="s">
        <v>273</v>
      </c>
      <c r="B17" s="202">
        <v>8395.3671999999988</v>
      </c>
      <c r="C17" s="269">
        <v>426.39189999999996</v>
      </c>
      <c r="D17" s="269">
        <v>5837.04</v>
      </c>
      <c r="E17" s="269">
        <v>2131.9353000000001</v>
      </c>
      <c r="F17" s="194">
        <v>45</v>
      </c>
    </row>
    <row r="18" spans="1:6" ht="15.75" x14ac:dyDescent="0.25">
      <c r="A18" s="198" t="s">
        <v>283</v>
      </c>
      <c r="B18" s="270">
        <f>SUM(B9:B17)</f>
        <v>97505.139599999995</v>
      </c>
      <c r="C18" s="269"/>
      <c r="D18" s="269"/>
      <c r="E18" s="269"/>
      <c r="F18" s="194"/>
    </row>
    <row r="21" spans="1:6" x14ac:dyDescent="0.25">
      <c r="B21" s="271"/>
    </row>
  </sheetData>
  <mergeCells count="2">
    <mergeCell ref="A2:F2"/>
    <mergeCell ref="A4:G4"/>
  </mergeCells>
  <pageMargins left="0.7" right="0.7" top="0.75" bottom="0.75" header="0.3" footer="0.3"/>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7441-E2E0-4174-BC92-ADA696FA4EEC}">
  <sheetPr>
    <pageSetUpPr fitToPage="1"/>
  </sheetPr>
  <dimension ref="A1:I16"/>
  <sheetViews>
    <sheetView showGridLines="0" zoomScale="90" zoomScaleNormal="90" workbookViewId="0">
      <selection activeCell="D30" sqref="D30"/>
    </sheetView>
  </sheetViews>
  <sheetFormatPr defaultColWidth="9.140625" defaultRowHeight="15.75" x14ac:dyDescent="0.25"/>
  <cols>
    <col min="1" max="1" width="50.42578125" style="5" customWidth="1"/>
    <col min="2" max="2" width="13.85546875" style="5" customWidth="1"/>
    <col min="3" max="16384" width="9.140625" style="5"/>
  </cols>
  <sheetData>
    <row r="1" spans="1:9" x14ac:dyDescent="0.25">
      <c r="H1" s="7" t="s">
        <v>83</v>
      </c>
    </row>
    <row r="2" spans="1:9" x14ac:dyDescent="0.25">
      <c r="A2" s="564" t="s">
        <v>82</v>
      </c>
      <c r="B2" s="564"/>
      <c r="C2" s="564"/>
      <c r="D2" s="564"/>
      <c r="E2" s="564"/>
      <c r="F2" s="564"/>
      <c r="G2" s="564"/>
      <c r="H2" s="564"/>
    </row>
    <row r="4" spans="1:9" s="16" customFormat="1" x14ac:dyDescent="0.25">
      <c r="A4" s="482" t="s">
        <v>220</v>
      </c>
      <c r="B4" s="482"/>
      <c r="C4" s="482"/>
      <c r="D4" s="482"/>
      <c r="E4" s="482"/>
      <c r="F4" s="482"/>
      <c r="G4" s="482"/>
      <c r="H4" s="49"/>
      <c r="I4" s="49"/>
    </row>
    <row r="5" spans="1:9" s="16" customFormat="1" x14ac:dyDescent="0.25">
      <c r="A5" s="55" t="s">
        <v>221</v>
      </c>
      <c r="B5" s="55"/>
      <c r="C5" s="55"/>
      <c r="D5" s="55"/>
      <c r="E5" s="55"/>
      <c r="F5" s="55"/>
      <c r="G5" s="55"/>
      <c r="H5" s="49"/>
      <c r="I5" s="49"/>
    </row>
    <row r="6" spans="1:9" s="16" customFormat="1" x14ac:dyDescent="0.25">
      <c r="A6" s="55"/>
      <c r="B6" s="55"/>
      <c r="C6" s="55"/>
      <c r="D6" s="55"/>
      <c r="E6" s="55"/>
      <c r="F6" s="55"/>
      <c r="G6" s="55"/>
      <c r="H6" s="49"/>
      <c r="I6" s="49"/>
    </row>
    <row r="7" spans="1:9" ht="50.25" customHeight="1" x14ac:dyDescent="0.25">
      <c r="A7" s="562" t="s">
        <v>381</v>
      </c>
      <c r="B7" s="563"/>
      <c r="C7" s="563"/>
      <c r="D7" s="563"/>
      <c r="E7" s="563"/>
      <c r="F7" s="563"/>
      <c r="G7" s="563"/>
      <c r="H7" s="563"/>
    </row>
    <row r="9" spans="1:9" x14ac:dyDescent="0.25">
      <c r="A9" s="8" t="s">
        <v>61</v>
      </c>
      <c r="B9" s="8">
        <v>1.5</v>
      </c>
    </row>
    <row r="10" spans="1:9" x14ac:dyDescent="0.25">
      <c r="A10" s="8" t="s">
        <v>62</v>
      </c>
      <c r="B10" s="8">
        <v>1.5</v>
      </c>
    </row>
    <row r="11" spans="1:9" x14ac:dyDescent="0.25">
      <c r="A11" s="8" t="s">
        <v>63</v>
      </c>
      <c r="B11" s="58">
        <v>1350</v>
      </c>
      <c r="E11" s="54"/>
      <c r="F11" s="53"/>
    </row>
    <row r="12" spans="1:9" x14ac:dyDescent="0.25">
      <c r="A12" s="8" t="s">
        <v>64</v>
      </c>
      <c r="B12" s="8">
        <v>0.2409</v>
      </c>
      <c r="E12" s="9"/>
    </row>
    <row r="13" spans="1:9" ht="31.5" x14ac:dyDescent="0.25">
      <c r="A13" s="42" t="s">
        <v>382</v>
      </c>
      <c r="B13" s="58">
        <f>3416*2</f>
        <v>6832</v>
      </c>
      <c r="E13" s="9"/>
    </row>
    <row r="14" spans="1:9" x14ac:dyDescent="0.25">
      <c r="A14" s="57" t="s">
        <v>65</v>
      </c>
      <c r="B14" s="58">
        <f>(B9+B10)*B11*(1+B12)*12+B13</f>
        <v>67139.739999999991</v>
      </c>
      <c r="E14" s="54"/>
    </row>
    <row r="16" spans="1:9" x14ac:dyDescent="0.25">
      <c r="E16" s="53"/>
    </row>
  </sheetData>
  <mergeCells count="3">
    <mergeCell ref="A7:H7"/>
    <mergeCell ref="A2:H2"/>
    <mergeCell ref="A4:G4"/>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AA2F-1BD7-4F94-B97E-13CF93CF5C38}">
  <sheetPr>
    <pageSetUpPr fitToPage="1"/>
  </sheetPr>
  <dimension ref="A1:I26"/>
  <sheetViews>
    <sheetView zoomScale="80" zoomScaleNormal="80" workbookViewId="0">
      <selection activeCell="F36" sqref="F36"/>
    </sheetView>
  </sheetViews>
  <sheetFormatPr defaultColWidth="9.140625" defaultRowHeight="15.75" x14ac:dyDescent="0.25"/>
  <cols>
    <col min="1" max="1" width="28.85546875" style="106" customWidth="1"/>
    <col min="2" max="2" width="12.5703125" style="106" customWidth="1"/>
    <col min="3" max="3" width="14.5703125" style="106" customWidth="1"/>
    <col min="4" max="4" width="21.42578125" style="106" customWidth="1"/>
    <col min="5" max="5" width="39.5703125" style="106" customWidth="1"/>
    <col min="6" max="6" width="18.7109375" style="106" customWidth="1"/>
    <col min="7" max="16384" width="9.140625" style="106"/>
  </cols>
  <sheetData>
    <row r="1" spans="1:9" x14ac:dyDescent="0.25">
      <c r="E1" s="137" t="s">
        <v>216</v>
      </c>
    </row>
    <row r="2" spans="1:9" ht="33.75" customHeight="1" x14ac:dyDescent="0.25">
      <c r="A2" s="518" t="s">
        <v>215</v>
      </c>
      <c r="B2" s="518"/>
      <c r="C2" s="518"/>
      <c r="D2" s="518"/>
      <c r="E2" s="518"/>
      <c r="F2" s="218"/>
    </row>
    <row r="4" spans="1:9" s="109" customFormat="1" x14ac:dyDescent="0.25">
      <c r="A4" s="474" t="s">
        <v>220</v>
      </c>
      <c r="B4" s="474"/>
      <c r="C4" s="474"/>
      <c r="D4" s="474"/>
      <c r="E4" s="474"/>
      <c r="F4" s="474"/>
      <c r="G4" s="474"/>
      <c r="H4" s="108"/>
      <c r="I4" s="108"/>
    </row>
    <row r="5" spans="1:9" s="109" customFormat="1" x14ac:dyDescent="0.25">
      <c r="A5" s="110" t="s">
        <v>230</v>
      </c>
      <c r="B5" s="110"/>
      <c r="C5" s="110"/>
      <c r="D5" s="110"/>
      <c r="E5" s="110"/>
      <c r="F5" s="110"/>
      <c r="G5" s="110"/>
      <c r="H5" s="108"/>
      <c r="I5" s="108"/>
    </row>
    <row r="6" spans="1:9" s="109" customFormat="1" ht="45" customHeight="1" x14ac:dyDescent="0.25">
      <c r="A6" s="497" t="s">
        <v>430</v>
      </c>
      <c r="B6" s="497"/>
      <c r="C6" s="497"/>
      <c r="D6" s="497"/>
      <c r="E6" s="497"/>
      <c r="F6" s="72"/>
      <c r="G6" s="73"/>
      <c r="H6" s="108"/>
      <c r="I6" s="108"/>
    </row>
    <row r="8" spans="1:9" ht="78.75" x14ac:dyDescent="0.25">
      <c r="A8" s="113" t="s">
        <v>0</v>
      </c>
      <c r="B8" s="113" t="s">
        <v>426</v>
      </c>
      <c r="C8" s="113" t="s">
        <v>217</v>
      </c>
      <c r="D8" s="113" t="s">
        <v>406</v>
      </c>
      <c r="E8" s="113" t="s">
        <v>218</v>
      </c>
    </row>
    <row r="9" spans="1:9" ht="66" customHeight="1" x14ac:dyDescent="0.25">
      <c r="A9" s="185" t="s">
        <v>81</v>
      </c>
      <c r="B9" s="116">
        <v>21108</v>
      </c>
      <c r="C9" s="116">
        <v>41322</v>
      </c>
      <c r="D9" s="116">
        <f>C9/12*9</f>
        <v>30991.5</v>
      </c>
      <c r="E9" s="116">
        <f>C9</f>
        <v>41322</v>
      </c>
    </row>
    <row r="12" spans="1:9" x14ac:dyDescent="0.25">
      <c r="A12" s="105" t="s">
        <v>463</v>
      </c>
      <c r="B12" s="109"/>
      <c r="C12" s="272"/>
      <c r="D12" s="272"/>
      <c r="E12" s="109"/>
    </row>
    <row r="13" spans="1:9" ht="47.25" x14ac:dyDescent="0.25">
      <c r="A13" s="90" t="s">
        <v>431</v>
      </c>
      <c r="B13" s="90"/>
      <c r="C13" s="90" t="s">
        <v>432</v>
      </c>
      <c r="D13" s="91" t="s">
        <v>433</v>
      </c>
      <c r="E13" s="91" t="s">
        <v>434</v>
      </c>
    </row>
    <row r="14" spans="1:9" ht="78.75" x14ac:dyDescent="0.25">
      <c r="A14" s="91" t="s">
        <v>435</v>
      </c>
      <c r="B14" s="565" t="s">
        <v>436</v>
      </c>
      <c r="C14" s="92">
        <v>3.75</v>
      </c>
      <c r="D14" s="91" t="s">
        <v>437</v>
      </c>
      <c r="E14" s="93" t="s">
        <v>438</v>
      </c>
    </row>
    <row r="15" spans="1:9" x14ac:dyDescent="0.25">
      <c r="A15" s="91" t="s">
        <v>439</v>
      </c>
      <c r="B15" s="565"/>
      <c r="C15" s="92">
        <v>5.92</v>
      </c>
      <c r="D15" s="91" t="s">
        <v>440</v>
      </c>
      <c r="E15" s="94"/>
    </row>
    <row r="16" spans="1:9" ht="31.5" x14ac:dyDescent="0.25">
      <c r="A16" s="91" t="s">
        <v>441</v>
      </c>
      <c r="B16" s="565"/>
      <c r="C16" s="95">
        <v>125</v>
      </c>
      <c r="D16" s="91" t="s">
        <v>442</v>
      </c>
      <c r="E16" s="93" t="s">
        <v>443</v>
      </c>
    </row>
    <row r="17" spans="1:5" ht="31.5" x14ac:dyDescent="0.25">
      <c r="A17" s="91" t="s">
        <v>444</v>
      </c>
      <c r="B17" s="565"/>
      <c r="C17" s="92">
        <f>C15*C16</f>
        <v>740</v>
      </c>
      <c r="D17" s="91" t="s">
        <v>85</v>
      </c>
      <c r="E17" s="93" t="s">
        <v>445</v>
      </c>
    </row>
    <row r="18" spans="1:5" ht="31.5" x14ac:dyDescent="0.25">
      <c r="A18" s="91" t="s">
        <v>446</v>
      </c>
      <c r="B18" s="565"/>
      <c r="C18" s="96">
        <f>ROUND(C17*1.2409*C14*12,0)</f>
        <v>41322</v>
      </c>
      <c r="D18" s="91" t="s">
        <v>85</v>
      </c>
      <c r="E18" s="93" t="s">
        <v>447</v>
      </c>
    </row>
    <row r="19" spans="1:5" x14ac:dyDescent="0.25">
      <c r="A19" s="109"/>
      <c r="B19" s="109"/>
      <c r="C19" s="272"/>
      <c r="D19" s="272"/>
      <c r="E19" s="109"/>
    </row>
    <row r="20" spans="1:5" x14ac:dyDescent="0.25">
      <c r="A20" s="105" t="s">
        <v>464</v>
      </c>
      <c r="B20" s="109"/>
      <c r="C20" s="272"/>
      <c r="D20" s="272"/>
      <c r="E20" s="109"/>
    </row>
    <row r="21" spans="1:5" ht="47.25" x14ac:dyDescent="0.25">
      <c r="A21" s="90" t="s">
        <v>431</v>
      </c>
      <c r="B21" s="90"/>
      <c r="C21" s="90" t="s">
        <v>432</v>
      </c>
      <c r="D21" s="91" t="s">
        <v>433</v>
      </c>
      <c r="E21" s="91" t="s">
        <v>434</v>
      </c>
    </row>
    <row r="22" spans="1:5" ht="15.75" customHeight="1" x14ac:dyDescent="0.25">
      <c r="A22" s="91" t="s">
        <v>435</v>
      </c>
      <c r="B22" s="565" t="s">
        <v>436</v>
      </c>
      <c r="C22" s="92">
        <v>2</v>
      </c>
      <c r="D22" s="91" t="s">
        <v>437</v>
      </c>
      <c r="E22" s="93" t="s">
        <v>448</v>
      </c>
    </row>
    <row r="23" spans="1:5" x14ac:dyDescent="0.25">
      <c r="A23" s="91" t="s">
        <v>439</v>
      </c>
      <c r="B23" s="565"/>
      <c r="C23" s="92">
        <v>5.67</v>
      </c>
      <c r="D23" s="91" t="s">
        <v>440</v>
      </c>
      <c r="E23" s="94"/>
    </row>
    <row r="24" spans="1:5" ht="31.5" x14ac:dyDescent="0.25">
      <c r="A24" s="91" t="s">
        <v>441</v>
      </c>
      <c r="B24" s="565"/>
      <c r="C24" s="95">
        <v>125</v>
      </c>
      <c r="D24" s="91" t="s">
        <v>442</v>
      </c>
      <c r="E24" s="93" t="s">
        <v>443</v>
      </c>
    </row>
    <row r="25" spans="1:5" ht="31.5" x14ac:dyDescent="0.25">
      <c r="A25" s="91" t="s">
        <v>444</v>
      </c>
      <c r="B25" s="565"/>
      <c r="C25" s="92">
        <f>C23*C24</f>
        <v>708.75</v>
      </c>
      <c r="D25" s="91" t="s">
        <v>85</v>
      </c>
      <c r="E25" s="93" t="s">
        <v>449</v>
      </c>
    </row>
    <row r="26" spans="1:5" ht="31.5" x14ac:dyDescent="0.25">
      <c r="A26" s="91" t="s">
        <v>446</v>
      </c>
      <c r="B26" s="565"/>
      <c r="C26" s="96">
        <f>ROUND(C25*1.2409*C22*12,0)</f>
        <v>21108</v>
      </c>
      <c r="D26" s="91" t="s">
        <v>85</v>
      </c>
      <c r="E26" s="93" t="s">
        <v>450</v>
      </c>
    </row>
  </sheetData>
  <mergeCells count="5">
    <mergeCell ref="B22:B26"/>
    <mergeCell ref="B14:B18"/>
    <mergeCell ref="A2:E2"/>
    <mergeCell ref="A6:E6"/>
    <mergeCell ref="A4:G4"/>
  </mergeCells>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zoomScaleNormal="100" workbookViewId="0">
      <selection activeCell="F11" sqref="F11"/>
    </sheetView>
  </sheetViews>
  <sheetFormatPr defaultColWidth="9.140625" defaultRowHeight="15.75" x14ac:dyDescent="0.25"/>
  <cols>
    <col min="1" max="1" width="10.7109375" style="106" customWidth="1"/>
    <col min="2" max="2" width="15.42578125" style="106" customWidth="1"/>
    <col min="3" max="3" width="15.7109375" style="106" customWidth="1"/>
    <col min="4" max="4" width="28.140625" style="106" customWidth="1"/>
    <col min="5" max="5" width="9.140625" style="106"/>
    <col min="6" max="6" width="14.7109375" style="106" customWidth="1"/>
    <col min="7" max="7" width="15.140625" style="106" customWidth="1"/>
    <col min="8" max="16384" width="9.140625" style="106"/>
  </cols>
  <sheetData>
    <row r="1" spans="1:12" x14ac:dyDescent="0.25">
      <c r="G1" s="137" t="s">
        <v>95</v>
      </c>
    </row>
    <row r="2" spans="1:12" ht="15.75" customHeight="1" x14ac:dyDescent="0.25">
      <c r="A2" s="476" t="s">
        <v>293</v>
      </c>
      <c r="B2" s="476"/>
      <c r="C2" s="476"/>
      <c r="D2" s="476"/>
      <c r="E2" s="476"/>
      <c r="F2" s="476"/>
      <c r="G2" s="476"/>
      <c r="H2" s="138"/>
      <c r="I2" s="138"/>
      <c r="J2" s="138"/>
      <c r="K2" s="138"/>
      <c r="L2" s="138"/>
    </row>
    <row r="3" spans="1:12" ht="15.75" customHeight="1" x14ac:dyDescent="0.25">
      <c r="A3" s="139"/>
      <c r="B3" s="139"/>
      <c r="C3" s="139"/>
      <c r="D3" s="139"/>
      <c r="E3" s="139"/>
      <c r="F3" s="139"/>
      <c r="G3" s="139"/>
      <c r="H3" s="139"/>
      <c r="I3" s="139"/>
      <c r="J3" s="139"/>
      <c r="K3" s="139"/>
      <c r="L3" s="139"/>
    </row>
    <row r="4" spans="1:12" s="119" customFormat="1" x14ac:dyDescent="0.25">
      <c r="A4" s="474" t="s">
        <v>137</v>
      </c>
      <c r="B4" s="474"/>
      <c r="C4" s="474"/>
      <c r="D4" s="474"/>
      <c r="E4" s="79"/>
      <c r="F4" s="79"/>
      <c r="G4" s="79"/>
    </row>
    <row r="5" spans="1:12" s="109" customFormat="1" x14ac:dyDescent="0.25">
      <c r="A5" s="474" t="s">
        <v>220</v>
      </c>
      <c r="B5" s="474"/>
      <c r="C5" s="474"/>
      <c r="D5" s="474"/>
      <c r="E5" s="474"/>
      <c r="F5" s="474"/>
      <c r="G5" s="474"/>
      <c r="H5" s="108"/>
      <c r="I5" s="108"/>
    </row>
    <row r="6" spans="1:12" s="109" customFormat="1" x14ac:dyDescent="0.25">
      <c r="A6" s="110" t="s">
        <v>231</v>
      </c>
      <c r="B6" s="110"/>
      <c r="C6" s="110"/>
      <c r="D6" s="110"/>
      <c r="E6" s="110"/>
      <c r="F6" s="110"/>
      <c r="G6" s="110"/>
      <c r="H6" s="108"/>
      <c r="I6" s="108"/>
    </row>
    <row r="7" spans="1:12" s="109" customFormat="1" ht="32.25" customHeight="1" x14ac:dyDescent="0.25">
      <c r="A7" s="469" t="s">
        <v>411</v>
      </c>
      <c r="B7" s="469"/>
      <c r="C7" s="469"/>
      <c r="D7" s="469"/>
      <c r="E7" s="110"/>
      <c r="F7" s="110"/>
      <c r="G7" s="110"/>
      <c r="H7" s="108"/>
      <c r="I7" s="108"/>
    </row>
    <row r="8" spans="1:12" s="119" customFormat="1" x14ac:dyDescent="0.25">
      <c r="A8" s="140"/>
      <c r="B8" s="140"/>
      <c r="C8" s="140"/>
      <c r="D8" s="140"/>
      <c r="E8" s="79"/>
      <c r="F8" s="79"/>
      <c r="G8" s="79"/>
    </row>
    <row r="9" spans="1:12" s="119" customFormat="1" ht="31.5" x14ac:dyDescent="0.25">
      <c r="A9" s="471" t="s">
        <v>4</v>
      </c>
      <c r="B9" s="471"/>
      <c r="C9" s="471"/>
      <c r="D9" s="80" t="s">
        <v>53</v>
      </c>
      <c r="E9" s="79"/>
      <c r="F9" s="79"/>
      <c r="G9" s="79"/>
    </row>
    <row r="10" spans="1:12" s="119" customFormat="1" x14ac:dyDescent="0.25">
      <c r="A10" s="471"/>
      <c r="B10" s="471"/>
      <c r="C10" s="471"/>
      <c r="D10" s="471" t="s">
        <v>5</v>
      </c>
      <c r="E10" s="79"/>
      <c r="F10" s="79"/>
      <c r="G10" s="79"/>
    </row>
    <row r="11" spans="1:12" s="119" customFormat="1" ht="48.2" customHeight="1" x14ac:dyDescent="0.25">
      <c r="A11" s="80" t="s">
        <v>1</v>
      </c>
      <c r="B11" s="80" t="s">
        <v>11</v>
      </c>
      <c r="C11" s="80" t="s">
        <v>14</v>
      </c>
      <c r="D11" s="471"/>
      <c r="E11" s="79"/>
      <c r="F11" s="79"/>
      <c r="G11" s="79"/>
    </row>
    <row r="12" spans="1:12" s="119" customFormat="1" x14ac:dyDescent="0.25">
      <c r="A12" s="141">
        <v>0</v>
      </c>
      <c r="B12" s="141">
        <v>394670</v>
      </c>
      <c r="C12" s="141">
        <v>294670</v>
      </c>
      <c r="D12" s="141">
        <v>294670</v>
      </c>
      <c r="E12" s="79"/>
      <c r="F12" s="79"/>
      <c r="G12" s="79"/>
    </row>
    <row r="13" spans="1:12" ht="81" customHeight="1" x14ac:dyDescent="0.25">
      <c r="A13" s="478" t="s">
        <v>284</v>
      </c>
      <c r="B13" s="478"/>
      <c r="C13" s="478"/>
      <c r="D13" s="478"/>
      <c r="E13" s="79"/>
      <c r="F13" s="79"/>
      <c r="G13" s="79"/>
    </row>
    <row r="15" spans="1:12" s="109" customFormat="1" ht="34.5" customHeight="1" x14ac:dyDescent="0.25">
      <c r="A15" s="475" t="s">
        <v>164</v>
      </c>
      <c r="B15" s="475"/>
      <c r="C15" s="475"/>
      <c r="D15" s="475"/>
      <c r="E15" s="475"/>
      <c r="F15" s="475"/>
      <c r="G15" s="475"/>
    </row>
    <row r="16" spans="1:12" s="109" customFormat="1" x14ac:dyDescent="0.25">
      <c r="A16" s="477" t="s">
        <v>129</v>
      </c>
      <c r="B16" s="477"/>
      <c r="C16" s="477"/>
      <c r="D16" s="477"/>
      <c r="E16" s="477"/>
      <c r="F16" s="477"/>
      <c r="G16" s="477"/>
    </row>
    <row r="17" spans="1:9" s="109" customFormat="1" x14ac:dyDescent="0.25">
      <c r="A17" s="108"/>
      <c r="B17" s="108"/>
      <c r="C17" s="108"/>
      <c r="D17" s="108"/>
      <c r="E17" s="108"/>
      <c r="F17" s="108"/>
      <c r="G17" s="108"/>
    </row>
    <row r="18" spans="1:9" s="109" customFormat="1" x14ac:dyDescent="0.25">
      <c r="A18" s="474" t="s">
        <v>220</v>
      </c>
      <c r="B18" s="474"/>
      <c r="C18" s="474"/>
      <c r="D18" s="474"/>
      <c r="E18" s="474"/>
      <c r="F18" s="474"/>
      <c r="G18" s="474"/>
      <c r="H18" s="108"/>
      <c r="I18" s="108"/>
    </row>
    <row r="19" spans="1:9" s="79" customFormat="1" x14ac:dyDescent="0.25">
      <c r="A19" s="110" t="s">
        <v>219</v>
      </c>
      <c r="B19" s="110"/>
      <c r="C19" s="110"/>
      <c r="D19" s="110"/>
      <c r="E19" s="110"/>
      <c r="F19" s="110"/>
      <c r="G19" s="110"/>
    </row>
    <row r="20" spans="1:9" s="109" customFormat="1" x14ac:dyDescent="0.25">
      <c r="A20" s="108"/>
      <c r="B20" s="108"/>
      <c r="C20" s="108"/>
      <c r="D20" s="108"/>
      <c r="E20" s="108"/>
      <c r="F20" s="108"/>
      <c r="G20" s="108"/>
    </row>
    <row r="21" spans="1:9" s="109" customFormat="1" ht="20.25" customHeight="1" x14ac:dyDescent="0.25">
      <c r="A21" s="475" t="s">
        <v>138</v>
      </c>
      <c r="B21" s="475"/>
      <c r="C21" s="475"/>
      <c r="D21" s="475"/>
      <c r="E21" s="475"/>
      <c r="F21" s="475"/>
      <c r="G21" s="475"/>
    </row>
    <row r="22" spans="1:9" s="109" customFormat="1" x14ac:dyDescent="0.25">
      <c r="A22" s="142"/>
    </row>
    <row r="23" spans="1:9" s="109" customFormat="1" ht="31.5" x14ac:dyDescent="0.25">
      <c r="A23" s="90" t="s">
        <v>130</v>
      </c>
      <c r="B23" s="90" t="s">
        <v>131</v>
      </c>
      <c r="C23" s="90" t="s">
        <v>132</v>
      </c>
      <c r="D23" s="90" t="s">
        <v>56</v>
      </c>
      <c r="E23" s="90" t="s">
        <v>133</v>
      </c>
    </row>
    <row r="24" spans="1:9" s="109" customFormat="1" x14ac:dyDescent="0.25">
      <c r="A24" s="143">
        <v>2018</v>
      </c>
      <c r="B24" s="144">
        <v>56924</v>
      </c>
      <c r="C24" s="144">
        <v>93453</v>
      </c>
      <c r="D24" s="143">
        <v>5</v>
      </c>
      <c r="E24" s="144">
        <f>ROUND(C24*D24/100,0)</f>
        <v>4673</v>
      </c>
    </row>
    <row r="25" spans="1:9" s="109" customFormat="1" x14ac:dyDescent="0.25">
      <c r="A25" s="145"/>
      <c r="B25" s="145"/>
      <c r="C25" s="145"/>
      <c r="D25" s="145"/>
      <c r="E25" s="145"/>
      <c r="F25" s="145"/>
    </row>
    <row r="26" spans="1:9" s="109" customFormat="1" x14ac:dyDescent="0.25">
      <c r="A26" s="145" t="s">
        <v>134</v>
      </c>
      <c r="B26" s="145"/>
      <c r="C26" s="145"/>
      <c r="D26" s="145"/>
      <c r="E26" s="145"/>
      <c r="F26" s="145"/>
    </row>
    <row r="27" spans="1:9" s="109" customFormat="1" x14ac:dyDescent="0.25">
      <c r="A27" s="145" t="s">
        <v>135</v>
      </c>
      <c r="B27" s="145"/>
      <c r="C27" s="145"/>
      <c r="D27" s="145"/>
      <c r="E27" s="145"/>
      <c r="F27" s="145"/>
    </row>
    <row r="28" spans="1:9" s="109" customFormat="1" x14ac:dyDescent="0.25">
      <c r="A28" s="145"/>
      <c r="B28" s="145"/>
      <c r="C28" s="145"/>
      <c r="D28" s="145"/>
      <c r="E28" s="145"/>
      <c r="F28" s="145"/>
    </row>
    <row r="29" spans="1:9" s="109" customFormat="1" x14ac:dyDescent="0.25">
      <c r="A29" s="109" t="s">
        <v>73</v>
      </c>
      <c r="B29" s="145"/>
      <c r="C29" s="145"/>
      <c r="D29" s="145"/>
      <c r="E29" s="145"/>
      <c r="F29" s="145"/>
      <c r="G29" s="145"/>
    </row>
    <row r="30" spans="1:9" s="109" customFormat="1" ht="94.5" x14ac:dyDescent="0.25">
      <c r="A30" s="80" t="s">
        <v>133</v>
      </c>
      <c r="B30" s="80" t="s">
        <v>136</v>
      </c>
      <c r="C30" s="146" t="s">
        <v>225</v>
      </c>
      <c r="D30" s="147"/>
      <c r="E30" s="145"/>
      <c r="F30" s="145"/>
    </row>
    <row r="31" spans="1:9" s="109" customFormat="1" x14ac:dyDescent="0.25">
      <c r="A31" s="148">
        <f>E24</f>
        <v>4673</v>
      </c>
      <c r="B31" s="149">
        <v>5.24</v>
      </c>
      <c r="C31" s="148">
        <f>A31*B31</f>
        <v>24486.52</v>
      </c>
      <c r="D31" s="145"/>
      <c r="E31" s="145"/>
      <c r="F31" s="145"/>
    </row>
    <row r="32" spans="1:9" s="109" customFormat="1" x14ac:dyDescent="0.25"/>
    <row r="33" s="79" customFormat="1" x14ac:dyDescent="0.25"/>
  </sheetData>
  <mergeCells count="11">
    <mergeCell ref="A21:G21"/>
    <mergeCell ref="A15:G15"/>
    <mergeCell ref="A2:G2"/>
    <mergeCell ref="A16:G16"/>
    <mergeCell ref="A18:G18"/>
    <mergeCell ref="A9:C10"/>
    <mergeCell ref="D10:D11"/>
    <mergeCell ref="A4:D4"/>
    <mergeCell ref="A5:G5"/>
    <mergeCell ref="A13:D13"/>
    <mergeCell ref="A7:D7"/>
  </mergeCell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9"/>
  <sheetViews>
    <sheetView zoomScaleNormal="100" workbookViewId="0">
      <selection activeCell="B19" sqref="B19"/>
    </sheetView>
  </sheetViews>
  <sheetFormatPr defaultColWidth="9.140625" defaultRowHeight="15.75" x14ac:dyDescent="0.25"/>
  <cols>
    <col min="1" max="1" width="20.42578125" style="5" customWidth="1"/>
    <col min="2" max="2" width="13.7109375" style="5" customWidth="1"/>
    <col min="3" max="3" width="20.5703125" style="5" customWidth="1"/>
    <col min="4" max="4" width="14.7109375" style="5" customWidth="1"/>
    <col min="5" max="5" width="23.5703125" style="5" customWidth="1"/>
    <col min="6" max="6" width="20.28515625" style="5" customWidth="1"/>
    <col min="7" max="16384" width="9.140625" style="5"/>
  </cols>
  <sheetData>
    <row r="1" spans="1:23" x14ac:dyDescent="0.25">
      <c r="I1" s="7" t="s">
        <v>145</v>
      </c>
    </row>
    <row r="2" spans="1:23" s="16" customFormat="1" ht="18" customHeight="1" x14ac:dyDescent="0.25">
      <c r="A2" s="479" t="s">
        <v>144</v>
      </c>
      <c r="B2" s="479"/>
      <c r="C2" s="479"/>
      <c r="D2" s="479"/>
      <c r="E2" s="479"/>
      <c r="F2" s="479"/>
      <c r="G2" s="479"/>
      <c r="H2" s="479"/>
      <c r="I2" s="479"/>
    </row>
    <row r="3" spans="1:23" s="16" customFormat="1" ht="13.7" customHeight="1" x14ac:dyDescent="0.25"/>
    <row r="4" spans="1:23" s="16" customFormat="1" x14ac:dyDescent="0.25">
      <c r="A4" s="482" t="s">
        <v>220</v>
      </c>
      <c r="B4" s="482"/>
      <c r="C4" s="482"/>
      <c r="D4" s="482"/>
      <c r="E4" s="482"/>
      <c r="F4" s="482"/>
      <c r="G4" s="482"/>
      <c r="H4" s="49"/>
      <c r="I4" s="49"/>
    </row>
    <row r="5" spans="1:23" s="16" customFormat="1" x14ac:dyDescent="0.25">
      <c r="A5" s="55" t="s">
        <v>219</v>
      </c>
      <c r="B5" s="55"/>
      <c r="C5" s="55"/>
      <c r="D5" s="55"/>
      <c r="E5" s="55"/>
      <c r="F5" s="55"/>
      <c r="G5" s="55"/>
      <c r="H5" s="49"/>
      <c r="I5" s="49"/>
    </row>
    <row r="6" spans="1:23" s="16" customFormat="1" ht="13.7" customHeight="1" x14ac:dyDescent="0.25">
      <c r="A6" s="55"/>
      <c r="B6" s="55"/>
      <c r="C6" s="55"/>
      <c r="D6" s="55"/>
      <c r="E6" s="55"/>
      <c r="F6" s="55"/>
      <c r="G6" s="55"/>
      <c r="H6" s="49"/>
      <c r="I6" s="49"/>
    </row>
    <row r="7" spans="1:23" s="16" customFormat="1" ht="33" customHeight="1" x14ac:dyDescent="0.25">
      <c r="A7" s="480" t="s">
        <v>148</v>
      </c>
      <c r="B7" s="480"/>
      <c r="C7" s="480"/>
      <c r="D7" s="480"/>
      <c r="E7" s="480"/>
      <c r="F7" s="480"/>
      <c r="G7" s="480"/>
      <c r="H7" s="480"/>
      <c r="I7" s="480"/>
    </row>
    <row r="8" spans="1:23" s="16" customFormat="1" x14ac:dyDescent="0.25">
      <c r="A8" s="481" t="s">
        <v>138</v>
      </c>
      <c r="B8" s="481"/>
      <c r="C8" s="481"/>
      <c r="D8" s="481"/>
      <c r="E8" s="481"/>
      <c r="F8" s="481"/>
      <c r="G8" s="481"/>
      <c r="H8" s="481"/>
      <c r="I8" s="481"/>
    </row>
    <row r="9" spans="1:23" s="16" customFormat="1" ht="13.7" customHeight="1" x14ac:dyDescent="0.25">
      <c r="A9" s="19"/>
    </row>
    <row r="10" spans="1:23" s="26" customFormat="1" ht="31.5" x14ac:dyDescent="0.25">
      <c r="A10" s="20" t="s">
        <v>130</v>
      </c>
      <c r="B10" s="20" t="s">
        <v>139</v>
      </c>
      <c r="C10" s="18" t="s">
        <v>140</v>
      </c>
      <c r="D10" s="18" t="s">
        <v>141</v>
      </c>
    </row>
    <row r="11" spans="1:23" s="16" customFormat="1" x14ac:dyDescent="0.25">
      <c r="A11" s="44">
        <v>2018</v>
      </c>
      <c r="B11" s="22">
        <v>56924</v>
      </c>
      <c r="C11" s="21">
        <v>10</v>
      </c>
      <c r="D11" s="22">
        <f>ROUND(B11*10/100,0)</f>
        <v>5692</v>
      </c>
      <c r="G11" s="52"/>
    </row>
    <row r="12" spans="1:23" s="24" customFormat="1" ht="14.25" customHeight="1" x14ac:dyDescent="0.25">
      <c r="A12" s="23"/>
      <c r="J12" s="5"/>
      <c r="K12" s="5"/>
      <c r="L12" s="5"/>
      <c r="M12" s="5"/>
      <c r="N12" s="5"/>
      <c r="O12" s="5"/>
      <c r="P12" s="5"/>
      <c r="Q12" s="5"/>
      <c r="R12" s="5"/>
      <c r="S12" s="5"/>
      <c r="T12" s="5"/>
      <c r="U12" s="5"/>
      <c r="V12" s="5"/>
      <c r="W12" s="5"/>
    </row>
    <row r="13" spans="1:23" s="24" customFormat="1" x14ac:dyDescent="0.25">
      <c r="A13" s="16" t="s">
        <v>73</v>
      </c>
      <c r="J13" s="5"/>
      <c r="K13" s="5"/>
      <c r="L13" s="5"/>
      <c r="M13" s="5"/>
      <c r="N13" s="5"/>
      <c r="O13" s="5"/>
      <c r="P13" s="5"/>
      <c r="Q13" s="5"/>
      <c r="R13" s="5"/>
      <c r="S13" s="5"/>
      <c r="T13" s="5"/>
      <c r="U13" s="5"/>
      <c r="V13" s="5"/>
      <c r="W13" s="5"/>
    </row>
    <row r="14" spans="1:23" s="24" customFormat="1" ht="78.75" x14ac:dyDescent="0.25">
      <c r="A14" s="18" t="s">
        <v>141</v>
      </c>
      <c r="B14" s="6" t="s">
        <v>227</v>
      </c>
      <c r="C14" s="25" t="s">
        <v>226</v>
      </c>
      <c r="J14" s="5"/>
      <c r="K14" s="5"/>
      <c r="L14" s="5"/>
      <c r="M14" s="5"/>
      <c r="N14" s="5"/>
      <c r="O14" s="5"/>
      <c r="P14" s="5"/>
      <c r="Q14" s="5"/>
      <c r="R14" s="5"/>
      <c r="S14" s="5"/>
      <c r="T14" s="5"/>
      <c r="U14" s="5"/>
      <c r="V14" s="5"/>
      <c r="W14" s="5"/>
    </row>
    <row r="15" spans="1:23" s="24" customFormat="1" x14ac:dyDescent="0.25">
      <c r="A15" s="46">
        <f>D11</f>
        <v>5692</v>
      </c>
      <c r="B15" s="45">
        <v>0.43</v>
      </c>
      <c r="C15" s="46">
        <f>ROUND(A15*B15*12,2)</f>
        <v>29370.720000000001</v>
      </c>
      <c r="D15" s="27"/>
      <c r="J15" s="5"/>
      <c r="K15" s="5"/>
      <c r="L15" s="5"/>
      <c r="M15" s="5"/>
      <c r="N15" s="5"/>
      <c r="O15" s="5"/>
      <c r="P15" s="5"/>
      <c r="Q15" s="5"/>
      <c r="R15" s="5"/>
      <c r="S15" s="5"/>
      <c r="T15" s="5"/>
      <c r="U15" s="5"/>
      <c r="V15" s="5"/>
      <c r="W15" s="5"/>
    </row>
    <row r="16" spans="1:23" s="16" customFormat="1" ht="34.5" customHeight="1" x14ac:dyDescent="0.25">
      <c r="A16" s="480" t="s">
        <v>236</v>
      </c>
      <c r="B16" s="480"/>
      <c r="C16" s="480"/>
      <c r="D16" s="480"/>
      <c r="E16" s="480"/>
      <c r="F16" s="480"/>
      <c r="G16" s="480"/>
      <c r="H16" s="480"/>
      <c r="I16" s="480"/>
    </row>
    <row r="17" spans="1:9" s="16" customFormat="1" ht="13.7" customHeight="1" x14ac:dyDescent="0.25">
      <c r="A17" s="48"/>
      <c r="B17" s="48"/>
      <c r="C17" s="48"/>
      <c r="D17" s="48"/>
      <c r="E17" s="48"/>
      <c r="F17" s="48"/>
      <c r="G17" s="48"/>
      <c r="H17" s="48"/>
      <c r="I17" s="48"/>
    </row>
    <row r="18" spans="1:9" s="16" customFormat="1" ht="31.5" x14ac:dyDescent="0.25">
      <c r="A18" s="50" t="s">
        <v>228</v>
      </c>
      <c r="B18" s="50" t="s">
        <v>142</v>
      </c>
      <c r="C18" s="50" t="s">
        <v>235</v>
      </c>
    </row>
    <row r="19" spans="1:9" s="16" customFormat="1" ht="141.75" x14ac:dyDescent="0.25">
      <c r="A19" s="28" t="s">
        <v>143</v>
      </c>
      <c r="B19" s="29" t="s">
        <v>146</v>
      </c>
      <c r="C19" s="29" t="s">
        <v>147</v>
      </c>
    </row>
  </sheetData>
  <mergeCells count="5">
    <mergeCell ref="A2:I2"/>
    <mergeCell ref="A7:I7"/>
    <mergeCell ref="A8:I8"/>
    <mergeCell ref="A16:I16"/>
    <mergeCell ref="A4:G4"/>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EBF1-17BD-492F-BBC9-C5D77F07C8EB}">
  <dimension ref="A1:M12"/>
  <sheetViews>
    <sheetView showGridLines="0" zoomScaleNormal="100" workbookViewId="0">
      <selection activeCell="C30" sqref="C30"/>
    </sheetView>
  </sheetViews>
  <sheetFormatPr defaultColWidth="9.140625" defaultRowHeight="12.75" x14ac:dyDescent="0.2"/>
  <cols>
    <col min="1" max="1" width="37.28515625" style="3" customWidth="1"/>
    <col min="2" max="2" width="23.140625" style="3" customWidth="1"/>
    <col min="3" max="3" width="21.28515625" style="3" customWidth="1"/>
    <col min="4" max="4" width="11.28515625" style="3" customWidth="1"/>
    <col min="5" max="5" width="12.5703125" style="3" customWidth="1"/>
    <col min="6" max="6" width="14.85546875" style="3" customWidth="1"/>
    <col min="7" max="7" width="13.28515625" style="3" customWidth="1"/>
    <col min="8" max="8" width="15.85546875" style="3" customWidth="1"/>
    <col min="9" max="9" width="16.85546875" style="3" customWidth="1"/>
    <col min="10" max="10" width="9.140625" style="3"/>
    <col min="11" max="12" width="9.140625" style="3" customWidth="1"/>
    <col min="13" max="17" width="9.140625" style="3"/>
    <col min="18" max="19" width="0" style="3" hidden="1" customWidth="1"/>
    <col min="20" max="16384" width="9.140625" style="3"/>
  </cols>
  <sheetData>
    <row r="1" spans="1:13" ht="15.75" x14ac:dyDescent="0.25">
      <c r="F1" s="39" t="s">
        <v>153</v>
      </c>
      <c r="H1"/>
      <c r="I1"/>
      <c r="J1"/>
      <c r="K1"/>
      <c r="L1"/>
      <c r="M1"/>
    </row>
    <row r="2" spans="1:13" ht="15.75" x14ac:dyDescent="0.25">
      <c r="A2" s="483" t="s">
        <v>152</v>
      </c>
      <c r="B2" s="483"/>
      <c r="C2" s="483"/>
      <c r="D2" s="483"/>
      <c r="E2" s="483"/>
      <c r="F2" s="483"/>
      <c r="G2" s="4"/>
      <c r="H2"/>
      <c r="I2"/>
      <c r="J2"/>
      <c r="K2"/>
      <c r="L2"/>
      <c r="M2"/>
    </row>
    <row r="3" spans="1:13" ht="15.75" x14ac:dyDescent="0.25">
      <c r="A3" s="4"/>
      <c r="H3"/>
      <c r="I3"/>
      <c r="J3"/>
      <c r="K3"/>
      <c r="L3"/>
      <c r="M3"/>
    </row>
    <row r="4" spans="1:13" s="16" customFormat="1" ht="15.75" x14ac:dyDescent="0.25">
      <c r="A4" s="482" t="s">
        <v>220</v>
      </c>
      <c r="B4" s="482"/>
      <c r="C4" s="482"/>
      <c r="D4" s="482"/>
      <c r="E4" s="482"/>
      <c r="F4" s="482"/>
      <c r="G4" s="482"/>
      <c r="H4" s="49"/>
      <c r="I4" s="49"/>
    </row>
    <row r="5" spans="1:13" s="16" customFormat="1" ht="15.75" x14ac:dyDescent="0.25">
      <c r="A5" s="55" t="s">
        <v>219</v>
      </c>
      <c r="B5" s="55"/>
      <c r="C5" s="55"/>
      <c r="D5" s="55"/>
      <c r="E5" s="55"/>
      <c r="F5" s="55"/>
      <c r="G5" s="55"/>
      <c r="H5" s="49"/>
      <c r="I5" s="49"/>
    </row>
    <row r="6" spans="1:13" ht="15.75" x14ac:dyDescent="0.25">
      <c r="A6" s="4"/>
      <c r="H6"/>
      <c r="I6"/>
      <c r="J6"/>
      <c r="K6"/>
      <c r="L6"/>
      <c r="M6"/>
    </row>
    <row r="7" spans="1:13" ht="90" x14ac:dyDescent="0.25">
      <c r="A7" s="30" t="s">
        <v>54</v>
      </c>
      <c r="B7" s="11" t="s">
        <v>55</v>
      </c>
      <c r="C7" s="11" t="s">
        <v>56</v>
      </c>
      <c r="D7" s="11" t="s">
        <v>57</v>
      </c>
      <c r="E7" s="31" t="s">
        <v>58</v>
      </c>
      <c r="F7" s="11" t="s">
        <v>225</v>
      </c>
      <c r="G7"/>
      <c r="H7"/>
      <c r="I7"/>
      <c r="J7"/>
      <c r="K7"/>
      <c r="L7"/>
    </row>
    <row r="8" spans="1:13" ht="36" customHeight="1" x14ac:dyDescent="0.25">
      <c r="A8" s="32" t="s">
        <v>232</v>
      </c>
      <c r="B8" s="33">
        <v>85347</v>
      </c>
      <c r="C8" s="34">
        <v>0.5</v>
      </c>
      <c r="D8" s="35">
        <f>B8*C8</f>
        <v>42673.5</v>
      </c>
      <c r="E8" s="36">
        <v>5.57</v>
      </c>
      <c r="F8" s="35">
        <f>ROUND(D8*E8,2)</f>
        <v>237691.4</v>
      </c>
      <c r="G8"/>
      <c r="H8"/>
      <c r="I8"/>
      <c r="J8"/>
      <c r="K8"/>
      <c r="L8"/>
    </row>
    <row r="9" spans="1:13" ht="12.2" customHeight="1" x14ac:dyDescent="0.25">
      <c r="B9" s="13"/>
      <c r="C9" s="13"/>
      <c r="D9" s="13"/>
      <c r="E9" s="13"/>
      <c r="F9" s="13"/>
      <c r="G9" s="13"/>
    </row>
    <row r="10" spans="1:13" ht="15" customHeight="1" x14ac:dyDescent="0.25">
      <c r="A10" s="484" t="s">
        <v>151</v>
      </c>
      <c r="B10" s="484"/>
      <c r="C10" s="484"/>
      <c r="D10" s="484"/>
      <c r="E10" s="484"/>
      <c r="F10" s="484"/>
      <c r="G10"/>
      <c r="H10"/>
      <c r="I10"/>
    </row>
    <row r="11" spans="1:13" ht="15" customHeight="1" x14ac:dyDescent="0.25">
      <c r="A11" s="484" t="s">
        <v>233</v>
      </c>
      <c r="B11" s="484"/>
      <c r="C11" s="484"/>
      <c r="D11" s="484"/>
      <c r="E11" s="484"/>
      <c r="F11" s="51"/>
      <c r="G11" s="37"/>
      <c r="H11" s="37"/>
      <c r="I11" s="37"/>
    </row>
    <row r="12" spans="1:13" ht="14.25" customHeight="1" x14ac:dyDescent="0.25">
      <c r="A12" s="485" t="s">
        <v>150</v>
      </c>
      <c r="B12" s="485"/>
      <c r="C12" s="485"/>
      <c r="D12" s="485"/>
      <c r="E12" s="485"/>
      <c r="F12" s="485"/>
      <c r="G12" s="37"/>
      <c r="H12" s="37"/>
      <c r="I12" s="37"/>
    </row>
  </sheetData>
  <mergeCells count="5">
    <mergeCell ref="A2:F2"/>
    <mergeCell ref="A10:F10"/>
    <mergeCell ref="A11:E11"/>
    <mergeCell ref="A12:F12"/>
    <mergeCell ref="A4:G4"/>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486E7-1B5B-408C-86C4-241DD921E028}">
  <sheetPr>
    <pageSetUpPr fitToPage="1"/>
  </sheetPr>
  <dimension ref="A1:AT32"/>
  <sheetViews>
    <sheetView showGridLines="0" zoomScaleNormal="100" workbookViewId="0">
      <selection activeCell="G22" sqref="G22"/>
    </sheetView>
  </sheetViews>
  <sheetFormatPr defaultRowHeight="15.75" x14ac:dyDescent="0.2"/>
  <cols>
    <col min="1" max="1" width="40.42578125" style="150" customWidth="1"/>
    <col min="2" max="2" width="17.85546875" style="150" customWidth="1"/>
    <col min="3" max="3" width="12.85546875" style="150" customWidth="1"/>
    <col min="4" max="4" width="16.7109375" style="150" customWidth="1"/>
    <col min="5" max="5" width="20" style="150" customWidth="1"/>
    <col min="6" max="6" width="19" style="150" customWidth="1"/>
    <col min="7" max="7" width="18.5703125" style="150" customWidth="1"/>
    <col min="8" max="8" width="30.7109375" style="150" customWidth="1"/>
    <col min="9" max="9" width="15.85546875" style="150" customWidth="1"/>
    <col min="10" max="46" width="9.140625" style="151"/>
    <col min="47" max="240" width="9.140625" style="150"/>
    <col min="241" max="242" width="41" style="150" customWidth="1"/>
    <col min="243" max="243" width="23.42578125" style="150" customWidth="1"/>
    <col min="244" max="244" width="25" style="150" customWidth="1"/>
    <col min="245" max="245" width="43.140625" style="150" customWidth="1"/>
    <col min="246" max="246" width="14.5703125" style="150" customWidth="1"/>
    <col min="247" max="253" width="9.140625" style="150"/>
    <col min="254" max="254" width="5.5703125" style="150" customWidth="1"/>
    <col min="255" max="255" width="13.140625" style="150" customWidth="1"/>
    <col min="256" max="256" width="51.42578125" style="150" customWidth="1"/>
    <col min="257" max="257" width="11.7109375" style="150" customWidth="1"/>
    <col min="258" max="496" width="9.140625" style="150"/>
    <col min="497" max="498" width="41" style="150" customWidth="1"/>
    <col min="499" max="499" width="23.42578125" style="150" customWidth="1"/>
    <col min="500" max="500" width="25" style="150" customWidth="1"/>
    <col min="501" max="501" width="43.140625" style="150" customWidth="1"/>
    <col min="502" max="502" width="14.5703125" style="150" customWidth="1"/>
    <col min="503" max="509" width="9.140625" style="150"/>
    <col min="510" max="510" width="5.5703125" style="150" customWidth="1"/>
    <col min="511" max="511" width="13.140625" style="150" customWidth="1"/>
    <col min="512" max="512" width="51.42578125" style="150" customWidth="1"/>
    <col min="513" max="513" width="11.7109375" style="150" customWidth="1"/>
    <col min="514" max="752" width="9.140625" style="150"/>
    <col min="753" max="754" width="41" style="150" customWidth="1"/>
    <col min="755" max="755" width="23.42578125" style="150" customWidth="1"/>
    <col min="756" max="756" width="25" style="150" customWidth="1"/>
    <col min="757" max="757" width="43.140625" style="150" customWidth="1"/>
    <col min="758" max="758" width="14.5703125" style="150" customWidth="1"/>
    <col min="759" max="765" width="9.140625" style="150"/>
    <col min="766" max="766" width="5.5703125" style="150" customWidth="1"/>
    <col min="767" max="767" width="13.140625" style="150" customWidth="1"/>
    <col min="768" max="768" width="51.42578125" style="150" customWidth="1"/>
    <col min="769" max="769" width="11.7109375" style="150" customWidth="1"/>
    <col min="770" max="1008" width="9.140625" style="150"/>
    <col min="1009" max="1010" width="41" style="150" customWidth="1"/>
    <col min="1011" max="1011" width="23.42578125" style="150" customWidth="1"/>
    <col min="1012" max="1012" width="25" style="150" customWidth="1"/>
    <col min="1013" max="1013" width="43.140625" style="150" customWidth="1"/>
    <col min="1014" max="1014" width="14.5703125" style="150" customWidth="1"/>
    <col min="1015" max="1021" width="9.140625" style="150"/>
    <col min="1022" max="1022" width="5.5703125" style="150" customWidth="1"/>
    <col min="1023" max="1023" width="13.140625" style="150" customWidth="1"/>
    <col min="1024" max="1024" width="51.42578125" style="150" customWidth="1"/>
    <col min="1025" max="1025" width="11.7109375" style="150" customWidth="1"/>
    <col min="1026" max="1264" width="9.140625" style="150"/>
    <col min="1265" max="1266" width="41" style="150" customWidth="1"/>
    <col min="1267" max="1267" width="23.42578125" style="150" customWidth="1"/>
    <col min="1268" max="1268" width="25" style="150" customWidth="1"/>
    <col min="1269" max="1269" width="43.140625" style="150" customWidth="1"/>
    <col min="1270" max="1270" width="14.5703125" style="150" customWidth="1"/>
    <col min="1271" max="1277" width="9.140625" style="150"/>
    <col min="1278" max="1278" width="5.5703125" style="150" customWidth="1"/>
    <col min="1279" max="1279" width="13.140625" style="150" customWidth="1"/>
    <col min="1280" max="1280" width="51.42578125" style="150" customWidth="1"/>
    <col min="1281" max="1281" width="11.7109375" style="150" customWidth="1"/>
    <col min="1282" max="1520" width="9.140625" style="150"/>
    <col min="1521" max="1522" width="41" style="150" customWidth="1"/>
    <col min="1523" max="1523" width="23.42578125" style="150" customWidth="1"/>
    <col min="1524" max="1524" width="25" style="150" customWidth="1"/>
    <col min="1525" max="1525" width="43.140625" style="150" customWidth="1"/>
    <col min="1526" max="1526" width="14.5703125" style="150" customWidth="1"/>
    <col min="1527" max="1533" width="9.140625" style="150"/>
    <col min="1534" max="1534" width="5.5703125" style="150" customWidth="1"/>
    <col min="1535" max="1535" width="13.140625" style="150" customWidth="1"/>
    <col min="1536" max="1536" width="51.42578125" style="150" customWidth="1"/>
    <col min="1537" max="1537" width="11.7109375" style="150" customWidth="1"/>
    <col min="1538" max="1776" width="9.140625" style="150"/>
    <col min="1777" max="1778" width="41" style="150" customWidth="1"/>
    <col min="1779" max="1779" width="23.42578125" style="150" customWidth="1"/>
    <col min="1780" max="1780" width="25" style="150" customWidth="1"/>
    <col min="1781" max="1781" width="43.140625" style="150" customWidth="1"/>
    <col min="1782" max="1782" width="14.5703125" style="150" customWidth="1"/>
    <col min="1783" max="1789" width="9.140625" style="150"/>
    <col min="1790" max="1790" width="5.5703125" style="150" customWidth="1"/>
    <col min="1791" max="1791" width="13.140625" style="150" customWidth="1"/>
    <col min="1792" max="1792" width="51.42578125" style="150" customWidth="1"/>
    <col min="1793" max="1793" width="11.7109375" style="150" customWidth="1"/>
    <col min="1794" max="2032" width="9.140625" style="150"/>
    <col min="2033" max="2034" width="41" style="150" customWidth="1"/>
    <col min="2035" max="2035" width="23.42578125" style="150" customWidth="1"/>
    <col min="2036" max="2036" width="25" style="150" customWidth="1"/>
    <col min="2037" max="2037" width="43.140625" style="150" customWidth="1"/>
    <col min="2038" max="2038" width="14.5703125" style="150" customWidth="1"/>
    <col min="2039" max="2045" width="9.140625" style="150"/>
    <col min="2046" max="2046" width="5.5703125" style="150" customWidth="1"/>
    <col min="2047" max="2047" width="13.140625" style="150" customWidth="1"/>
    <col min="2048" max="2048" width="51.42578125" style="150" customWidth="1"/>
    <col min="2049" max="2049" width="11.7109375" style="150" customWidth="1"/>
    <col min="2050" max="2288" width="9.140625" style="150"/>
    <col min="2289" max="2290" width="41" style="150" customWidth="1"/>
    <col min="2291" max="2291" width="23.42578125" style="150" customWidth="1"/>
    <col min="2292" max="2292" width="25" style="150" customWidth="1"/>
    <col min="2293" max="2293" width="43.140625" style="150" customWidth="1"/>
    <col min="2294" max="2294" width="14.5703125" style="150" customWidth="1"/>
    <col min="2295" max="2301" width="9.140625" style="150"/>
    <col min="2302" max="2302" width="5.5703125" style="150" customWidth="1"/>
    <col min="2303" max="2303" width="13.140625" style="150" customWidth="1"/>
    <col min="2304" max="2304" width="51.42578125" style="150" customWidth="1"/>
    <col min="2305" max="2305" width="11.7109375" style="150" customWidth="1"/>
    <col min="2306" max="2544" width="9.140625" style="150"/>
    <col min="2545" max="2546" width="41" style="150" customWidth="1"/>
    <col min="2547" max="2547" width="23.42578125" style="150" customWidth="1"/>
    <col min="2548" max="2548" width="25" style="150" customWidth="1"/>
    <col min="2549" max="2549" width="43.140625" style="150" customWidth="1"/>
    <col min="2550" max="2550" width="14.5703125" style="150" customWidth="1"/>
    <col min="2551" max="2557" width="9.140625" style="150"/>
    <col min="2558" max="2558" width="5.5703125" style="150" customWidth="1"/>
    <col min="2559" max="2559" width="13.140625" style="150" customWidth="1"/>
    <col min="2560" max="2560" width="51.42578125" style="150" customWidth="1"/>
    <col min="2561" max="2561" width="11.7109375" style="150" customWidth="1"/>
    <col min="2562" max="2800" width="9.140625" style="150"/>
    <col min="2801" max="2802" width="41" style="150" customWidth="1"/>
    <col min="2803" max="2803" width="23.42578125" style="150" customWidth="1"/>
    <col min="2804" max="2804" width="25" style="150" customWidth="1"/>
    <col min="2805" max="2805" width="43.140625" style="150" customWidth="1"/>
    <col min="2806" max="2806" width="14.5703125" style="150" customWidth="1"/>
    <col min="2807" max="2813" width="9.140625" style="150"/>
    <col min="2814" max="2814" width="5.5703125" style="150" customWidth="1"/>
    <col min="2815" max="2815" width="13.140625" style="150" customWidth="1"/>
    <col min="2816" max="2816" width="51.42578125" style="150" customWidth="1"/>
    <col min="2817" max="2817" width="11.7109375" style="150" customWidth="1"/>
    <col min="2818" max="3056" width="9.140625" style="150"/>
    <col min="3057" max="3058" width="41" style="150" customWidth="1"/>
    <col min="3059" max="3059" width="23.42578125" style="150" customWidth="1"/>
    <col min="3060" max="3060" width="25" style="150" customWidth="1"/>
    <col min="3061" max="3061" width="43.140625" style="150" customWidth="1"/>
    <col min="3062" max="3062" width="14.5703125" style="150" customWidth="1"/>
    <col min="3063" max="3069" width="9.140625" style="150"/>
    <col min="3070" max="3070" width="5.5703125" style="150" customWidth="1"/>
    <col min="3071" max="3071" width="13.140625" style="150" customWidth="1"/>
    <col min="3072" max="3072" width="51.42578125" style="150" customWidth="1"/>
    <col min="3073" max="3073" width="11.7109375" style="150" customWidth="1"/>
    <col min="3074" max="3312" width="9.140625" style="150"/>
    <col min="3313" max="3314" width="41" style="150" customWidth="1"/>
    <col min="3315" max="3315" width="23.42578125" style="150" customWidth="1"/>
    <col min="3316" max="3316" width="25" style="150" customWidth="1"/>
    <col min="3317" max="3317" width="43.140625" style="150" customWidth="1"/>
    <col min="3318" max="3318" width="14.5703125" style="150" customWidth="1"/>
    <col min="3319" max="3325" width="9.140625" style="150"/>
    <col min="3326" max="3326" width="5.5703125" style="150" customWidth="1"/>
    <col min="3327" max="3327" width="13.140625" style="150" customWidth="1"/>
    <col min="3328" max="3328" width="51.42578125" style="150" customWidth="1"/>
    <col min="3329" max="3329" width="11.7109375" style="150" customWidth="1"/>
    <col min="3330" max="3568" width="9.140625" style="150"/>
    <col min="3569" max="3570" width="41" style="150" customWidth="1"/>
    <col min="3571" max="3571" width="23.42578125" style="150" customWidth="1"/>
    <col min="3572" max="3572" width="25" style="150" customWidth="1"/>
    <col min="3573" max="3573" width="43.140625" style="150" customWidth="1"/>
    <col min="3574" max="3574" width="14.5703125" style="150" customWidth="1"/>
    <col min="3575" max="3581" width="9.140625" style="150"/>
    <col min="3582" max="3582" width="5.5703125" style="150" customWidth="1"/>
    <col min="3583" max="3583" width="13.140625" style="150" customWidth="1"/>
    <col min="3584" max="3584" width="51.42578125" style="150" customWidth="1"/>
    <col min="3585" max="3585" width="11.7109375" style="150" customWidth="1"/>
    <col min="3586" max="3824" width="9.140625" style="150"/>
    <col min="3825" max="3826" width="41" style="150" customWidth="1"/>
    <col min="3827" max="3827" width="23.42578125" style="150" customWidth="1"/>
    <col min="3828" max="3828" width="25" style="150" customWidth="1"/>
    <col min="3829" max="3829" width="43.140625" style="150" customWidth="1"/>
    <col min="3830" max="3830" width="14.5703125" style="150" customWidth="1"/>
    <col min="3831" max="3837" width="9.140625" style="150"/>
    <col min="3838" max="3838" width="5.5703125" style="150" customWidth="1"/>
    <col min="3839" max="3839" width="13.140625" style="150" customWidth="1"/>
    <col min="3840" max="3840" width="51.42578125" style="150" customWidth="1"/>
    <col min="3841" max="3841" width="11.7109375" style="150" customWidth="1"/>
    <col min="3842" max="4080" width="9.140625" style="150"/>
    <col min="4081" max="4082" width="41" style="150" customWidth="1"/>
    <col min="4083" max="4083" width="23.42578125" style="150" customWidth="1"/>
    <col min="4084" max="4084" width="25" style="150" customWidth="1"/>
    <col min="4085" max="4085" width="43.140625" style="150" customWidth="1"/>
    <col min="4086" max="4086" width="14.5703125" style="150" customWidth="1"/>
    <col min="4087" max="4093" width="9.140625" style="150"/>
    <col min="4094" max="4094" width="5.5703125" style="150" customWidth="1"/>
    <col min="4095" max="4095" width="13.140625" style="150" customWidth="1"/>
    <col min="4096" max="4096" width="51.42578125" style="150" customWidth="1"/>
    <col min="4097" max="4097" width="11.7109375" style="150" customWidth="1"/>
    <col min="4098" max="4336" width="9.140625" style="150"/>
    <col min="4337" max="4338" width="41" style="150" customWidth="1"/>
    <col min="4339" max="4339" width="23.42578125" style="150" customWidth="1"/>
    <col min="4340" max="4340" width="25" style="150" customWidth="1"/>
    <col min="4341" max="4341" width="43.140625" style="150" customWidth="1"/>
    <col min="4342" max="4342" width="14.5703125" style="150" customWidth="1"/>
    <col min="4343" max="4349" width="9.140625" style="150"/>
    <col min="4350" max="4350" width="5.5703125" style="150" customWidth="1"/>
    <col min="4351" max="4351" width="13.140625" style="150" customWidth="1"/>
    <col min="4352" max="4352" width="51.42578125" style="150" customWidth="1"/>
    <col min="4353" max="4353" width="11.7109375" style="150" customWidth="1"/>
    <col min="4354" max="4592" width="9.140625" style="150"/>
    <col min="4593" max="4594" width="41" style="150" customWidth="1"/>
    <col min="4595" max="4595" width="23.42578125" style="150" customWidth="1"/>
    <col min="4596" max="4596" width="25" style="150" customWidth="1"/>
    <col min="4597" max="4597" width="43.140625" style="150" customWidth="1"/>
    <col min="4598" max="4598" width="14.5703125" style="150" customWidth="1"/>
    <col min="4599" max="4605" width="9.140625" style="150"/>
    <col min="4606" max="4606" width="5.5703125" style="150" customWidth="1"/>
    <col min="4607" max="4607" width="13.140625" style="150" customWidth="1"/>
    <col min="4608" max="4608" width="51.42578125" style="150" customWidth="1"/>
    <col min="4609" max="4609" width="11.7109375" style="150" customWidth="1"/>
    <col min="4610" max="4848" width="9.140625" style="150"/>
    <col min="4849" max="4850" width="41" style="150" customWidth="1"/>
    <col min="4851" max="4851" width="23.42578125" style="150" customWidth="1"/>
    <col min="4852" max="4852" width="25" style="150" customWidth="1"/>
    <col min="4853" max="4853" width="43.140625" style="150" customWidth="1"/>
    <col min="4854" max="4854" width="14.5703125" style="150" customWidth="1"/>
    <col min="4855" max="4861" width="9.140625" style="150"/>
    <col min="4862" max="4862" width="5.5703125" style="150" customWidth="1"/>
    <col min="4863" max="4863" width="13.140625" style="150" customWidth="1"/>
    <col min="4864" max="4864" width="51.42578125" style="150" customWidth="1"/>
    <col min="4865" max="4865" width="11.7109375" style="150" customWidth="1"/>
    <col min="4866" max="5104" width="9.140625" style="150"/>
    <col min="5105" max="5106" width="41" style="150" customWidth="1"/>
    <col min="5107" max="5107" width="23.42578125" style="150" customWidth="1"/>
    <col min="5108" max="5108" width="25" style="150" customWidth="1"/>
    <col min="5109" max="5109" width="43.140625" style="150" customWidth="1"/>
    <col min="5110" max="5110" width="14.5703125" style="150" customWidth="1"/>
    <col min="5111" max="5117" width="9.140625" style="150"/>
    <col min="5118" max="5118" width="5.5703125" style="150" customWidth="1"/>
    <col min="5119" max="5119" width="13.140625" style="150" customWidth="1"/>
    <col min="5120" max="5120" width="51.42578125" style="150" customWidth="1"/>
    <col min="5121" max="5121" width="11.7109375" style="150" customWidth="1"/>
    <col min="5122" max="5360" width="9.140625" style="150"/>
    <col min="5361" max="5362" width="41" style="150" customWidth="1"/>
    <col min="5363" max="5363" width="23.42578125" style="150" customWidth="1"/>
    <col min="5364" max="5364" width="25" style="150" customWidth="1"/>
    <col min="5365" max="5365" width="43.140625" style="150" customWidth="1"/>
    <col min="5366" max="5366" width="14.5703125" style="150" customWidth="1"/>
    <col min="5367" max="5373" width="9.140625" style="150"/>
    <col min="5374" max="5374" width="5.5703125" style="150" customWidth="1"/>
    <col min="5375" max="5375" width="13.140625" style="150" customWidth="1"/>
    <col min="5376" max="5376" width="51.42578125" style="150" customWidth="1"/>
    <col min="5377" max="5377" width="11.7109375" style="150" customWidth="1"/>
    <col min="5378" max="5616" width="9.140625" style="150"/>
    <col min="5617" max="5618" width="41" style="150" customWidth="1"/>
    <col min="5619" max="5619" width="23.42578125" style="150" customWidth="1"/>
    <col min="5620" max="5620" width="25" style="150" customWidth="1"/>
    <col min="5621" max="5621" width="43.140625" style="150" customWidth="1"/>
    <col min="5622" max="5622" width="14.5703125" style="150" customWidth="1"/>
    <col min="5623" max="5629" width="9.140625" style="150"/>
    <col min="5630" max="5630" width="5.5703125" style="150" customWidth="1"/>
    <col min="5631" max="5631" width="13.140625" style="150" customWidth="1"/>
    <col min="5632" max="5632" width="51.42578125" style="150" customWidth="1"/>
    <col min="5633" max="5633" width="11.7109375" style="150" customWidth="1"/>
    <col min="5634" max="5872" width="9.140625" style="150"/>
    <col min="5873" max="5874" width="41" style="150" customWidth="1"/>
    <col min="5875" max="5875" width="23.42578125" style="150" customWidth="1"/>
    <col min="5876" max="5876" width="25" style="150" customWidth="1"/>
    <col min="5877" max="5877" width="43.140625" style="150" customWidth="1"/>
    <col min="5878" max="5878" width="14.5703125" style="150" customWidth="1"/>
    <col min="5879" max="5885" width="9.140625" style="150"/>
    <col min="5886" max="5886" width="5.5703125" style="150" customWidth="1"/>
    <col min="5887" max="5887" width="13.140625" style="150" customWidth="1"/>
    <col min="5888" max="5888" width="51.42578125" style="150" customWidth="1"/>
    <col min="5889" max="5889" width="11.7109375" style="150" customWidth="1"/>
    <col min="5890" max="6128" width="9.140625" style="150"/>
    <col min="6129" max="6130" width="41" style="150" customWidth="1"/>
    <col min="6131" max="6131" width="23.42578125" style="150" customWidth="1"/>
    <col min="6132" max="6132" width="25" style="150" customWidth="1"/>
    <col min="6133" max="6133" width="43.140625" style="150" customWidth="1"/>
    <col min="6134" max="6134" width="14.5703125" style="150" customWidth="1"/>
    <col min="6135" max="6141" width="9.140625" style="150"/>
    <col min="6142" max="6142" width="5.5703125" style="150" customWidth="1"/>
    <col min="6143" max="6143" width="13.140625" style="150" customWidth="1"/>
    <col min="6144" max="6144" width="51.42578125" style="150" customWidth="1"/>
    <col min="6145" max="6145" width="11.7109375" style="150" customWidth="1"/>
    <col min="6146" max="6384" width="9.140625" style="150"/>
    <col min="6385" max="6386" width="41" style="150" customWidth="1"/>
    <col min="6387" max="6387" width="23.42578125" style="150" customWidth="1"/>
    <col min="6388" max="6388" width="25" style="150" customWidth="1"/>
    <col min="6389" max="6389" width="43.140625" style="150" customWidth="1"/>
    <col min="6390" max="6390" width="14.5703125" style="150" customWidth="1"/>
    <col min="6391" max="6397" width="9.140625" style="150"/>
    <col min="6398" max="6398" width="5.5703125" style="150" customWidth="1"/>
    <col min="6399" max="6399" width="13.140625" style="150" customWidth="1"/>
    <col min="6400" max="6400" width="51.42578125" style="150" customWidth="1"/>
    <col min="6401" max="6401" width="11.7109375" style="150" customWidth="1"/>
    <col min="6402" max="6640" width="9.140625" style="150"/>
    <col min="6641" max="6642" width="41" style="150" customWidth="1"/>
    <col min="6643" max="6643" width="23.42578125" style="150" customWidth="1"/>
    <col min="6644" max="6644" width="25" style="150" customWidth="1"/>
    <col min="6645" max="6645" width="43.140625" style="150" customWidth="1"/>
    <col min="6646" max="6646" width="14.5703125" style="150" customWidth="1"/>
    <col min="6647" max="6653" width="9.140625" style="150"/>
    <col min="6654" max="6654" width="5.5703125" style="150" customWidth="1"/>
    <col min="6655" max="6655" width="13.140625" style="150" customWidth="1"/>
    <col min="6656" max="6656" width="51.42578125" style="150" customWidth="1"/>
    <col min="6657" max="6657" width="11.7109375" style="150" customWidth="1"/>
    <col min="6658" max="6896" width="9.140625" style="150"/>
    <col min="6897" max="6898" width="41" style="150" customWidth="1"/>
    <col min="6899" max="6899" width="23.42578125" style="150" customWidth="1"/>
    <col min="6900" max="6900" width="25" style="150" customWidth="1"/>
    <col min="6901" max="6901" width="43.140625" style="150" customWidth="1"/>
    <col min="6902" max="6902" width="14.5703125" style="150" customWidth="1"/>
    <col min="6903" max="6909" width="9.140625" style="150"/>
    <col min="6910" max="6910" width="5.5703125" style="150" customWidth="1"/>
    <col min="6911" max="6911" width="13.140625" style="150" customWidth="1"/>
    <col min="6912" max="6912" width="51.42578125" style="150" customWidth="1"/>
    <col min="6913" max="6913" width="11.7109375" style="150" customWidth="1"/>
    <col min="6914" max="7152" width="9.140625" style="150"/>
    <col min="7153" max="7154" width="41" style="150" customWidth="1"/>
    <col min="7155" max="7155" width="23.42578125" style="150" customWidth="1"/>
    <col min="7156" max="7156" width="25" style="150" customWidth="1"/>
    <col min="7157" max="7157" width="43.140625" style="150" customWidth="1"/>
    <col min="7158" max="7158" width="14.5703125" style="150" customWidth="1"/>
    <col min="7159" max="7165" width="9.140625" style="150"/>
    <col min="7166" max="7166" width="5.5703125" style="150" customWidth="1"/>
    <col min="7167" max="7167" width="13.140625" style="150" customWidth="1"/>
    <col min="7168" max="7168" width="51.42578125" style="150" customWidth="1"/>
    <col min="7169" max="7169" width="11.7109375" style="150" customWidth="1"/>
    <col min="7170" max="7408" width="9.140625" style="150"/>
    <col min="7409" max="7410" width="41" style="150" customWidth="1"/>
    <col min="7411" max="7411" width="23.42578125" style="150" customWidth="1"/>
    <col min="7412" max="7412" width="25" style="150" customWidth="1"/>
    <col min="7413" max="7413" width="43.140625" style="150" customWidth="1"/>
    <col min="7414" max="7414" width="14.5703125" style="150" customWidth="1"/>
    <col min="7415" max="7421" width="9.140625" style="150"/>
    <col min="7422" max="7422" width="5.5703125" style="150" customWidth="1"/>
    <col min="7423" max="7423" width="13.140625" style="150" customWidth="1"/>
    <col min="7424" max="7424" width="51.42578125" style="150" customWidth="1"/>
    <col min="7425" max="7425" width="11.7109375" style="150" customWidth="1"/>
    <col min="7426" max="7664" width="9.140625" style="150"/>
    <col min="7665" max="7666" width="41" style="150" customWidth="1"/>
    <col min="7667" max="7667" width="23.42578125" style="150" customWidth="1"/>
    <col min="7668" max="7668" width="25" style="150" customWidth="1"/>
    <col min="7669" max="7669" width="43.140625" style="150" customWidth="1"/>
    <col min="7670" max="7670" width="14.5703125" style="150" customWidth="1"/>
    <col min="7671" max="7677" width="9.140625" style="150"/>
    <col min="7678" max="7678" width="5.5703125" style="150" customWidth="1"/>
    <col min="7679" max="7679" width="13.140625" style="150" customWidth="1"/>
    <col min="7680" max="7680" width="51.42578125" style="150" customWidth="1"/>
    <col min="7681" max="7681" width="11.7109375" style="150" customWidth="1"/>
    <col min="7682" max="7920" width="9.140625" style="150"/>
    <col min="7921" max="7922" width="41" style="150" customWidth="1"/>
    <col min="7923" max="7923" width="23.42578125" style="150" customWidth="1"/>
    <col min="7924" max="7924" width="25" style="150" customWidth="1"/>
    <col min="7925" max="7925" width="43.140625" style="150" customWidth="1"/>
    <col min="7926" max="7926" width="14.5703125" style="150" customWidth="1"/>
    <col min="7927" max="7933" width="9.140625" style="150"/>
    <col min="7934" max="7934" width="5.5703125" style="150" customWidth="1"/>
    <col min="7935" max="7935" width="13.140625" style="150" customWidth="1"/>
    <col min="7936" max="7936" width="51.42578125" style="150" customWidth="1"/>
    <col min="7937" max="7937" width="11.7109375" style="150" customWidth="1"/>
    <col min="7938" max="8176" width="9.140625" style="150"/>
    <col min="8177" max="8178" width="41" style="150" customWidth="1"/>
    <col min="8179" max="8179" width="23.42578125" style="150" customWidth="1"/>
    <col min="8180" max="8180" width="25" style="150" customWidth="1"/>
    <col min="8181" max="8181" width="43.140625" style="150" customWidth="1"/>
    <col min="8182" max="8182" width="14.5703125" style="150" customWidth="1"/>
    <col min="8183" max="8189" width="9.140625" style="150"/>
    <col min="8190" max="8190" width="5.5703125" style="150" customWidth="1"/>
    <col min="8191" max="8191" width="13.140625" style="150" customWidth="1"/>
    <col min="8192" max="8192" width="51.42578125" style="150" customWidth="1"/>
    <col min="8193" max="8193" width="11.7109375" style="150" customWidth="1"/>
    <col min="8194" max="8432" width="9.140625" style="150"/>
    <col min="8433" max="8434" width="41" style="150" customWidth="1"/>
    <col min="8435" max="8435" width="23.42578125" style="150" customWidth="1"/>
    <col min="8436" max="8436" width="25" style="150" customWidth="1"/>
    <col min="8437" max="8437" width="43.140625" style="150" customWidth="1"/>
    <col min="8438" max="8438" width="14.5703125" style="150" customWidth="1"/>
    <col min="8439" max="8445" width="9.140625" style="150"/>
    <col min="8446" max="8446" width="5.5703125" style="150" customWidth="1"/>
    <col min="8447" max="8447" width="13.140625" style="150" customWidth="1"/>
    <col min="8448" max="8448" width="51.42578125" style="150" customWidth="1"/>
    <col min="8449" max="8449" width="11.7109375" style="150" customWidth="1"/>
    <col min="8450" max="8688" width="9.140625" style="150"/>
    <col min="8689" max="8690" width="41" style="150" customWidth="1"/>
    <col min="8691" max="8691" width="23.42578125" style="150" customWidth="1"/>
    <col min="8692" max="8692" width="25" style="150" customWidth="1"/>
    <col min="8693" max="8693" width="43.140625" style="150" customWidth="1"/>
    <col min="8694" max="8694" width="14.5703125" style="150" customWidth="1"/>
    <col min="8695" max="8701" width="9.140625" style="150"/>
    <col min="8702" max="8702" width="5.5703125" style="150" customWidth="1"/>
    <col min="8703" max="8703" width="13.140625" style="150" customWidth="1"/>
    <col min="8704" max="8704" width="51.42578125" style="150" customWidth="1"/>
    <col min="8705" max="8705" width="11.7109375" style="150" customWidth="1"/>
    <col min="8706" max="8944" width="9.140625" style="150"/>
    <col min="8945" max="8946" width="41" style="150" customWidth="1"/>
    <col min="8947" max="8947" width="23.42578125" style="150" customWidth="1"/>
    <col min="8948" max="8948" width="25" style="150" customWidth="1"/>
    <col min="8949" max="8949" width="43.140625" style="150" customWidth="1"/>
    <col min="8950" max="8950" width="14.5703125" style="150" customWidth="1"/>
    <col min="8951" max="8957" width="9.140625" style="150"/>
    <col min="8958" max="8958" width="5.5703125" style="150" customWidth="1"/>
    <col min="8959" max="8959" width="13.140625" style="150" customWidth="1"/>
    <col min="8960" max="8960" width="51.42578125" style="150" customWidth="1"/>
    <col min="8961" max="8961" width="11.7109375" style="150" customWidth="1"/>
    <col min="8962" max="9200" width="9.140625" style="150"/>
    <col min="9201" max="9202" width="41" style="150" customWidth="1"/>
    <col min="9203" max="9203" width="23.42578125" style="150" customWidth="1"/>
    <col min="9204" max="9204" width="25" style="150" customWidth="1"/>
    <col min="9205" max="9205" width="43.140625" style="150" customWidth="1"/>
    <col min="9206" max="9206" width="14.5703125" style="150" customWidth="1"/>
    <col min="9207" max="9213" width="9.140625" style="150"/>
    <col min="9214" max="9214" width="5.5703125" style="150" customWidth="1"/>
    <col min="9215" max="9215" width="13.140625" style="150" customWidth="1"/>
    <col min="9216" max="9216" width="51.42578125" style="150" customWidth="1"/>
    <col min="9217" max="9217" width="11.7109375" style="150" customWidth="1"/>
    <col min="9218" max="9456" width="9.140625" style="150"/>
    <col min="9457" max="9458" width="41" style="150" customWidth="1"/>
    <col min="9459" max="9459" width="23.42578125" style="150" customWidth="1"/>
    <col min="9460" max="9460" width="25" style="150" customWidth="1"/>
    <col min="9461" max="9461" width="43.140625" style="150" customWidth="1"/>
    <col min="9462" max="9462" width="14.5703125" style="150" customWidth="1"/>
    <col min="9463" max="9469" width="9.140625" style="150"/>
    <col min="9470" max="9470" width="5.5703125" style="150" customWidth="1"/>
    <col min="9471" max="9471" width="13.140625" style="150" customWidth="1"/>
    <col min="9472" max="9472" width="51.42578125" style="150" customWidth="1"/>
    <col min="9473" max="9473" width="11.7109375" style="150" customWidth="1"/>
    <col min="9474" max="9712" width="9.140625" style="150"/>
    <col min="9713" max="9714" width="41" style="150" customWidth="1"/>
    <col min="9715" max="9715" width="23.42578125" style="150" customWidth="1"/>
    <col min="9716" max="9716" width="25" style="150" customWidth="1"/>
    <col min="9717" max="9717" width="43.140625" style="150" customWidth="1"/>
    <col min="9718" max="9718" width="14.5703125" style="150" customWidth="1"/>
    <col min="9719" max="9725" width="9.140625" style="150"/>
    <col min="9726" max="9726" width="5.5703125" style="150" customWidth="1"/>
    <col min="9727" max="9727" width="13.140625" style="150" customWidth="1"/>
    <col min="9728" max="9728" width="51.42578125" style="150" customWidth="1"/>
    <col min="9729" max="9729" width="11.7109375" style="150" customWidth="1"/>
    <col min="9730" max="9968" width="9.140625" style="150"/>
    <col min="9969" max="9970" width="41" style="150" customWidth="1"/>
    <col min="9971" max="9971" width="23.42578125" style="150" customWidth="1"/>
    <col min="9972" max="9972" width="25" style="150" customWidth="1"/>
    <col min="9973" max="9973" width="43.140625" style="150" customWidth="1"/>
    <col min="9974" max="9974" width="14.5703125" style="150" customWidth="1"/>
    <col min="9975" max="9981" width="9.140625" style="150"/>
    <col min="9982" max="9982" width="5.5703125" style="150" customWidth="1"/>
    <col min="9983" max="9983" width="13.140625" style="150" customWidth="1"/>
    <col min="9984" max="9984" width="51.42578125" style="150" customWidth="1"/>
    <col min="9985" max="9985" width="11.7109375" style="150" customWidth="1"/>
    <col min="9986" max="10224" width="9.140625" style="150"/>
    <col min="10225" max="10226" width="41" style="150" customWidth="1"/>
    <col min="10227" max="10227" width="23.42578125" style="150" customWidth="1"/>
    <col min="10228" max="10228" width="25" style="150" customWidth="1"/>
    <col min="10229" max="10229" width="43.140625" style="150" customWidth="1"/>
    <col min="10230" max="10230" width="14.5703125" style="150" customWidth="1"/>
    <col min="10231" max="10237" width="9.140625" style="150"/>
    <col min="10238" max="10238" width="5.5703125" style="150" customWidth="1"/>
    <col min="10239" max="10239" width="13.140625" style="150" customWidth="1"/>
    <col min="10240" max="10240" width="51.42578125" style="150" customWidth="1"/>
    <col min="10241" max="10241" width="11.7109375" style="150" customWidth="1"/>
    <col min="10242" max="10480" width="9.140625" style="150"/>
    <col min="10481" max="10482" width="41" style="150" customWidth="1"/>
    <col min="10483" max="10483" width="23.42578125" style="150" customWidth="1"/>
    <col min="10484" max="10484" width="25" style="150" customWidth="1"/>
    <col min="10485" max="10485" width="43.140625" style="150" customWidth="1"/>
    <col min="10486" max="10486" width="14.5703125" style="150" customWidth="1"/>
    <col min="10487" max="10493" width="9.140625" style="150"/>
    <col min="10494" max="10494" width="5.5703125" style="150" customWidth="1"/>
    <col min="10495" max="10495" width="13.140625" style="150" customWidth="1"/>
    <col min="10496" max="10496" width="51.42578125" style="150" customWidth="1"/>
    <col min="10497" max="10497" width="11.7109375" style="150" customWidth="1"/>
    <col min="10498" max="10736" width="9.140625" style="150"/>
    <col min="10737" max="10738" width="41" style="150" customWidth="1"/>
    <col min="10739" max="10739" width="23.42578125" style="150" customWidth="1"/>
    <col min="10740" max="10740" width="25" style="150" customWidth="1"/>
    <col min="10741" max="10741" width="43.140625" style="150" customWidth="1"/>
    <col min="10742" max="10742" width="14.5703125" style="150" customWidth="1"/>
    <col min="10743" max="10749" width="9.140625" style="150"/>
    <col min="10750" max="10750" width="5.5703125" style="150" customWidth="1"/>
    <col min="10751" max="10751" width="13.140625" style="150" customWidth="1"/>
    <col min="10752" max="10752" width="51.42578125" style="150" customWidth="1"/>
    <col min="10753" max="10753" width="11.7109375" style="150" customWidth="1"/>
    <col min="10754" max="10992" width="9.140625" style="150"/>
    <col min="10993" max="10994" width="41" style="150" customWidth="1"/>
    <col min="10995" max="10995" width="23.42578125" style="150" customWidth="1"/>
    <col min="10996" max="10996" width="25" style="150" customWidth="1"/>
    <col min="10997" max="10997" width="43.140625" style="150" customWidth="1"/>
    <col min="10998" max="10998" width="14.5703125" style="150" customWidth="1"/>
    <col min="10999" max="11005" width="9.140625" style="150"/>
    <col min="11006" max="11006" width="5.5703125" style="150" customWidth="1"/>
    <col min="11007" max="11007" width="13.140625" style="150" customWidth="1"/>
    <col min="11008" max="11008" width="51.42578125" style="150" customWidth="1"/>
    <col min="11009" max="11009" width="11.7109375" style="150" customWidth="1"/>
    <col min="11010" max="11248" width="9.140625" style="150"/>
    <col min="11249" max="11250" width="41" style="150" customWidth="1"/>
    <col min="11251" max="11251" width="23.42578125" style="150" customWidth="1"/>
    <col min="11252" max="11252" width="25" style="150" customWidth="1"/>
    <col min="11253" max="11253" width="43.140625" style="150" customWidth="1"/>
    <col min="11254" max="11254" width="14.5703125" style="150" customWidth="1"/>
    <col min="11255" max="11261" width="9.140625" style="150"/>
    <col min="11262" max="11262" width="5.5703125" style="150" customWidth="1"/>
    <col min="11263" max="11263" width="13.140625" style="150" customWidth="1"/>
    <col min="11264" max="11264" width="51.42578125" style="150" customWidth="1"/>
    <col min="11265" max="11265" width="11.7109375" style="150" customWidth="1"/>
    <col min="11266" max="11504" width="9.140625" style="150"/>
    <col min="11505" max="11506" width="41" style="150" customWidth="1"/>
    <col min="11507" max="11507" width="23.42578125" style="150" customWidth="1"/>
    <col min="11508" max="11508" width="25" style="150" customWidth="1"/>
    <col min="11509" max="11509" width="43.140625" style="150" customWidth="1"/>
    <col min="11510" max="11510" width="14.5703125" style="150" customWidth="1"/>
    <col min="11511" max="11517" width="9.140625" style="150"/>
    <col min="11518" max="11518" width="5.5703125" style="150" customWidth="1"/>
    <col min="11519" max="11519" width="13.140625" style="150" customWidth="1"/>
    <col min="11520" max="11520" width="51.42578125" style="150" customWidth="1"/>
    <col min="11521" max="11521" width="11.7109375" style="150" customWidth="1"/>
    <col min="11522" max="11760" width="9.140625" style="150"/>
    <col min="11761" max="11762" width="41" style="150" customWidth="1"/>
    <col min="11763" max="11763" width="23.42578125" style="150" customWidth="1"/>
    <col min="11764" max="11764" width="25" style="150" customWidth="1"/>
    <col min="11765" max="11765" width="43.140625" style="150" customWidth="1"/>
    <col min="11766" max="11766" width="14.5703125" style="150" customWidth="1"/>
    <col min="11767" max="11773" width="9.140625" style="150"/>
    <col min="11774" max="11774" width="5.5703125" style="150" customWidth="1"/>
    <col min="11775" max="11775" width="13.140625" style="150" customWidth="1"/>
    <col min="11776" max="11776" width="51.42578125" style="150" customWidth="1"/>
    <col min="11777" max="11777" width="11.7109375" style="150" customWidth="1"/>
    <col min="11778" max="12016" width="9.140625" style="150"/>
    <col min="12017" max="12018" width="41" style="150" customWidth="1"/>
    <col min="12019" max="12019" width="23.42578125" style="150" customWidth="1"/>
    <col min="12020" max="12020" width="25" style="150" customWidth="1"/>
    <col min="12021" max="12021" width="43.140625" style="150" customWidth="1"/>
    <col min="12022" max="12022" width="14.5703125" style="150" customWidth="1"/>
    <col min="12023" max="12029" width="9.140625" style="150"/>
    <col min="12030" max="12030" width="5.5703125" style="150" customWidth="1"/>
    <col min="12031" max="12031" width="13.140625" style="150" customWidth="1"/>
    <col min="12032" max="12032" width="51.42578125" style="150" customWidth="1"/>
    <col min="12033" max="12033" width="11.7109375" style="150" customWidth="1"/>
    <col min="12034" max="12272" width="9.140625" style="150"/>
    <col min="12273" max="12274" width="41" style="150" customWidth="1"/>
    <col min="12275" max="12275" width="23.42578125" style="150" customWidth="1"/>
    <col min="12276" max="12276" width="25" style="150" customWidth="1"/>
    <col min="12277" max="12277" width="43.140625" style="150" customWidth="1"/>
    <col min="12278" max="12278" width="14.5703125" style="150" customWidth="1"/>
    <col min="12279" max="12285" width="9.140625" style="150"/>
    <col min="12286" max="12286" width="5.5703125" style="150" customWidth="1"/>
    <col min="12287" max="12287" width="13.140625" style="150" customWidth="1"/>
    <col min="12288" max="12288" width="51.42578125" style="150" customWidth="1"/>
    <col min="12289" max="12289" width="11.7109375" style="150" customWidth="1"/>
    <col min="12290" max="12528" width="9.140625" style="150"/>
    <col min="12529" max="12530" width="41" style="150" customWidth="1"/>
    <col min="12531" max="12531" width="23.42578125" style="150" customWidth="1"/>
    <col min="12532" max="12532" width="25" style="150" customWidth="1"/>
    <col min="12533" max="12533" width="43.140625" style="150" customWidth="1"/>
    <col min="12534" max="12534" width="14.5703125" style="150" customWidth="1"/>
    <col min="12535" max="12541" width="9.140625" style="150"/>
    <col min="12542" max="12542" width="5.5703125" style="150" customWidth="1"/>
    <col min="12543" max="12543" width="13.140625" style="150" customWidth="1"/>
    <col min="12544" max="12544" width="51.42578125" style="150" customWidth="1"/>
    <col min="12545" max="12545" width="11.7109375" style="150" customWidth="1"/>
    <col min="12546" max="12784" width="9.140625" style="150"/>
    <col min="12785" max="12786" width="41" style="150" customWidth="1"/>
    <col min="12787" max="12787" width="23.42578125" style="150" customWidth="1"/>
    <col min="12788" max="12788" width="25" style="150" customWidth="1"/>
    <col min="12789" max="12789" width="43.140625" style="150" customWidth="1"/>
    <col min="12790" max="12790" width="14.5703125" style="150" customWidth="1"/>
    <col min="12791" max="12797" width="9.140625" style="150"/>
    <col min="12798" max="12798" width="5.5703125" style="150" customWidth="1"/>
    <col min="12799" max="12799" width="13.140625" style="150" customWidth="1"/>
    <col min="12800" max="12800" width="51.42578125" style="150" customWidth="1"/>
    <col min="12801" max="12801" width="11.7109375" style="150" customWidth="1"/>
    <col min="12802" max="13040" width="9.140625" style="150"/>
    <col min="13041" max="13042" width="41" style="150" customWidth="1"/>
    <col min="13043" max="13043" width="23.42578125" style="150" customWidth="1"/>
    <col min="13044" max="13044" width="25" style="150" customWidth="1"/>
    <col min="13045" max="13045" width="43.140625" style="150" customWidth="1"/>
    <col min="13046" max="13046" width="14.5703125" style="150" customWidth="1"/>
    <col min="13047" max="13053" width="9.140625" style="150"/>
    <col min="13054" max="13054" width="5.5703125" style="150" customWidth="1"/>
    <col min="13055" max="13055" width="13.140625" style="150" customWidth="1"/>
    <col min="13056" max="13056" width="51.42578125" style="150" customWidth="1"/>
    <col min="13057" max="13057" width="11.7109375" style="150" customWidth="1"/>
    <col min="13058" max="13296" width="9.140625" style="150"/>
    <col min="13297" max="13298" width="41" style="150" customWidth="1"/>
    <col min="13299" max="13299" width="23.42578125" style="150" customWidth="1"/>
    <col min="13300" max="13300" width="25" style="150" customWidth="1"/>
    <col min="13301" max="13301" width="43.140625" style="150" customWidth="1"/>
    <col min="13302" max="13302" width="14.5703125" style="150" customWidth="1"/>
    <col min="13303" max="13309" width="9.140625" style="150"/>
    <col min="13310" max="13310" width="5.5703125" style="150" customWidth="1"/>
    <col min="13311" max="13311" width="13.140625" style="150" customWidth="1"/>
    <col min="13312" max="13312" width="51.42578125" style="150" customWidth="1"/>
    <col min="13313" max="13313" width="11.7109375" style="150" customWidth="1"/>
    <col min="13314" max="13552" width="9.140625" style="150"/>
    <col min="13553" max="13554" width="41" style="150" customWidth="1"/>
    <col min="13555" max="13555" width="23.42578125" style="150" customWidth="1"/>
    <col min="13556" max="13556" width="25" style="150" customWidth="1"/>
    <col min="13557" max="13557" width="43.140625" style="150" customWidth="1"/>
    <col min="13558" max="13558" width="14.5703125" style="150" customWidth="1"/>
    <col min="13559" max="13565" width="9.140625" style="150"/>
    <col min="13566" max="13566" width="5.5703125" style="150" customWidth="1"/>
    <col min="13567" max="13567" width="13.140625" style="150" customWidth="1"/>
    <col min="13568" max="13568" width="51.42578125" style="150" customWidth="1"/>
    <col min="13569" max="13569" width="11.7109375" style="150" customWidth="1"/>
    <col min="13570" max="13808" width="9.140625" style="150"/>
    <col min="13809" max="13810" width="41" style="150" customWidth="1"/>
    <col min="13811" max="13811" width="23.42578125" style="150" customWidth="1"/>
    <col min="13812" max="13812" width="25" style="150" customWidth="1"/>
    <col min="13813" max="13813" width="43.140625" style="150" customWidth="1"/>
    <col min="13814" max="13814" width="14.5703125" style="150" customWidth="1"/>
    <col min="13815" max="13821" width="9.140625" style="150"/>
    <col min="13822" max="13822" width="5.5703125" style="150" customWidth="1"/>
    <col min="13823" max="13823" width="13.140625" style="150" customWidth="1"/>
    <col min="13824" max="13824" width="51.42578125" style="150" customWidth="1"/>
    <col min="13825" max="13825" width="11.7109375" style="150" customWidth="1"/>
    <col min="13826" max="14064" width="9.140625" style="150"/>
    <col min="14065" max="14066" width="41" style="150" customWidth="1"/>
    <col min="14067" max="14067" width="23.42578125" style="150" customWidth="1"/>
    <col min="14068" max="14068" width="25" style="150" customWidth="1"/>
    <col min="14069" max="14069" width="43.140625" style="150" customWidth="1"/>
    <col min="14070" max="14070" width="14.5703125" style="150" customWidth="1"/>
    <col min="14071" max="14077" width="9.140625" style="150"/>
    <col min="14078" max="14078" width="5.5703125" style="150" customWidth="1"/>
    <col min="14079" max="14079" width="13.140625" style="150" customWidth="1"/>
    <col min="14080" max="14080" width="51.42578125" style="150" customWidth="1"/>
    <col min="14081" max="14081" width="11.7109375" style="150" customWidth="1"/>
    <col min="14082" max="14320" width="9.140625" style="150"/>
    <col min="14321" max="14322" width="41" style="150" customWidth="1"/>
    <col min="14323" max="14323" width="23.42578125" style="150" customWidth="1"/>
    <col min="14324" max="14324" width="25" style="150" customWidth="1"/>
    <col min="14325" max="14325" width="43.140625" style="150" customWidth="1"/>
    <col min="14326" max="14326" width="14.5703125" style="150" customWidth="1"/>
    <col min="14327" max="14333" width="9.140625" style="150"/>
    <col min="14334" max="14334" width="5.5703125" style="150" customWidth="1"/>
    <col min="14335" max="14335" width="13.140625" style="150" customWidth="1"/>
    <col min="14336" max="14336" width="51.42578125" style="150" customWidth="1"/>
    <col min="14337" max="14337" width="11.7109375" style="150" customWidth="1"/>
    <col min="14338" max="14576" width="9.140625" style="150"/>
    <col min="14577" max="14578" width="41" style="150" customWidth="1"/>
    <col min="14579" max="14579" width="23.42578125" style="150" customWidth="1"/>
    <col min="14580" max="14580" width="25" style="150" customWidth="1"/>
    <col min="14581" max="14581" width="43.140625" style="150" customWidth="1"/>
    <col min="14582" max="14582" width="14.5703125" style="150" customWidth="1"/>
    <col min="14583" max="14589" width="9.140625" style="150"/>
    <col min="14590" max="14590" width="5.5703125" style="150" customWidth="1"/>
    <col min="14591" max="14591" width="13.140625" style="150" customWidth="1"/>
    <col min="14592" max="14592" width="51.42578125" style="150" customWidth="1"/>
    <col min="14593" max="14593" width="11.7109375" style="150" customWidth="1"/>
    <col min="14594" max="14832" width="9.140625" style="150"/>
    <col min="14833" max="14834" width="41" style="150" customWidth="1"/>
    <col min="14835" max="14835" width="23.42578125" style="150" customWidth="1"/>
    <col min="14836" max="14836" width="25" style="150" customWidth="1"/>
    <col min="14837" max="14837" width="43.140625" style="150" customWidth="1"/>
    <col min="14838" max="14838" width="14.5703125" style="150" customWidth="1"/>
    <col min="14839" max="14845" width="9.140625" style="150"/>
    <col min="14846" max="14846" width="5.5703125" style="150" customWidth="1"/>
    <col min="14847" max="14847" width="13.140625" style="150" customWidth="1"/>
    <col min="14848" max="14848" width="51.42578125" style="150" customWidth="1"/>
    <col min="14849" max="14849" width="11.7109375" style="150" customWidth="1"/>
    <col min="14850" max="15088" width="9.140625" style="150"/>
    <col min="15089" max="15090" width="41" style="150" customWidth="1"/>
    <col min="15091" max="15091" width="23.42578125" style="150" customWidth="1"/>
    <col min="15092" max="15092" width="25" style="150" customWidth="1"/>
    <col min="15093" max="15093" width="43.140625" style="150" customWidth="1"/>
    <col min="15094" max="15094" width="14.5703125" style="150" customWidth="1"/>
    <col min="15095" max="15101" width="9.140625" style="150"/>
    <col min="15102" max="15102" width="5.5703125" style="150" customWidth="1"/>
    <col min="15103" max="15103" width="13.140625" style="150" customWidth="1"/>
    <col min="15104" max="15104" width="51.42578125" style="150" customWidth="1"/>
    <col min="15105" max="15105" width="11.7109375" style="150" customWidth="1"/>
    <col min="15106" max="15344" width="9.140625" style="150"/>
    <col min="15345" max="15346" width="41" style="150" customWidth="1"/>
    <col min="15347" max="15347" width="23.42578125" style="150" customWidth="1"/>
    <col min="15348" max="15348" width="25" style="150" customWidth="1"/>
    <col min="15349" max="15349" width="43.140625" style="150" customWidth="1"/>
    <col min="15350" max="15350" width="14.5703125" style="150" customWidth="1"/>
    <col min="15351" max="15357" width="9.140625" style="150"/>
    <col min="15358" max="15358" width="5.5703125" style="150" customWidth="1"/>
    <col min="15359" max="15359" width="13.140625" style="150" customWidth="1"/>
    <col min="15360" max="15360" width="51.42578125" style="150" customWidth="1"/>
    <col min="15361" max="15361" width="11.7109375" style="150" customWidth="1"/>
    <col min="15362" max="15600" width="9.140625" style="150"/>
    <col min="15601" max="15602" width="41" style="150" customWidth="1"/>
    <col min="15603" max="15603" width="23.42578125" style="150" customWidth="1"/>
    <col min="15604" max="15604" width="25" style="150" customWidth="1"/>
    <col min="15605" max="15605" width="43.140625" style="150" customWidth="1"/>
    <col min="15606" max="15606" width="14.5703125" style="150" customWidth="1"/>
    <col min="15607" max="15613" width="9.140625" style="150"/>
    <col min="15614" max="15614" width="5.5703125" style="150" customWidth="1"/>
    <col min="15615" max="15615" width="13.140625" style="150" customWidth="1"/>
    <col min="15616" max="15616" width="51.42578125" style="150" customWidth="1"/>
    <col min="15617" max="15617" width="11.7109375" style="150" customWidth="1"/>
    <col min="15618" max="15856" width="9.140625" style="150"/>
    <col min="15857" max="15858" width="41" style="150" customWidth="1"/>
    <col min="15859" max="15859" width="23.42578125" style="150" customWidth="1"/>
    <col min="15860" max="15860" width="25" style="150" customWidth="1"/>
    <col min="15861" max="15861" width="43.140625" style="150" customWidth="1"/>
    <col min="15862" max="15862" width="14.5703125" style="150" customWidth="1"/>
    <col min="15863" max="15869" width="9.140625" style="150"/>
    <col min="15870" max="15870" width="5.5703125" style="150" customWidth="1"/>
    <col min="15871" max="15871" width="13.140625" style="150" customWidth="1"/>
    <col min="15872" max="15872" width="51.42578125" style="150" customWidth="1"/>
    <col min="15873" max="15873" width="11.7109375" style="150" customWidth="1"/>
    <col min="15874" max="16112" width="9.140625" style="150"/>
    <col min="16113" max="16114" width="41" style="150" customWidth="1"/>
    <col min="16115" max="16115" width="23.42578125" style="150" customWidth="1"/>
    <col min="16116" max="16116" width="25" style="150" customWidth="1"/>
    <col min="16117" max="16117" width="43.140625" style="150" customWidth="1"/>
    <col min="16118" max="16118" width="14.5703125" style="150" customWidth="1"/>
    <col min="16119" max="16125" width="9.140625" style="150"/>
    <col min="16126" max="16126" width="5.5703125" style="150" customWidth="1"/>
    <col min="16127" max="16127" width="13.140625" style="150" customWidth="1"/>
    <col min="16128" max="16128" width="51.42578125" style="150" customWidth="1"/>
    <col min="16129" max="16129" width="11.7109375" style="150" customWidth="1"/>
    <col min="16130" max="16384" width="9.140625" style="150"/>
  </cols>
  <sheetData>
    <row r="1" spans="1:46" x14ac:dyDescent="0.25">
      <c r="A1" s="125"/>
      <c r="B1" s="125"/>
      <c r="C1" s="125"/>
      <c r="D1" s="125"/>
      <c r="F1" s="107" t="s">
        <v>154</v>
      </c>
      <c r="G1" s="125"/>
      <c r="H1" s="125"/>
      <c r="I1" s="125"/>
    </row>
    <row r="2" spans="1:46" ht="30" customHeight="1" x14ac:dyDescent="0.2">
      <c r="A2" s="487" t="s">
        <v>155</v>
      </c>
      <c r="B2" s="487"/>
      <c r="C2" s="487"/>
      <c r="D2" s="487"/>
      <c r="E2" s="487"/>
      <c r="F2" s="487"/>
      <c r="G2" s="125"/>
      <c r="H2" s="125"/>
      <c r="I2" s="125"/>
    </row>
    <row r="3" spans="1:46" x14ac:dyDescent="0.25">
      <c r="A3" s="125"/>
      <c r="B3" s="125"/>
      <c r="C3" s="125"/>
      <c r="D3" s="125"/>
      <c r="E3" s="79"/>
      <c r="F3" s="125"/>
      <c r="G3" s="125"/>
      <c r="H3" s="125"/>
      <c r="I3" s="125"/>
    </row>
    <row r="4" spans="1:46" s="153" customFormat="1" x14ac:dyDescent="0.25">
      <c r="A4" s="124" t="s">
        <v>165</v>
      </c>
      <c r="B4" s="124"/>
      <c r="C4" s="124"/>
      <c r="D4" s="124"/>
      <c r="E4" s="124"/>
      <c r="F4" s="124"/>
      <c r="G4" s="124"/>
      <c r="H4" s="124"/>
      <c r="I4" s="124"/>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row>
    <row r="5" spans="1:46" s="109" customFormat="1" x14ac:dyDescent="0.25">
      <c r="A5" s="474" t="s">
        <v>220</v>
      </c>
      <c r="B5" s="474"/>
      <c r="C5" s="474"/>
      <c r="D5" s="474"/>
      <c r="E5" s="474"/>
      <c r="F5" s="474"/>
      <c r="G5" s="474"/>
      <c r="H5" s="108"/>
      <c r="I5" s="108"/>
    </row>
    <row r="6" spans="1:46" s="109" customFormat="1" x14ac:dyDescent="0.25">
      <c r="A6" s="110" t="s">
        <v>231</v>
      </c>
      <c r="B6" s="110"/>
      <c r="C6" s="110"/>
      <c r="D6" s="110"/>
      <c r="E6" s="154"/>
      <c r="F6" s="110"/>
      <c r="G6" s="110"/>
      <c r="H6" s="108"/>
      <c r="I6" s="108"/>
    </row>
    <row r="7" spans="1:46" s="119" customFormat="1" x14ac:dyDescent="0.25">
      <c r="A7" s="110" t="s">
        <v>412</v>
      </c>
      <c r="B7" s="155"/>
      <c r="C7" s="155"/>
      <c r="D7" s="155"/>
    </row>
    <row r="8" spans="1:46" ht="36" customHeight="1" x14ac:dyDescent="0.2">
      <c r="A8" s="496" t="s">
        <v>287</v>
      </c>
      <c r="B8" s="496"/>
      <c r="C8" s="496"/>
      <c r="D8" s="496"/>
      <c r="E8" s="496"/>
      <c r="F8" s="496"/>
    </row>
    <row r="9" spans="1:46" x14ac:dyDescent="0.25">
      <c r="A9" s="156"/>
      <c r="B9" s="489" t="s">
        <v>288</v>
      </c>
      <c r="C9" s="489" t="s">
        <v>289</v>
      </c>
      <c r="D9" s="491" t="s">
        <v>290</v>
      </c>
      <c r="E9" s="492"/>
    </row>
    <row r="10" spans="1:46" ht="60" customHeight="1" x14ac:dyDescent="0.25">
      <c r="A10" s="157"/>
      <c r="B10" s="489"/>
      <c r="C10" s="490"/>
      <c r="D10" s="493"/>
      <c r="E10" s="494"/>
      <c r="F10" s="151"/>
    </row>
    <row r="11" spans="1:46" ht="31.5" x14ac:dyDescent="0.25">
      <c r="A11" s="158" t="s">
        <v>291</v>
      </c>
      <c r="B11" s="159">
        <v>4</v>
      </c>
      <c r="C11" s="160">
        <v>8995</v>
      </c>
      <c r="D11" s="495">
        <f>SUM(B11*C11)</f>
        <v>35980</v>
      </c>
      <c r="E11" s="495"/>
    </row>
    <row r="12" spans="1:46" x14ac:dyDescent="0.2">
      <c r="A12" s="150" t="s">
        <v>292</v>
      </c>
    </row>
    <row r="14" spans="1:46" s="161" customFormat="1" x14ac:dyDescent="0.25">
      <c r="A14" s="161" t="s">
        <v>166</v>
      </c>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row>
    <row r="15" spans="1:46" s="109" customFormat="1" x14ac:dyDescent="0.25">
      <c r="A15" s="474" t="s">
        <v>220</v>
      </c>
      <c r="B15" s="474"/>
      <c r="C15" s="474"/>
      <c r="D15" s="474"/>
      <c r="E15" s="474"/>
      <c r="F15" s="474"/>
      <c r="G15" s="474"/>
      <c r="H15" s="108"/>
      <c r="I15" s="108"/>
    </row>
    <row r="16" spans="1:46" s="109" customFormat="1" x14ac:dyDescent="0.25">
      <c r="A16" s="110" t="s">
        <v>221</v>
      </c>
      <c r="B16" s="110"/>
      <c r="C16" s="110"/>
      <c r="D16" s="110"/>
      <c r="E16" s="110"/>
      <c r="F16" s="110"/>
      <c r="G16" s="110"/>
      <c r="H16" s="108"/>
      <c r="I16" s="108"/>
    </row>
    <row r="17" spans="1:10" s="109" customFormat="1" ht="33.75" customHeight="1" x14ac:dyDescent="0.25">
      <c r="A17" s="497" t="s">
        <v>429</v>
      </c>
      <c r="B17" s="497"/>
      <c r="C17" s="497"/>
      <c r="D17" s="497"/>
      <c r="E17" s="497"/>
      <c r="F17" s="497"/>
      <c r="G17" s="111"/>
      <c r="H17" s="108"/>
      <c r="I17" s="108"/>
    </row>
    <row r="18" spans="1:10" s="109" customFormat="1" x14ac:dyDescent="0.25">
      <c r="A18" s="162"/>
      <c r="B18" s="111"/>
      <c r="C18" s="111"/>
      <c r="D18" s="111"/>
      <c r="E18" s="111"/>
      <c r="F18" s="111"/>
      <c r="G18" s="111"/>
      <c r="H18" s="108"/>
      <c r="I18" s="108"/>
    </row>
    <row r="19" spans="1:10" s="163" customFormat="1" x14ac:dyDescent="0.25">
      <c r="A19" s="124" t="s">
        <v>162</v>
      </c>
      <c r="B19" s="150"/>
      <c r="C19" s="150"/>
      <c r="D19" s="150"/>
      <c r="E19" s="150"/>
      <c r="F19" s="150"/>
      <c r="G19" s="150"/>
      <c r="H19" s="150"/>
      <c r="I19" s="79"/>
      <c r="J19" s="79"/>
    </row>
    <row r="20" spans="1:10" s="163" customFormat="1" ht="63" x14ac:dyDescent="0.25">
      <c r="A20" s="164"/>
      <c r="B20" s="90" t="s">
        <v>156</v>
      </c>
      <c r="C20" s="90" t="s">
        <v>159</v>
      </c>
      <c r="D20" s="90" t="s">
        <v>157</v>
      </c>
      <c r="E20" s="90" t="s">
        <v>421</v>
      </c>
      <c r="F20" s="90" t="s">
        <v>399</v>
      </c>
      <c r="G20" s="150"/>
      <c r="H20" s="79"/>
      <c r="I20" s="79"/>
    </row>
    <row r="21" spans="1:10" s="163" customFormat="1" ht="63" x14ac:dyDescent="0.25">
      <c r="A21" s="165" t="s">
        <v>161</v>
      </c>
      <c r="B21" s="95">
        <v>52825</v>
      </c>
      <c r="C21" s="166">
        <v>3.2</v>
      </c>
      <c r="D21" s="95">
        <f>B21*C21</f>
        <v>169040</v>
      </c>
      <c r="E21" s="95"/>
      <c r="F21" s="95"/>
      <c r="G21" s="167"/>
      <c r="H21" s="77"/>
      <c r="I21" s="79"/>
    </row>
    <row r="22" spans="1:10" s="163" customFormat="1" ht="31.5" x14ac:dyDescent="0.25">
      <c r="A22" s="165" t="s">
        <v>158</v>
      </c>
      <c r="B22" s="168">
        <f>ROUND(B21*17%,0)</f>
        <v>8980</v>
      </c>
      <c r="C22" s="166">
        <f>C29</f>
        <v>23.72</v>
      </c>
      <c r="D22" s="95">
        <f>B22*C22</f>
        <v>213005.59999999998</v>
      </c>
      <c r="E22" s="95">
        <f>B22*7.11</f>
        <v>63847.8</v>
      </c>
      <c r="F22" s="95"/>
      <c r="G22" s="150"/>
      <c r="H22" s="77"/>
      <c r="I22" s="79"/>
    </row>
    <row r="23" spans="1:10" s="163" customFormat="1" x14ac:dyDescent="0.25">
      <c r="A23" s="169" t="s">
        <v>149</v>
      </c>
      <c r="B23" s="168">
        <f>B21+B22</f>
        <v>61805</v>
      </c>
      <c r="C23" s="166">
        <f>D23/B23</f>
        <v>6.1814675188091579</v>
      </c>
      <c r="D23" s="95">
        <f>D21+D22</f>
        <v>382045.6</v>
      </c>
      <c r="E23" s="95">
        <f>E21+E22</f>
        <v>63847.8</v>
      </c>
      <c r="F23" s="95">
        <f>D23+E23</f>
        <v>445893.39999999997</v>
      </c>
      <c r="G23" s="150"/>
      <c r="H23" s="79"/>
      <c r="I23" s="79"/>
    </row>
    <row r="24" spans="1:10" s="163" customFormat="1" x14ac:dyDescent="0.25"/>
    <row r="25" spans="1:10" s="163" customFormat="1" x14ac:dyDescent="0.25">
      <c r="A25" s="124" t="s">
        <v>224</v>
      </c>
      <c r="B25" s="150"/>
      <c r="C25" s="150"/>
      <c r="D25" s="150"/>
      <c r="E25" s="150"/>
      <c r="F25" s="150"/>
      <c r="G25" s="150"/>
      <c r="H25" s="150"/>
      <c r="I25" s="79"/>
      <c r="J25" s="79"/>
    </row>
    <row r="26" spans="1:10" s="163" customFormat="1" x14ac:dyDescent="0.25">
      <c r="A26" s="156"/>
      <c r="B26" s="489" t="s">
        <v>163</v>
      </c>
      <c r="C26" s="489" t="s">
        <v>159</v>
      </c>
      <c r="D26" s="488" t="s">
        <v>160</v>
      </c>
      <c r="E26" s="488"/>
      <c r="F26" s="488"/>
      <c r="G26" s="109"/>
    </row>
    <row r="27" spans="1:10" s="163" customFormat="1" ht="61.5" customHeight="1" x14ac:dyDescent="0.25">
      <c r="A27" s="157"/>
      <c r="B27" s="489"/>
      <c r="C27" s="490"/>
      <c r="D27" s="170" t="s">
        <v>167</v>
      </c>
      <c r="E27" s="171" t="s">
        <v>421</v>
      </c>
      <c r="F27" s="171" t="s">
        <v>168</v>
      </c>
    </row>
    <row r="28" spans="1:10" s="163" customFormat="1" ht="63" x14ac:dyDescent="0.25">
      <c r="A28" s="172" t="s">
        <v>161</v>
      </c>
      <c r="B28" s="159">
        <v>65940</v>
      </c>
      <c r="C28" s="173">
        <v>3.2</v>
      </c>
      <c r="D28" s="144">
        <f>B28*C28</f>
        <v>211008</v>
      </c>
      <c r="E28" s="174"/>
      <c r="F28" s="144">
        <f>D28+E28</f>
        <v>211008</v>
      </c>
    </row>
    <row r="29" spans="1:10" s="163" customFormat="1" ht="31.5" x14ac:dyDescent="0.25">
      <c r="A29" s="175" t="s">
        <v>222</v>
      </c>
      <c r="B29" s="174">
        <f>ROUND(B28*20/100,0)</f>
        <v>13188</v>
      </c>
      <c r="C29" s="173">
        <v>23.72</v>
      </c>
      <c r="D29" s="144">
        <f>B29*C29</f>
        <v>312819.36</v>
      </c>
      <c r="E29" s="144">
        <f>B29*7.11</f>
        <v>93766.680000000008</v>
      </c>
      <c r="F29" s="144">
        <f>D29+E29</f>
        <v>406586.04</v>
      </c>
    </row>
    <row r="30" spans="1:10" s="179" customFormat="1" ht="31.5" x14ac:dyDescent="0.25">
      <c r="A30" s="176" t="s">
        <v>423</v>
      </c>
      <c r="B30" s="144"/>
      <c r="C30" s="177"/>
      <c r="D30" s="144"/>
      <c r="E30" s="144"/>
      <c r="F30" s="144">
        <f>F28+F29</f>
        <v>617594.04</v>
      </c>
      <c r="G30" s="178"/>
    </row>
    <row r="31" spans="1:10" s="163" customFormat="1" x14ac:dyDescent="0.25">
      <c r="A31" s="163" t="s">
        <v>234</v>
      </c>
    </row>
    <row r="32" spans="1:10" ht="32.25" customHeight="1" x14ac:dyDescent="0.2">
      <c r="A32" s="486" t="s">
        <v>422</v>
      </c>
      <c r="B32" s="486"/>
      <c r="C32" s="486"/>
      <c r="D32" s="486"/>
      <c r="E32" s="486"/>
      <c r="F32" s="486"/>
    </row>
  </sheetData>
  <mergeCells count="13">
    <mergeCell ref="A32:F32"/>
    <mergeCell ref="A2:F2"/>
    <mergeCell ref="D26:F26"/>
    <mergeCell ref="B26:B27"/>
    <mergeCell ref="C26:C27"/>
    <mergeCell ref="A15:G15"/>
    <mergeCell ref="A5:G5"/>
    <mergeCell ref="B9:B10"/>
    <mergeCell ref="C9:C10"/>
    <mergeCell ref="D9:E10"/>
    <mergeCell ref="D11:E11"/>
    <mergeCell ref="A8:F8"/>
    <mergeCell ref="A17:F17"/>
  </mergeCells>
  <pageMargins left="0.7" right="0.24" top="0.53"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99"/>
  <sheetViews>
    <sheetView zoomScale="80" zoomScaleNormal="80" workbookViewId="0">
      <selection activeCell="B83" sqref="B83"/>
    </sheetView>
  </sheetViews>
  <sheetFormatPr defaultColWidth="9.140625" defaultRowHeight="15.75" x14ac:dyDescent="0.25"/>
  <cols>
    <col min="1" max="1" width="20.28515625" style="106" customWidth="1"/>
    <col min="2" max="2" width="27.85546875" style="106" customWidth="1"/>
    <col min="3" max="3" width="17.5703125" style="106" customWidth="1"/>
    <col min="4" max="4" width="18" style="106" customWidth="1"/>
    <col min="5" max="5" width="13.5703125" style="106" customWidth="1"/>
    <col min="6" max="6" width="16" style="106" customWidth="1"/>
    <col min="7" max="7" width="13.140625" style="106" customWidth="1"/>
    <col min="8" max="8" width="16.7109375" style="106" customWidth="1"/>
    <col min="9" max="9" width="13.28515625" style="106" customWidth="1"/>
    <col min="10" max="10" width="14.28515625" style="106" customWidth="1"/>
    <col min="11" max="11" width="19.42578125" style="106" customWidth="1"/>
    <col min="12" max="12" width="15.42578125" style="106" customWidth="1"/>
    <col min="13" max="16384" width="9.140625" style="106"/>
  </cols>
  <sheetData>
    <row r="1" spans="1:12" x14ac:dyDescent="0.25">
      <c r="L1" s="107" t="s">
        <v>179</v>
      </c>
    </row>
    <row r="2" spans="1:12" ht="34.5" customHeight="1" x14ac:dyDescent="0.25">
      <c r="A2" s="476" t="s">
        <v>175</v>
      </c>
      <c r="B2" s="476"/>
      <c r="C2" s="476"/>
      <c r="D2" s="476"/>
      <c r="E2" s="476"/>
      <c r="F2" s="476"/>
      <c r="G2" s="476"/>
      <c r="H2" s="476"/>
      <c r="I2" s="476"/>
      <c r="J2" s="476"/>
      <c r="K2" s="476"/>
      <c r="L2" s="476"/>
    </row>
    <row r="4" spans="1:12" s="109" customFormat="1" x14ac:dyDescent="0.25">
      <c r="A4" s="474" t="s">
        <v>220</v>
      </c>
      <c r="B4" s="474"/>
      <c r="C4" s="474"/>
      <c r="D4" s="474"/>
      <c r="E4" s="474"/>
      <c r="F4" s="474"/>
      <c r="G4" s="474"/>
      <c r="H4" s="108"/>
      <c r="I4" s="108"/>
    </row>
    <row r="5" spans="1:12" s="109" customFormat="1" x14ac:dyDescent="0.25">
      <c r="A5" s="110" t="s">
        <v>221</v>
      </c>
      <c r="B5" s="110"/>
      <c r="C5" s="110"/>
      <c r="D5" s="110"/>
      <c r="E5" s="110"/>
      <c r="F5" s="110"/>
      <c r="G5" s="110"/>
      <c r="H5" s="108"/>
      <c r="I5" s="108"/>
    </row>
    <row r="6" spans="1:12" s="109" customFormat="1" ht="51" customHeight="1" x14ac:dyDescent="0.25">
      <c r="A6" s="497" t="s">
        <v>430</v>
      </c>
      <c r="B6" s="497"/>
      <c r="C6" s="497"/>
      <c r="D6" s="497"/>
      <c r="E6" s="497"/>
      <c r="F6" s="497"/>
      <c r="G6" s="111"/>
      <c r="H6" s="108"/>
      <c r="I6" s="108"/>
    </row>
    <row r="7" spans="1:12" s="109" customFormat="1" x14ac:dyDescent="0.25">
      <c r="A7" s="111"/>
      <c r="B7" s="111"/>
      <c r="C7" s="111"/>
      <c r="D7" s="111"/>
      <c r="E7" s="111"/>
      <c r="F7" s="111"/>
      <c r="G7" s="111"/>
      <c r="H7" s="108"/>
      <c r="I7" s="108"/>
    </row>
    <row r="8" spans="1:12" x14ac:dyDescent="0.25">
      <c r="A8" s="112" t="s">
        <v>177</v>
      </c>
    </row>
    <row r="9" spans="1:12" ht="119.25" customHeight="1" x14ac:dyDescent="0.25">
      <c r="A9" s="113" t="s">
        <v>54</v>
      </c>
      <c r="B9" s="113" t="s">
        <v>172</v>
      </c>
      <c r="C9" s="113" t="s">
        <v>520</v>
      </c>
      <c r="D9" s="113" t="s">
        <v>176</v>
      </c>
      <c r="E9" s="113" t="s">
        <v>425</v>
      </c>
      <c r="F9" s="113" t="s">
        <v>400</v>
      </c>
      <c r="H9" s="114"/>
    </row>
    <row r="10" spans="1:12" ht="31.5" x14ac:dyDescent="0.25">
      <c r="A10" s="113" t="s">
        <v>173</v>
      </c>
      <c r="B10" s="113">
        <v>32</v>
      </c>
      <c r="C10" s="115">
        <v>63395.24</v>
      </c>
      <c r="D10" s="116">
        <f>ROUND(C10*B10,0)</f>
        <v>2028648</v>
      </c>
      <c r="E10" s="502">
        <v>4151139</v>
      </c>
      <c r="F10" s="502">
        <f>(D10+D11-E10)/12*9</f>
        <v>759483.75</v>
      </c>
    </row>
    <row r="11" spans="1:12" ht="63" x14ac:dyDescent="0.25">
      <c r="A11" s="113" t="s">
        <v>174</v>
      </c>
      <c r="B11" s="113">
        <v>46.2</v>
      </c>
      <c r="C11" s="115">
        <v>67860.08</v>
      </c>
      <c r="D11" s="116">
        <f>ROUND(C11*B11,0)</f>
        <v>3135136</v>
      </c>
      <c r="E11" s="502"/>
      <c r="F11" s="502"/>
      <c r="G11" s="117"/>
    </row>
    <row r="14" spans="1:12" s="119" customFormat="1" x14ac:dyDescent="0.25">
      <c r="A14" s="118" t="s">
        <v>178</v>
      </c>
      <c r="B14" s="79"/>
      <c r="C14" s="79"/>
      <c r="D14" s="79"/>
      <c r="E14" s="79"/>
      <c r="F14" s="79"/>
    </row>
    <row r="15" spans="1:12" s="119" customFormat="1" ht="94.5" x14ac:dyDescent="0.25">
      <c r="A15" s="80" t="s">
        <v>54</v>
      </c>
      <c r="B15" s="80" t="s">
        <v>172</v>
      </c>
      <c r="C15" s="113" t="s">
        <v>520</v>
      </c>
      <c r="D15" s="80" t="s">
        <v>182</v>
      </c>
      <c r="E15" s="80" t="s">
        <v>427</v>
      </c>
      <c r="F15" s="80" t="s">
        <v>294</v>
      </c>
    </row>
    <row r="16" spans="1:12" s="119" customFormat="1" ht="31.5" x14ac:dyDescent="0.25">
      <c r="A16" s="80" t="s">
        <v>173</v>
      </c>
      <c r="B16" s="80">
        <v>33</v>
      </c>
      <c r="C16" s="120">
        <v>123640.08</v>
      </c>
      <c r="D16" s="121">
        <f>C16*B16</f>
        <v>4080122.64</v>
      </c>
      <c r="E16" s="503">
        <v>4151139</v>
      </c>
      <c r="F16" s="503">
        <f>(D16+D17-E16)</f>
        <v>5360891.870000001</v>
      </c>
    </row>
    <row r="17" spans="1:12" s="119" customFormat="1" ht="63" x14ac:dyDescent="0.25">
      <c r="A17" s="80" t="s">
        <v>174</v>
      </c>
      <c r="B17" s="80">
        <v>49</v>
      </c>
      <c r="C17" s="120">
        <v>110855.27</v>
      </c>
      <c r="D17" s="121">
        <f>C17*B17</f>
        <v>5431908.2300000004</v>
      </c>
      <c r="E17" s="503"/>
      <c r="F17" s="503"/>
      <c r="G17" s="123"/>
    </row>
    <row r="18" spans="1:12" x14ac:dyDescent="0.25">
      <c r="D18" s="117"/>
      <c r="F18" s="117"/>
    </row>
    <row r="19" spans="1:12" ht="63" customHeight="1" x14ac:dyDescent="0.25">
      <c r="A19" s="469" t="s">
        <v>521</v>
      </c>
      <c r="B19" s="469"/>
      <c r="C19" s="469"/>
      <c r="D19" s="469"/>
      <c r="E19" s="469"/>
      <c r="F19" s="469"/>
    </row>
    <row r="22" spans="1:12" s="5" customFormat="1" x14ac:dyDescent="0.25">
      <c r="A22" s="279" t="s">
        <v>495</v>
      </c>
    </row>
    <row r="24" spans="1:12" ht="21" customHeight="1" x14ac:dyDescent="0.25">
      <c r="A24" s="124" t="s">
        <v>486</v>
      </c>
      <c r="B24" s="125"/>
      <c r="C24" s="125"/>
      <c r="D24" s="125"/>
      <c r="E24" s="78"/>
      <c r="F24" s="78"/>
      <c r="G24" s="78"/>
      <c r="H24" s="78"/>
      <c r="I24" s="78"/>
      <c r="J24" s="78"/>
      <c r="K24" s="78"/>
      <c r="L24" s="78"/>
    </row>
    <row r="25" spans="1:12" x14ac:dyDescent="0.25">
      <c r="A25" s="498" t="s">
        <v>465</v>
      </c>
      <c r="B25" s="498"/>
      <c r="C25" s="498" t="s">
        <v>466</v>
      </c>
      <c r="D25" s="498" t="s">
        <v>467</v>
      </c>
      <c r="E25" s="498"/>
      <c r="F25" s="499" t="s">
        <v>468</v>
      </c>
      <c r="G25" s="499"/>
      <c r="H25" s="500" t="s">
        <v>469</v>
      </c>
      <c r="I25" s="500" t="s">
        <v>470</v>
      </c>
      <c r="J25" s="500" t="s">
        <v>471</v>
      </c>
      <c r="K25" s="500" t="s">
        <v>472</v>
      </c>
      <c r="L25" s="501" t="s">
        <v>490</v>
      </c>
    </row>
    <row r="26" spans="1:12" ht="64.5" customHeight="1" x14ac:dyDescent="0.25">
      <c r="A26" s="498"/>
      <c r="B26" s="498"/>
      <c r="C26" s="498"/>
      <c r="D26" s="273" t="s">
        <v>474</v>
      </c>
      <c r="E26" s="295" t="s">
        <v>475</v>
      </c>
      <c r="F26" s="273" t="s">
        <v>474</v>
      </c>
      <c r="G26" s="295" t="s">
        <v>476</v>
      </c>
      <c r="H26" s="500"/>
      <c r="I26" s="500"/>
      <c r="J26" s="500"/>
      <c r="K26" s="500"/>
      <c r="L26" s="501"/>
    </row>
    <row r="27" spans="1:12" x14ac:dyDescent="0.25">
      <c r="A27" s="296">
        <v>1</v>
      </c>
      <c r="B27" s="297" t="s">
        <v>477</v>
      </c>
      <c r="C27" s="296">
        <v>1</v>
      </c>
      <c r="D27" s="296">
        <v>1</v>
      </c>
      <c r="E27" s="298">
        <v>1</v>
      </c>
      <c r="F27" s="296"/>
      <c r="G27" s="298"/>
      <c r="H27" s="273">
        <f>ROUND((E27*1755)*9,2)</f>
        <v>15795</v>
      </c>
      <c r="I27" s="273">
        <f>H27*0.3</f>
        <v>4738.5</v>
      </c>
      <c r="J27" s="273">
        <f>ROUND((H27+I27)*0.2409,2)</f>
        <v>4946.5200000000004</v>
      </c>
      <c r="K27" s="299">
        <f>3524/12*9</f>
        <v>2643</v>
      </c>
      <c r="L27" s="300">
        <f>SUM(H27:K27)</f>
        <v>28123.02</v>
      </c>
    </row>
    <row r="28" spans="1:12" x14ac:dyDescent="0.25">
      <c r="A28" s="301">
        <v>2</v>
      </c>
      <c r="B28" s="302" t="s">
        <v>478</v>
      </c>
      <c r="C28" s="301">
        <v>1</v>
      </c>
      <c r="D28" s="297"/>
      <c r="E28" s="297"/>
      <c r="F28" s="273">
        <v>1</v>
      </c>
      <c r="G28" s="303">
        <v>1</v>
      </c>
      <c r="H28" s="273">
        <f>ROUND((G28*810)*9,2)</f>
        <v>7290</v>
      </c>
      <c r="I28" s="273">
        <f t="shared" ref="I28:I30" si="0">H28*0.3</f>
        <v>2187</v>
      </c>
      <c r="J28" s="273">
        <f t="shared" ref="J28:J30" si="1">ROUND((H28+I28)*0.2409,2)</f>
        <v>2283.0100000000002</v>
      </c>
      <c r="K28" s="299">
        <f>3524/12*9</f>
        <v>2643</v>
      </c>
      <c r="L28" s="300">
        <f t="shared" ref="L28:L30" si="2">SUM(H28:K28)</f>
        <v>14403.01</v>
      </c>
    </row>
    <row r="29" spans="1:12" ht="30" x14ac:dyDescent="0.25">
      <c r="A29" s="296">
        <v>3</v>
      </c>
      <c r="B29" s="304" t="s">
        <v>479</v>
      </c>
      <c r="C29" s="295">
        <v>1</v>
      </c>
      <c r="D29" s="273">
        <v>1</v>
      </c>
      <c r="E29" s="305">
        <v>0.1</v>
      </c>
      <c r="F29" s="273"/>
      <c r="G29" s="303"/>
      <c r="H29" s="273">
        <f>ROUND((E29*1755)*9,2)</f>
        <v>1579.5</v>
      </c>
      <c r="I29" s="273">
        <f t="shared" si="0"/>
        <v>473.84999999999997</v>
      </c>
      <c r="J29" s="273">
        <f t="shared" si="1"/>
        <v>494.65</v>
      </c>
      <c r="K29" s="299">
        <f>(3416/12*9)*E29</f>
        <v>256.2</v>
      </c>
      <c r="L29" s="300">
        <f t="shared" si="2"/>
        <v>2804.2</v>
      </c>
    </row>
    <row r="30" spans="1:12" ht="30" customHeight="1" x14ac:dyDescent="0.25">
      <c r="A30" s="301">
        <v>4</v>
      </c>
      <c r="B30" s="304" t="s">
        <v>480</v>
      </c>
      <c r="C30" s="301">
        <v>1</v>
      </c>
      <c r="D30" s="273">
        <v>1</v>
      </c>
      <c r="E30" s="305">
        <v>0.1</v>
      </c>
      <c r="F30" s="273"/>
      <c r="G30" s="303"/>
      <c r="H30" s="273">
        <f>ROUND((E30*1350)*9,2)</f>
        <v>1215</v>
      </c>
      <c r="I30" s="273">
        <f t="shared" si="0"/>
        <v>364.5</v>
      </c>
      <c r="J30" s="273">
        <f t="shared" si="1"/>
        <v>380.5</v>
      </c>
      <c r="K30" s="299">
        <f>(3416/12*9)*E30</f>
        <v>256.2</v>
      </c>
      <c r="L30" s="300">
        <f t="shared" si="2"/>
        <v>2216.1999999999998</v>
      </c>
    </row>
    <row r="31" spans="1:12" x14ac:dyDescent="0.25">
      <c r="A31" s="306"/>
      <c r="B31" s="307" t="s">
        <v>149</v>
      </c>
      <c r="C31" s="308">
        <f t="shared" ref="C31:K31" si="3">C28+C29+C27+C30</f>
        <v>4</v>
      </c>
      <c r="D31" s="308">
        <f t="shared" si="3"/>
        <v>3</v>
      </c>
      <c r="E31" s="308">
        <f t="shared" si="3"/>
        <v>1.2000000000000002</v>
      </c>
      <c r="F31" s="308">
        <f t="shared" si="3"/>
        <v>1</v>
      </c>
      <c r="G31" s="308">
        <f t="shared" si="3"/>
        <v>1</v>
      </c>
      <c r="H31" s="309">
        <f t="shared" si="3"/>
        <v>25879.5</v>
      </c>
      <c r="I31" s="309">
        <f t="shared" si="3"/>
        <v>7763.85</v>
      </c>
      <c r="J31" s="309">
        <f t="shared" si="3"/>
        <v>8104.68</v>
      </c>
      <c r="K31" s="309">
        <f t="shared" si="3"/>
        <v>5798.4</v>
      </c>
      <c r="L31" s="310">
        <f>L28+L29+L27+L30</f>
        <v>47546.429999999993</v>
      </c>
    </row>
    <row r="32" spans="1:12" x14ac:dyDescent="0.25">
      <c r="A32" s="75"/>
      <c r="B32" s="75"/>
      <c r="C32" s="75"/>
      <c r="D32" s="75"/>
      <c r="E32" s="75"/>
      <c r="F32" s="75"/>
      <c r="G32" s="75"/>
      <c r="H32" s="75"/>
      <c r="I32" s="75"/>
      <c r="J32" s="75"/>
      <c r="K32" s="75"/>
      <c r="L32" s="75"/>
    </row>
    <row r="33" spans="1:13" x14ac:dyDescent="0.25">
      <c r="A33" s="97" t="s">
        <v>481</v>
      </c>
      <c r="B33" s="75"/>
      <c r="C33" s="75"/>
      <c r="D33" s="75"/>
      <c r="E33" s="75"/>
      <c r="F33" s="75"/>
      <c r="G33" s="75"/>
      <c r="H33" s="75"/>
      <c r="I33" s="75"/>
      <c r="J33" s="75"/>
      <c r="K33" s="75"/>
      <c r="L33" s="75"/>
    </row>
    <row r="34" spans="1:13" x14ac:dyDescent="0.25">
      <c r="A34" s="97" t="s">
        <v>482</v>
      </c>
      <c r="B34" s="75"/>
      <c r="C34" s="75"/>
      <c r="D34" s="75"/>
      <c r="E34" s="75"/>
      <c r="F34" s="75"/>
      <c r="G34" s="75"/>
      <c r="H34" s="75"/>
      <c r="I34" s="75"/>
      <c r="J34" s="75"/>
      <c r="K34" s="75"/>
      <c r="L34" s="75"/>
    </row>
    <row r="35" spans="1:13" x14ac:dyDescent="0.25">
      <c r="A35" s="75" t="s">
        <v>483</v>
      </c>
      <c r="B35" s="75"/>
      <c r="C35" s="75"/>
      <c r="D35" s="75"/>
      <c r="E35" s="75"/>
      <c r="F35" s="75"/>
      <c r="G35" s="75"/>
      <c r="H35" s="75"/>
      <c r="I35" s="75"/>
      <c r="J35" s="75"/>
      <c r="K35" s="75"/>
      <c r="L35" s="75"/>
    </row>
    <row r="36" spans="1:13" x14ac:dyDescent="0.25">
      <c r="A36" s="75" t="s">
        <v>484</v>
      </c>
      <c r="B36" s="75"/>
      <c r="C36" s="75"/>
      <c r="D36" s="75"/>
      <c r="E36" s="75"/>
      <c r="F36" s="75"/>
      <c r="G36" s="75"/>
      <c r="H36" s="75"/>
      <c r="I36" s="75"/>
      <c r="J36" s="75"/>
      <c r="K36" s="75"/>
      <c r="L36" s="75"/>
    </row>
    <row r="37" spans="1:13" x14ac:dyDescent="0.25">
      <c r="A37" s="75"/>
      <c r="B37" s="75"/>
      <c r="C37" s="75"/>
      <c r="D37" s="75"/>
      <c r="E37" s="75"/>
      <c r="F37" s="75"/>
      <c r="G37" s="75"/>
      <c r="H37" s="75"/>
      <c r="I37" s="75"/>
      <c r="J37" s="75"/>
      <c r="K37" s="75"/>
      <c r="L37" s="75"/>
    </row>
    <row r="38" spans="1:13" x14ac:dyDescent="0.25">
      <c r="A38" s="75"/>
      <c r="B38" s="75"/>
      <c r="C38" s="75"/>
      <c r="D38" s="75"/>
      <c r="E38" s="75"/>
      <c r="F38" s="75"/>
      <c r="G38" s="75"/>
      <c r="H38" s="75"/>
      <c r="I38" s="75"/>
      <c r="J38" s="75"/>
      <c r="K38" s="75"/>
      <c r="L38" s="75"/>
    </row>
    <row r="39" spans="1:13" x14ac:dyDescent="0.25">
      <c r="A39" s="98" t="s">
        <v>499</v>
      </c>
      <c r="B39" s="99"/>
      <c r="C39" s="99"/>
      <c r="D39" s="75"/>
      <c r="E39" s="75"/>
      <c r="F39" s="75"/>
      <c r="G39" s="75"/>
      <c r="H39" s="75"/>
      <c r="I39" s="75"/>
      <c r="J39" s="75"/>
      <c r="K39" s="75"/>
      <c r="L39" s="75"/>
    </row>
    <row r="40" spans="1:13" ht="30" x14ac:dyDescent="0.25">
      <c r="A40" s="100" t="s">
        <v>295</v>
      </c>
      <c r="B40" s="100" t="s">
        <v>170</v>
      </c>
      <c r="C40" s="89" t="s">
        <v>296</v>
      </c>
      <c r="D40" s="75"/>
      <c r="E40" s="75"/>
      <c r="F40" s="75"/>
      <c r="G40" s="75"/>
      <c r="H40" s="75"/>
      <c r="I40" s="75"/>
      <c r="J40" s="75"/>
      <c r="K40" s="75"/>
      <c r="L40" s="75"/>
    </row>
    <row r="41" spans="1:13" x14ac:dyDescent="0.25">
      <c r="A41" s="74">
        <v>32</v>
      </c>
      <c r="B41" s="74">
        <f>L31</f>
        <v>47546.429999999993</v>
      </c>
      <c r="C41" s="311">
        <f>A41*B41</f>
        <v>1521485.7599999998</v>
      </c>
      <c r="D41" s="75"/>
      <c r="E41" s="75"/>
      <c r="F41" s="75"/>
      <c r="G41" s="75"/>
      <c r="H41" s="75"/>
      <c r="I41" s="75"/>
      <c r="J41" s="75"/>
      <c r="K41" s="75"/>
      <c r="L41" s="75"/>
    </row>
    <row r="42" spans="1:13" x14ac:dyDescent="0.25">
      <c r="A42" s="75"/>
      <c r="B42" s="75"/>
      <c r="C42" s="75"/>
      <c r="D42" s="75"/>
      <c r="E42" s="75"/>
      <c r="F42" s="75"/>
      <c r="G42" s="75"/>
      <c r="H42" s="75"/>
      <c r="I42" s="75"/>
      <c r="J42" s="75"/>
      <c r="K42" s="75"/>
      <c r="L42" s="75"/>
    </row>
    <row r="43" spans="1:13" x14ac:dyDescent="0.25">
      <c r="A43" s="504" t="s">
        <v>485</v>
      </c>
      <c r="B43" s="504"/>
      <c r="C43" s="75"/>
      <c r="D43" s="75"/>
      <c r="E43" s="75"/>
      <c r="F43" s="75"/>
      <c r="G43" s="75"/>
      <c r="H43" s="75"/>
      <c r="I43" s="75"/>
      <c r="J43" s="75"/>
      <c r="K43" s="75"/>
      <c r="L43" s="75"/>
    </row>
    <row r="44" spans="1:13" x14ac:dyDescent="0.25">
      <c r="A44" s="312">
        <f>A41</f>
        <v>32</v>
      </c>
      <c r="B44" s="312">
        <f>C44/A44</f>
        <v>63395.239999999991</v>
      </c>
      <c r="C44" s="313">
        <f>C41/9*12</f>
        <v>2028647.6799999997</v>
      </c>
      <c r="D44" s="75"/>
      <c r="E44" s="75"/>
      <c r="F44" s="75"/>
      <c r="G44" s="75"/>
      <c r="H44" s="75"/>
      <c r="I44" s="75"/>
      <c r="J44" s="75"/>
      <c r="K44" s="75"/>
      <c r="L44" s="75"/>
    </row>
    <row r="47" spans="1:13" s="125" customFormat="1" ht="24.75" customHeight="1" x14ac:dyDescent="0.25">
      <c r="A47" s="124" t="s">
        <v>489</v>
      </c>
      <c r="E47" s="126"/>
      <c r="F47" s="126"/>
      <c r="G47" s="126"/>
      <c r="H47" s="126"/>
      <c r="I47" s="126"/>
      <c r="J47" s="126"/>
      <c r="K47" s="126"/>
      <c r="L47" s="127"/>
    </row>
    <row r="48" spans="1:13" s="99" customFormat="1" ht="42" customHeight="1" x14ac:dyDescent="0.2">
      <c r="A48" s="498" t="s">
        <v>465</v>
      </c>
      <c r="B48" s="498" t="s">
        <v>487</v>
      </c>
      <c r="C48" s="500" t="s">
        <v>466</v>
      </c>
      <c r="D48" s="498" t="s">
        <v>467</v>
      </c>
      <c r="E48" s="498"/>
      <c r="F48" s="499" t="s">
        <v>468</v>
      </c>
      <c r="G48" s="499"/>
      <c r="H48" s="500" t="s">
        <v>469</v>
      </c>
      <c r="I48" s="500" t="s">
        <v>470</v>
      </c>
      <c r="J48" s="500" t="s">
        <v>471</v>
      </c>
      <c r="K48" s="500" t="s">
        <v>472</v>
      </c>
      <c r="L48" s="501" t="s">
        <v>490</v>
      </c>
      <c r="M48" s="128"/>
    </row>
    <row r="49" spans="1:13" s="99" customFormat="1" ht="45" x14ac:dyDescent="0.25">
      <c r="A49" s="498"/>
      <c r="B49" s="498"/>
      <c r="C49" s="500"/>
      <c r="D49" s="273" t="s">
        <v>474</v>
      </c>
      <c r="E49" s="295" t="s">
        <v>475</v>
      </c>
      <c r="F49" s="273" t="s">
        <v>474</v>
      </c>
      <c r="G49" s="295" t="s">
        <v>476</v>
      </c>
      <c r="H49" s="500"/>
      <c r="I49" s="500"/>
      <c r="J49" s="500"/>
      <c r="K49" s="500"/>
      <c r="L49" s="501"/>
      <c r="M49" s="129"/>
    </row>
    <row r="50" spans="1:13" s="99" customFormat="1" ht="15" x14ac:dyDescent="0.25">
      <c r="A50" s="274">
        <v>1</v>
      </c>
      <c r="B50" s="275" t="s">
        <v>477</v>
      </c>
      <c r="C50" s="274">
        <v>1</v>
      </c>
      <c r="D50" s="274">
        <v>1</v>
      </c>
      <c r="E50" s="276">
        <v>1</v>
      </c>
      <c r="F50" s="274"/>
      <c r="G50" s="276"/>
      <c r="H50" s="273">
        <f>ROUND((E50*1755)*9,2)</f>
        <v>15795</v>
      </c>
      <c r="I50" s="273">
        <f>H50*0.3</f>
        <v>4738.5</v>
      </c>
      <c r="J50" s="273">
        <f>ROUND((H50+I50)*0.2409,2)</f>
        <v>4946.5200000000004</v>
      </c>
      <c r="K50" s="299">
        <f>3524/12*9</f>
        <v>2643</v>
      </c>
      <c r="L50" s="300">
        <f>SUM(H50:K50)</f>
        <v>28123.02</v>
      </c>
      <c r="M50" s="130"/>
    </row>
    <row r="51" spans="1:13" s="99" customFormat="1" ht="15" x14ac:dyDescent="0.25">
      <c r="A51" s="301">
        <v>2</v>
      </c>
      <c r="B51" s="302" t="s">
        <v>488</v>
      </c>
      <c r="C51" s="301">
        <v>1</v>
      </c>
      <c r="D51" s="295"/>
      <c r="E51" s="295"/>
      <c r="F51" s="273">
        <v>1</v>
      </c>
      <c r="G51" s="303">
        <v>1</v>
      </c>
      <c r="H51" s="273">
        <f>ROUND((G51*810)*9,2)</f>
        <v>7290</v>
      </c>
      <c r="I51" s="273">
        <f t="shared" ref="I51:I53" si="4">H51*0.3</f>
        <v>2187</v>
      </c>
      <c r="J51" s="273">
        <f t="shared" ref="J51:J53" si="5">ROUND((H51+I51)*0.2409,2)</f>
        <v>2283.0100000000002</v>
      </c>
      <c r="K51" s="299">
        <f>3524/12*9</f>
        <v>2643</v>
      </c>
      <c r="L51" s="300">
        <f t="shared" ref="L51:L53" si="6">SUM(H51:K51)</f>
        <v>14403.01</v>
      </c>
      <c r="M51" s="130"/>
    </row>
    <row r="52" spans="1:13" s="99" customFormat="1" ht="30" x14ac:dyDescent="0.25">
      <c r="A52" s="301">
        <v>3</v>
      </c>
      <c r="B52" s="304" t="s">
        <v>479</v>
      </c>
      <c r="C52" s="295">
        <v>1</v>
      </c>
      <c r="D52" s="273">
        <v>1</v>
      </c>
      <c r="E52" s="314">
        <v>0.16669999999999999</v>
      </c>
      <c r="F52" s="273"/>
      <c r="G52" s="303"/>
      <c r="H52" s="273">
        <f>ROUND((E52*1755)*9,2)</f>
        <v>2633.03</v>
      </c>
      <c r="I52" s="273">
        <f t="shared" si="4"/>
        <v>789.90899999999999</v>
      </c>
      <c r="J52" s="273">
        <f t="shared" si="5"/>
        <v>824.59</v>
      </c>
      <c r="K52" s="299">
        <f>(3416/12*9)*E52</f>
        <v>427.08539999999999</v>
      </c>
      <c r="L52" s="300">
        <f t="shared" si="6"/>
        <v>4674.6144000000004</v>
      </c>
      <c r="M52" s="130"/>
    </row>
    <row r="53" spans="1:13" s="99" customFormat="1" ht="15" x14ac:dyDescent="0.25">
      <c r="A53" s="301">
        <v>4</v>
      </c>
      <c r="B53" s="302" t="s">
        <v>480</v>
      </c>
      <c r="C53" s="301">
        <v>1</v>
      </c>
      <c r="D53" s="273">
        <v>1</v>
      </c>
      <c r="E53" s="314">
        <v>0.16669999999999999</v>
      </c>
      <c r="F53" s="273"/>
      <c r="G53" s="303"/>
      <c r="H53" s="273">
        <f>ROUND((E53*1350)*9,2)</f>
        <v>2025.41</v>
      </c>
      <c r="I53" s="273">
        <f t="shared" si="4"/>
        <v>607.62300000000005</v>
      </c>
      <c r="J53" s="273">
        <f t="shared" si="5"/>
        <v>634.29999999999995</v>
      </c>
      <c r="K53" s="299">
        <f>(3416/12*9)*E53</f>
        <v>427.08539999999999</v>
      </c>
      <c r="L53" s="300">
        <f t="shared" si="6"/>
        <v>3694.4184000000005</v>
      </c>
      <c r="M53" s="130"/>
    </row>
    <row r="54" spans="1:13" s="99" customFormat="1" ht="15" x14ac:dyDescent="0.2">
      <c r="A54" s="505" t="s">
        <v>149</v>
      </c>
      <c r="B54" s="505"/>
      <c r="C54" s="311">
        <f t="shared" ref="C54:E54" si="7">SUM(C50:C53)</f>
        <v>4</v>
      </c>
      <c r="D54" s="311">
        <f t="shared" si="7"/>
        <v>3</v>
      </c>
      <c r="E54" s="315">
        <f t="shared" si="7"/>
        <v>1.3334000000000001</v>
      </c>
      <c r="F54" s="311">
        <v>1</v>
      </c>
      <c r="G54" s="311">
        <v>1</v>
      </c>
      <c r="H54" s="309">
        <f t="shared" ref="H54:K54" si="8">H51+H52+H50+H53</f>
        <v>27743.439999999999</v>
      </c>
      <c r="I54" s="309">
        <f t="shared" si="8"/>
        <v>8323.0319999999992</v>
      </c>
      <c r="J54" s="309">
        <f t="shared" si="8"/>
        <v>8688.42</v>
      </c>
      <c r="K54" s="309">
        <f t="shared" si="8"/>
        <v>6140.1707999999999</v>
      </c>
      <c r="L54" s="310">
        <f>L51+L52+L50+L53</f>
        <v>50895.062800000007</v>
      </c>
      <c r="M54" s="131"/>
    </row>
    <row r="55" spans="1:13" s="99" customFormat="1" ht="15" x14ac:dyDescent="0.2">
      <c r="A55" s="132"/>
      <c r="B55" s="132"/>
      <c r="C55" s="132"/>
      <c r="D55" s="132"/>
      <c r="E55" s="132"/>
      <c r="F55" s="132"/>
      <c r="G55" s="132"/>
      <c r="H55" s="132"/>
      <c r="I55" s="132"/>
      <c r="J55" s="132"/>
      <c r="K55" s="132"/>
      <c r="L55" s="132"/>
      <c r="M55" s="133"/>
    </row>
    <row r="56" spans="1:13" s="75" customFormat="1" ht="15" x14ac:dyDescent="0.25">
      <c r="A56" s="97" t="s">
        <v>481</v>
      </c>
    </row>
    <row r="57" spans="1:13" s="75" customFormat="1" ht="15" x14ac:dyDescent="0.25">
      <c r="A57" s="97" t="s">
        <v>482</v>
      </c>
    </row>
    <row r="58" spans="1:13" s="75" customFormat="1" ht="15" x14ac:dyDescent="0.25">
      <c r="A58" s="75" t="s">
        <v>483</v>
      </c>
    </row>
    <row r="59" spans="1:13" s="75" customFormat="1" ht="15" x14ac:dyDescent="0.25">
      <c r="A59" s="75" t="s">
        <v>484</v>
      </c>
    </row>
    <row r="60" spans="1:13" s="99" customFormat="1" ht="15" x14ac:dyDescent="0.25"/>
    <row r="61" spans="1:13" s="99" customFormat="1" ht="15" x14ac:dyDescent="0.25">
      <c r="A61" s="98" t="s">
        <v>500</v>
      </c>
    </row>
    <row r="62" spans="1:13" s="99" customFormat="1" ht="30" x14ac:dyDescent="0.25">
      <c r="A62" s="100" t="s">
        <v>295</v>
      </c>
      <c r="B62" s="100" t="s">
        <v>170</v>
      </c>
      <c r="C62" s="89" t="s">
        <v>296</v>
      </c>
      <c r="D62" s="75"/>
    </row>
    <row r="63" spans="1:13" s="99" customFormat="1" ht="33" customHeight="1" x14ac:dyDescent="0.25">
      <c r="A63" s="74">
        <v>46.2</v>
      </c>
      <c r="B63" s="74">
        <f>L54</f>
        <v>50895.062800000007</v>
      </c>
      <c r="C63" s="311">
        <f>A63*B63</f>
        <v>2351351.9013600005</v>
      </c>
      <c r="D63" s="101"/>
    </row>
    <row r="64" spans="1:13" s="99" customFormat="1" ht="15" x14ac:dyDescent="0.25">
      <c r="A64" s="75"/>
      <c r="B64" s="102"/>
      <c r="C64" s="75"/>
      <c r="D64" s="75"/>
    </row>
    <row r="65" spans="1:40" s="75" customFormat="1" ht="15" x14ac:dyDescent="0.25">
      <c r="A65" s="504" t="s">
        <v>485</v>
      </c>
      <c r="B65" s="504"/>
    </row>
    <row r="66" spans="1:40" s="75" customFormat="1" ht="15" x14ac:dyDescent="0.25">
      <c r="A66" s="312">
        <f>A63</f>
        <v>46.2</v>
      </c>
      <c r="B66" s="312">
        <f>C66/A66</f>
        <v>67860.083733333347</v>
      </c>
      <c r="C66" s="313">
        <f>C63/9*12</f>
        <v>3135135.8684800006</v>
      </c>
    </row>
    <row r="70" spans="1:40" s="97" customFormat="1" x14ac:dyDescent="0.25">
      <c r="A70" s="124" t="s">
        <v>492</v>
      </c>
      <c r="B70" s="99"/>
      <c r="C70" s="99"/>
      <c r="D70" s="99"/>
      <c r="G70" s="134"/>
      <c r="H70" s="134"/>
      <c r="I70" s="134"/>
      <c r="J70" s="134"/>
      <c r="K70" s="134"/>
      <c r="L70" s="134"/>
      <c r="M70" s="134"/>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row>
    <row r="71" spans="1:40" s="97" customFormat="1" ht="46.5" customHeight="1" x14ac:dyDescent="0.25">
      <c r="A71" s="498" t="s">
        <v>465</v>
      </c>
      <c r="B71" s="498"/>
      <c r="C71" s="498" t="s">
        <v>466</v>
      </c>
      <c r="D71" s="498" t="s">
        <v>467</v>
      </c>
      <c r="E71" s="498"/>
      <c r="F71" s="499" t="s">
        <v>468</v>
      </c>
      <c r="G71" s="499"/>
      <c r="H71" s="500" t="s">
        <v>469</v>
      </c>
      <c r="I71" s="500" t="s">
        <v>517</v>
      </c>
      <c r="J71" s="500" t="s">
        <v>471</v>
      </c>
      <c r="K71" s="500" t="s">
        <v>518</v>
      </c>
      <c r="L71" s="501" t="s">
        <v>490</v>
      </c>
    </row>
    <row r="72" spans="1:40" s="97" customFormat="1" ht="59.25" customHeight="1" x14ac:dyDescent="0.25">
      <c r="A72" s="498"/>
      <c r="B72" s="498"/>
      <c r="C72" s="498"/>
      <c r="D72" s="273" t="s">
        <v>474</v>
      </c>
      <c r="E72" s="295" t="s">
        <v>491</v>
      </c>
      <c r="F72" s="273" t="s">
        <v>474</v>
      </c>
      <c r="G72" s="295" t="s">
        <v>476</v>
      </c>
      <c r="H72" s="500"/>
      <c r="I72" s="500"/>
      <c r="J72" s="500"/>
      <c r="K72" s="500"/>
      <c r="L72" s="501"/>
    </row>
    <row r="73" spans="1:40" s="97" customFormat="1" ht="15" x14ac:dyDescent="0.25">
      <c r="A73" s="274">
        <v>1</v>
      </c>
      <c r="B73" s="275" t="s">
        <v>477</v>
      </c>
      <c r="C73" s="274">
        <v>1</v>
      </c>
      <c r="D73" s="274">
        <v>1</v>
      </c>
      <c r="E73" s="276">
        <v>1</v>
      </c>
      <c r="F73" s="274"/>
      <c r="G73" s="276"/>
      <c r="H73" s="273">
        <f>ROUND((E73*1755)*12,2)</f>
        <v>21060</v>
      </c>
      <c r="I73" s="273">
        <f>ROUND(H73*0.3,2)</f>
        <v>6318</v>
      </c>
      <c r="J73" s="273">
        <f>ROUND((H73+I73)*0.2409,2)</f>
        <v>6595.36</v>
      </c>
      <c r="K73" s="277">
        <f>3524</f>
        <v>3524</v>
      </c>
      <c r="L73" s="300">
        <f>SUM(H73:K73)</f>
        <v>37497.360000000001</v>
      </c>
      <c r="P73" s="135"/>
    </row>
    <row r="74" spans="1:40" s="97" customFormat="1" ht="15" x14ac:dyDescent="0.25">
      <c r="A74" s="301">
        <v>2</v>
      </c>
      <c r="B74" s="302" t="s">
        <v>478</v>
      </c>
      <c r="C74" s="301">
        <v>1</v>
      </c>
      <c r="D74" s="275"/>
      <c r="E74" s="275"/>
      <c r="F74" s="273">
        <v>1</v>
      </c>
      <c r="G74" s="303">
        <v>1</v>
      </c>
      <c r="H74" s="273">
        <f>ROUND((G74*810)*12,2)</f>
        <v>9720</v>
      </c>
      <c r="I74" s="273">
        <f t="shared" ref="I74:I76" si="9">ROUND(H74*0.3,2)</f>
        <v>2916</v>
      </c>
      <c r="J74" s="273">
        <f>ROUND((H74+I74)*0.2409,2)</f>
        <v>3044.01</v>
      </c>
      <c r="K74" s="277">
        <f>3524</f>
        <v>3524</v>
      </c>
      <c r="L74" s="300">
        <f t="shared" ref="L74:L76" si="10">SUM(H74:K74)</f>
        <v>19204.010000000002</v>
      </c>
    </row>
    <row r="75" spans="1:40" s="97" customFormat="1" ht="30" x14ac:dyDescent="0.25">
      <c r="A75" s="274">
        <v>3</v>
      </c>
      <c r="B75" s="304" t="s">
        <v>479</v>
      </c>
      <c r="C75" s="295">
        <v>1</v>
      </c>
      <c r="D75" s="273">
        <v>1</v>
      </c>
      <c r="E75" s="316">
        <v>1</v>
      </c>
      <c r="F75" s="273"/>
      <c r="G75" s="303"/>
      <c r="H75" s="273">
        <f>ROUND((E75*1755)*12,2)</f>
        <v>21060</v>
      </c>
      <c r="I75" s="273">
        <f t="shared" si="9"/>
        <v>6318</v>
      </c>
      <c r="J75" s="273">
        <f>ROUND((H75+I75)*0.2409,2)</f>
        <v>6595.36</v>
      </c>
      <c r="K75" s="277">
        <f>(3416)*E75</f>
        <v>3416</v>
      </c>
      <c r="L75" s="300">
        <f t="shared" si="10"/>
        <v>37389.360000000001</v>
      </c>
    </row>
    <row r="76" spans="1:40" s="97" customFormat="1" ht="15" x14ac:dyDescent="0.25">
      <c r="A76" s="301">
        <v>4</v>
      </c>
      <c r="B76" s="304" t="s">
        <v>519</v>
      </c>
      <c r="C76" s="301">
        <v>1</v>
      </c>
      <c r="D76" s="273">
        <v>1</v>
      </c>
      <c r="E76" s="316">
        <v>1</v>
      </c>
      <c r="F76" s="273"/>
      <c r="G76" s="303"/>
      <c r="H76" s="273">
        <f>ROUND((E76*1350)*12,2)</f>
        <v>16200</v>
      </c>
      <c r="I76" s="273">
        <f t="shared" si="9"/>
        <v>4860</v>
      </c>
      <c r="J76" s="273">
        <f>ROUND((H76+I76)*0.2409,2)</f>
        <v>5073.3500000000004</v>
      </c>
      <c r="K76" s="277">
        <f>(3416*E76)</f>
        <v>3416</v>
      </c>
      <c r="L76" s="300">
        <f t="shared" si="10"/>
        <v>29549.35</v>
      </c>
    </row>
    <row r="77" spans="1:40" s="97" customFormat="1" ht="15" x14ac:dyDescent="0.2">
      <c r="A77" s="317"/>
      <c r="B77" s="278" t="s">
        <v>149</v>
      </c>
      <c r="C77" s="318">
        <f t="shared" ref="C77:K77" si="11">C74+C75+C73+C76</f>
        <v>4</v>
      </c>
      <c r="D77" s="318">
        <f t="shared" si="11"/>
        <v>3</v>
      </c>
      <c r="E77" s="319">
        <f t="shared" si="11"/>
        <v>3</v>
      </c>
      <c r="F77" s="318">
        <f t="shared" si="11"/>
        <v>1</v>
      </c>
      <c r="G77" s="318">
        <f t="shared" si="11"/>
        <v>1</v>
      </c>
      <c r="H77" s="320">
        <f t="shared" si="11"/>
        <v>68040</v>
      </c>
      <c r="I77" s="320">
        <f t="shared" si="11"/>
        <v>20412</v>
      </c>
      <c r="J77" s="320">
        <f t="shared" si="11"/>
        <v>21308.080000000002</v>
      </c>
      <c r="K77" s="320">
        <f t="shared" si="11"/>
        <v>13880</v>
      </c>
      <c r="L77" s="322">
        <f>L74+L75+L73+L76</f>
        <v>123640.08000000002</v>
      </c>
    </row>
    <row r="78" spans="1:40" s="75" customFormat="1" ht="15" x14ac:dyDescent="0.25">
      <c r="A78" s="97" t="s">
        <v>481</v>
      </c>
    </row>
    <row r="79" spans="1:40" s="75" customFormat="1" ht="15" x14ac:dyDescent="0.25">
      <c r="A79" s="97" t="s">
        <v>482</v>
      </c>
    </row>
    <row r="80" spans="1:40" s="75" customFormat="1" ht="15" x14ac:dyDescent="0.25">
      <c r="A80" s="75" t="s">
        <v>483</v>
      </c>
    </row>
    <row r="81" spans="1:12" s="75" customFormat="1" ht="15" x14ac:dyDescent="0.25"/>
    <row r="82" spans="1:12" s="97" customFormat="1" ht="30" x14ac:dyDescent="0.25">
      <c r="A82" s="100" t="s">
        <v>295</v>
      </c>
      <c r="B82" s="100" t="s">
        <v>170</v>
      </c>
      <c r="C82" s="89" t="s">
        <v>296</v>
      </c>
      <c r="J82" s="135"/>
    </row>
    <row r="83" spans="1:12" s="97" customFormat="1" ht="15" x14ac:dyDescent="0.25">
      <c r="A83" s="74">
        <v>33</v>
      </c>
      <c r="B83" s="74">
        <f>L77</f>
        <v>123640.08000000002</v>
      </c>
      <c r="C83" s="311">
        <f>A83*B83</f>
        <v>4080122.6400000006</v>
      </c>
    </row>
    <row r="84" spans="1:12" s="97" customFormat="1" ht="15" x14ac:dyDescent="0.25"/>
    <row r="85" spans="1:12" s="97" customFormat="1" ht="15" x14ac:dyDescent="0.25"/>
    <row r="86" spans="1:12" s="97" customFormat="1" x14ac:dyDescent="0.25">
      <c r="A86" s="105" t="s">
        <v>493</v>
      </c>
      <c r="B86" s="103"/>
      <c r="C86" s="103"/>
      <c r="D86" s="103"/>
      <c r="E86" s="103"/>
      <c r="F86" s="103"/>
      <c r="G86" s="103"/>
      <c r="H86" s="103"/>
      <c r="I86" s="103"/>
      <c r="J86" s="103"/>
      <c r="K86" s="103"/>
      <c r="L86" s="104"/>
    </row>
    <row r="87" spans="1:12" s="97" customFormat="1" ht="45" customHeight="1" x14ac:dyDescent="0.25">
      <c r="A87" s="498" t="s">
        <v>465</v>
      </c>
      <c r="B87" s="498" t="s">
        <v>487</v>
      </c>
      <c r="C87" s="500" t="s">
        <v>466</v>
      </c>
      <c r="D87" s="498" t="s">
        <v>467</v>
      </c>
      <c r="E87" s="498"/>
      <c r="F87" s="499" t="s">
        <v>468</v>
      </c>
      <c r="G87" s="499"/>
      <c r="H87" s="500" t="s">
        <v>469</v>
      </c>
      <c r="I87" s="500" t="s">
        <v>517</v>
      </c>
      <c r="J87" s="500" t="s">
        <v>471</v>
      </c>
      <c r="K87" s="500" t="s">
        <v>518</v>
      </c>
      <c r="L87" s="500" t="s">
        <v>473</v>
      </c>
    </row>
    <row r="88" spans="1:12" s="97" customFormat="1" ht="53.25" customHeight="1" x14ac:dyDescent="0.25">
      <c r="A88" s="498"/>
      <c r="B88" s="498"/>
      <c r="C88" s="500"/>
      <c r="D88" s="273" t="s">
        <v>474</v>
      </c>
      <c r="E88" s="295" t="s">
        <v>491</v>
      </c>
      <c r="F88" s="273" t="s">
        <v>474</v>
      </c>
      <c r="G88" s="295" t="s">
        <v>476</v>
      </c>
      <c r="H88" s="500"/>
      <c r="I88" s="500"/>
      <c r="J88" s="500"/>
      <c r="K88" s="500"/>
      <c r="L88" s="500"/>
    </row>
    <row r="89" spans="1:12" s="97" customFormat="1" ht="15" x14ac:dyDescent="0.25">
      <c r="A89" s="274">
        <v>1</v>
      </c>
      <c r="B89" s="275" t="s">
        <v>477</v>
      </c>
      <c r="C89" s="274">
        <v>1</v>
      </c>
      <c r="D89" s="274">
        <v>1</v>
      </c>
      <c r="E89" s="276">
        <v>1</v>
      </c>
      <c r="F89" s="274"/>
      <c r="G89" s="276"/>
      <c r="H89" s="273">
        <f>ROUND((E89*1755)*12,2)</f>
        <v>21060</v>
      </c>
      <c r="I89" s="273">
        <f>ROUND(H89*0.3,2)</f>
        <v>6318</v>
      </c>
      <c r="J89" s="273">
        <f>ROUND((H89+I89)*0.2409,2)</f>
        <v>6595.36</v>
      </c>
      <c r="K89" s="299">
        <f>ROUND(3524*C89,2)</f>
        <v>3524</v>
      </c>
      <c r="L89" s="300">
        <f>SUM(H89:K89)</f>
        <v>37497.360000000001</v>
      </c>
    </row>
    <row r="90" spans="1:12" s="97" customFormat="1" ht="15" x14ac:dyDescent="0.25">
      <c r="A90" s="301">
        <v>2</v>
      </c>
      <c r="B90" s="302" t="s">
        <v>488</v>
      </c>
      <c r="C90" s="301">
        <v>1</v>
      </c>
      <c r="D90" s="295"/>
      <c r="E90" s="295"/>
      <c r="F90" s="273">
        <v>1</v>
      </c>
      <c r="G90" s="303">
        <v>1</v>
      </c>
      <c r="H90" s="273">
        <f>ROUND((G90*810)*12,2)</f>
        <v>9720</v>
      </c>
      <c r="I90" s="273">
        <f t="shared" ref="I90:I92" si="12">ROUND(H90*0.3,2)</f>
        <v>2916</v>
      </c>
      <c r="J90" s="273">
        <f>ROUND((H90+I90)*0.2409,2)</f>
        <v>3044.01</v>
      </c>
      <c r="K90" s="299">
        <f>ROUND(3524*C90,2)</f>
        <v>3524</v>
      </c>
      <c r="L90" s="300">
        <f t="shared" ref="L90:L92" si="13">SUM(H90:K90)</f>
        <v>19204.010000000002</v>
      </c>
    </row>
    <row r="91" spans="1:12" s="97" customFormat="1" ht="30" x14ac:dyDescent="0.25">
      <c r="A91" s="301">
        <v>3</v>
      </c>
      <c r="B91" s="304" t="s">
        <v>479</v>
      </c>
      <c r="C91" s="295">
        <v>1</v>
      </c>
      <c r="D91" s="273">
        <v>1</v>
      </c>
      <c r="E91" s="305">
        <v>0.5</v>
      </c>
      <c r="F91" s="273"/>
      <c r="G91" s="303"/>
      <c r="H91" s="273">
        <f>ROUND((E91*1755)*12,2)</f>
        <v>10530</v>
      </c>
      <c r="I91" s="273">
        <f t="shared" si="12"/>
        <v>3159</v>
      </c>
      <c r="J91" s="273">
        <f>ROUND((H91+I91)*0.2409,2)</f>
        <v>3297.68</v>
      </c>
      <c r="K91" s="299">
        <f>ROUND((3416*E91),2)</f>
        <v>1708</v>
      </c>
      <c r="L91" s="300">
        <f t="shared" si="13"/>
        <v>18694.68</v>
      </c>
    </row>
    <row r="92" spans="1:12" s="97" customFormat="1" ht="15" x14ac:dyDescent="0.25">
      <c r="A92" s="301">
        <v>4</v>
      </c>
      <c r="B92" s="302" t="s">
        <v>480</v>
      </c>
      <c r="C92" s="301">
        <v>1.2</v>
      </c>
      <c r="D92" s="273">
        <v>2</v>
      </c>
      <c r="E92" s="305">
        <v>1.2</v>
      </c>
      <c r="F92" s="273"/>
      <c r="G92" s="303"/>
      <c r="H92" s="273">
        <f>ROUND((E92*1350)*12,2)</f>
        <v>19440</v>
      </c>
      <c r="I92" s="273">
        <f t="shared" si="12"/>
        <v>5832</v>
      </c>
      <c r="J92" s="273">
        <f>ROUND((H92+I92)*0.2409,2)</f>
        <v>6088.02</v>
      </c>
      <c r="K92" s="299">
        <f>ROUND((3416*E92),2)</f>
        <v>4099.2</v>
      </c>
      <c r="L92" s="300">
        <f t="shared" si="13"/>
        <v>35459.22</v>
      </c>
    </row>
    <row r="93" spans="1:12" s="97" customFormat="1" ht="15" x14ac:dyDescent="0.2">
      <c r="A93" s="505" t="s">
        <v>149</v>
      </c>
      <c r="B93" s="505"/>
      <c r="C93" s="321">
        <f>SUM(C89:C92)</f>
        <v>4.2</v>
      </c>
      <c r="D93" s="321">
        <f t="shared" ref="D93:G93" si="14">SUM(D89:D92)</f>
        <v>4</v>
      </c>
      <c r="E93" s="321">
        <f>SUM(E89:E92)</f>
        <v>2.7</v>
      </c>
      <c r="F93" s="321">
        <f t="shared" si="14"/>
        <v>1</v>
      </c>
      <c r="G93" s="321">
        <f t="shared" si="14"/>
        <v>1</v>
      </c>
      <c r="H93" s="309">
        <f t="shared" ref="H93:K93" si="15">H90+H91+H89+H92</f>
        <v>60750</v>
      </c>
      <c r="I93" s="309">
        <f t="shared" si="15"/>
        <v>18225</v>
      </c>
      <c r="J93" s="309">
        <f t="shared" si="15"/>
        <v>19025.07</v>
      </c>
      <c r="K93" s="309">
        <f t="shared" si="15"/>
        <v>12855.2</v>
      </c>
      <c r="L93" s="310">
        <f>L90+L91+L89+L92</f>
        <v>110855.27</v>
      </c>
    </row>
    <row r="94" spans="1:12" s="75" customFormat="1" ht="15" x14ac:dyDescent="0.25">
      <c r="A94" s="97" t="s">
        <v>481</v>
      </c>
    </row>
    <row r="95" spans="1:12" s="75" customFormat="1" ht="15" x14ac:dyDescent="0.25">
      <c r="A95" s="97" t="s">
        <v>482</v>
      </c>
    </row>
    <row r="96" spans="1:12" s="75" customFormat="1" ht="15" x14ac:dyDescent="0.25">
      <c r="A96" s="75" t="s">
        <v>483</v>
      </c>
    </row>
    <row r="97" spans="1:12" s="75" customFormat="1" ht="15" x14ac:dyDescent="0.25"/>
    <row r="98" spans="1:12" s="97" customFormat="1" ht="30" x14ac:dyDescent="0.25">
      <c r="A98" s="100" t="s">
        <v>295</v>
      </c>
      <c r="B98" s="100" t="s">
        <v>170</v>
      </c>
      <c r="C98" s="89" t="s">
        <v>296</v>
      </c>
      <c r="D98" s="99"/>
      <c r="E98" s="99"/>
      <c r="F98" s="99"/>
      <c r="G98" s="99"/>
      <c r="H98" s="99"/>
      <c r="I98" s="99"/>
      <c r="J98" s="99"/>
      <c r="K98" s="99"/>
      <c r="L98" s="99"/>
    </row>
    <row r="99" spans="1:12" s="97" customFormat="1" ht="15" x14ac:dyDescent="0.25">
      <c r="A99" s="74">
        <v>49</v>
      </c>
      <c r="B99" s="74">
        <f>L93</f>
        <v>110855.27</v>
      </c>
      <c r="C99" s="311">
        <f>A99*B99</f>
        <v>5431908.2300000004</v>
      </c>
      <c r="D99" s="99"/>
      <c r="E99" s="99"/>
      <c r="F99" s="99"/>
      <c r="G99" s="99"/>
      <c r="H99" s="99"/>
      <c r="I99" s="99"/>
      <c r="J99" s="99"/>
      <c r="K99" s="99"/>
      <c r="L99" s="99"/>
    </row>
  </sheetData>
  <mergeCells count="52">
    <mergeCell ref="A93:B93"/>
    <mergeCell ref="K71:K72"/>
    <mergeCell ref="L71:L72"/>
    <mergeCell ref="A87:A88"/>
    <mergeCell ref="B87:B88"/>
    <mergeCell ref="C87:C88"/>
    <mergeCell ref="D87:E87"/>
    <mergeCell ref="F87:G87"/>
    <mergeCell ref="H87:H88"/>
    <mergeCell ref="I87:I88"/>
    <mergeCell ref="J87:J88"/>
    <mergeCell ref="K87:K88"/>
    <mergeCell ref="L87:L88"/>
    <mergeCell ref="D71:E71"/>
    <mergeCell ref="F71:G71"/>
    <mergeCell ref="H71:H72"/>
    <mergeCell ref="I71:I72"/>
    <mergeCell ref="J71:J72"/>
    <mergeCell ref="A54:B54"/>
    <mergeCell ref="A65:B65"/>
    <mergeCell ref="A71:A72"/>
    <mergeCell ref="B71:B72"/>
    <mergeCell ref="C71:C72"/>
    <mergeCell ref="L48:L49"/>
    <mergeCell ref="A25:A26"/>
    <mergeCell ref="B25:B26"/>
    <mergeCell ref="F48:G48"/>
    <mergeCell ref="H48:H49"/>
    <mergeCell ref="I48:I49"/>
    <mergeCell ref="J48:J49"/>
    <mergeCell ref="K48:K49"/>
    <mergeCell ref="A43:B43"/>
    <mergeCell ref="A48:A49"/>
    <mergeCell ref="B48:B49"/>
    <mergeCell ref="C48:C49"/>
    <mergeCell ref="D48:E48"/>
    <mergeCell ref="A2:L2"/>
    <mergeCell ref="C25:C26"/>
    <mergeCell ref="D25:E25"/>
    <mergeCell ref="F25:G25"/>
    <mergeCell ref="H25:H26"/>
    <mergeCell ref="I25:I26"/>
    <mergeCell ref="J25:J26"/>
    <mergeCell ref="K25:K26"/>
    <mergeCell ref="L25:L26"/>
    <mergeCell ref="A19:F19"/>
    <mergeCell ref="A4:G4"/>
    <mergeCell ref="E10:E11"/>
    <mergeCell ref="F10:F11"/>
    <mergeCell ref="E16:E17"/>
    <mergeCell ref="F16:F17"/>
    <mergeCell ref="A6:F6"/>
  </mergeCells>
  <pageMargins left="0.7" right="0.7" top="0.75" bottom="0.75" header="0.3" footer="0.3"/>
  <pageSetup paperSize="9" scale="43" orientation="portrait" r:id="rId1"/>
  <rowBreaks count="1" manualBreakCount="1">
    <brk id="69"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zoomScale="90" zoomScaleNormal="90" workbookViewId="0">
      <selection activeCell="A13" sqref="A13:E14"/>
    </sheetView>
  </sheetViews>
  <sheetFormatPr defaultColWidth="9.140625" defaultRowHeight="15.75" x14ac:dyDescent="0.25"/>
  <cols>
    <col min="1" max="1" width="20.28515625" style="5" customWidth="1"/>
    <col min="2" max="2" width="23.85546875" style="5" customWidth="1"/>
    <col min="3" max="3" width="15.28515625" style="5" customWidth="1"/>
    <col min="4" max="4" width="15" style="5" bestFit="1" customWidth="1"/>
    <col min="5" max="5" width="15.7109375" style="5" bestFit="1" customWidth="1"/>
    <col min="6" max="6" width="13.140625" style="5" customWidth="1"/>
    <col min="7" max="7" width="16.7109375" style="5" customWidth="1"/>
    <col min="8" max="8" width="12.5703125" style="5" customWidth="1"/>
    <col min="9" max="9" width="15" style="5" customWidth="1"/>
    <col min="10" max="10" width="14.85546875" style="5" customWidth="1"/>
    <col min="11" max="11" width="17.140625" style="5" customWidth="1"/>
    <col min="12" max="12" width="15.28515625" style="5" customWidth="1"/>
    <col min="13" max="16384" width="9.140625" style="5"/>
  </cols>
  <sheetData>
    <row r="1" spans="1:12" x14ac:dyDescent="0.25">
      <c r="L1" s="39" t="s">
        <v>180</v>
      </c>
    </row>
    <row r="2" spans="1:12" ht="28.5" customHeight="1" x14ac:dyDescent="0.25">
      <c r="A2" s="509" t="s">
        <v>181</v>
      </c>
      <c r="B2" s="509"/>
      <c r="C2" s="509"/>
      <c r="D2" s="509"/>
      <c r="E2" s="509"/>
      <c r="F2" s="509"/>
      <c r="G2" s="509"/>
      <c r="H2" s="509"/>
      <c r="I2" s="509"/>
      <c r="J2" s="509"/>
      <c r="K2" s="509"/>
      <c r="L2" s="509"/>
    </row>
    <row r="4" spans="1:12" s="16" customFormat="1" x14ac:dyDescent="0.25">
      <c r="A4" s="482" t="s">
        <v>220</v>
      </c>
      <c r="B4" s="482"/>
      <c r="C4" s="482"/>
      <c r="D4" s="482"/>
      <c r="E4" s="482"/>
      <c r="F4" s="482"/>
      <c r="G4" s="482"/>
      <c r="H4" s="49"/>
      <c r="I4" s="49"/>
    </row>
    <row r="5" spans="1:12" s="16" customFormat="1" x14ac:dyDescent="0.25">
      <c r="A5" s="55" t="s">
        <v>221</v>
      </c>
      <c r="B5" s="55"/>
      <c r="C5" s="55"/>
      <c r="D5" s="55"/>
      <c r="E5" s="55"/>
      <c r="F5" s="55"/>
      <c r="G5" s="55"/>
      <c r="H5" s="49"/>
      <c r="I5" s="49"/>
    </row>
    <row r="7" spans="1:12" s="65" customFormat="1" ht="31.5" customHeight="1" x14ac:dyDescent="0.25">
      <c r="A7" s="514" t="s">
        <v>299</v>
      </c>
      <c r="B7" s="514"/>
      <c r="C7" s="514"/>
      <c r="D7" s="514"/>
      <c r="E7" s="514"/>
    </row>
    <row r="8" spans="1:12" x14ac:dyDescent="0.25">
      <c r="A8" s="60" t="s">
        <v>300</v>
      </c>
      <c r="B8" s="10"/>
      <c r="C8" s="10"/>
    </row>
    <row r="9" spans="1:12" ht="31.5" x14ac:dyDescent="0.25">
      <c r="A9" s="61" t="s">
        <v>295</v>
      </c>
      <c r="B9" s="280" t="s">
        <v>407</v>
      </c>
      <c r="C9" s="20" t="s">
        <v>296</v>
      </c>
    </row>
    <row r="10" spans="1:12" x14ac:dyDescent="0.25">
      <c r="A10" s="62">
        <v>1.5</v>
      </c>
      <c r="B10" s="62">
        <v>123640.08</v>
      </c>
      <c r="C10" s="43">
        <f>ROUND(A10*B10,0)</f>
        <v>185460</v>
      </c>
    </row>
    <row r="11" spans="1:12" x14ac:dyDescent="0.25">
      <c r="A11" s="289" t="s">
        <v>496</v>
      </c>
      <c r="B11" s="289"/>
      <c r="C11" s="290"/>
    </row>
    <row r="13" spans="1:12" s="65" customFormat="1" x14ac:dyDescent="0.25">
      <c r="A13" s="514" t="s">
        <v>298</v>
      </c>
      <c r="B13" s="514"/>
      <c r="C13" s="514"/>
      <c r="D13" s="514"/>
      <c r="E13" s="514"/>
    </row>
    <row r="14" spans="1:12" s="47" customFormat="1" x14ac:dyDescent="0.25">
      <c r="A14" s="514"/>
      <c r="B14" s="514"/>
      <c r="C14" s="514"/>
      <c r="D14" s="514"/>
      <c r="E14" s="514"/>
    </row>
    <row r="15" spans="1:12" x14ac:dyDescent="0.25">
      <c r="A15" s="511" t="s">
        <v>301</v>
      </c>
      <c r="B15" s="511"/>
      <c r="C15" s="511"/>
      <c r="D15" s="511"/>
      <c r="E15" s="511"/>
    </row>
    <row r="16" spans="1:12" ht="31.5" x14ac:dyDescent="0.25">
      <c r="A16" s="61" t="s">
        <v>295</v>
      </c>
      <c r="B16" s="280" t="s">
        <v>407</v>
      </c>
      <c r="C16" s="20" t="s">
        <v>296</v>
      </c>
    </row>
    <row r="17" spans="1:12" x14ac:dyDescent="0.25">
      <c r="A17" s="62">
        <v>2.5</v>
      </c>
      <c r="B17" s="62">
        <v>110855.27</v>
      </c>
      <c r="C17" s="43">
        <f>ROUND(A17*B17,0)</f>
        <v>277138</v>
      </c>
    </row>
    <row r="18" spans="1:12" x14ac:dyDescent="0.25">
      <c r="A18" s="289" t="s">
        <v>496</v>
      </c>
    </row>
    <row r="19" spans="1:12" x14ac:dyDescent="0.25">
      <c r="A19" s="289"/>
    </row>
    <row r="20" spans="1:12" s="47" customFormat="1" ht="33.75" customHeight="1" x14ac:dyDescent="0.25">
      <c r="A20" s="510" t="s">
        <v>373</v>
      </c>
      <c r="B20" s="510"/>
      <c r="C20" s="510"/>
      <c r="D20" s="510"/>
      <c r="E20" s="510"/>
    </row>
    <row r="21" spans="1:12" ht="31.5" x14ac:dyDescent="0.25">
      <c r="A21" s="61" t="s">
        <v>295</v>
      </c>
      <c r="B21" s="280" t="s">
        <v>498</v>
      </c>
      <c r="C21" s="20" t="s">
        <v>296</v>
      </c>
    </row>
    <row r="22" spans="1:12" x14ac:dyDescent="0.25">
      <c r="A22" s="63">
        <v>9</v>
      </c>
      <c r="B22" s="62">
        <v>75689.38</v>
      </c>
      <c r="C22" s="43">
        <f>ROUND(A22*B22,0)</f>
        <v>681204</v>
      </c>
    </row>
    <row r="23" spans="1:12" x14ac:dyDescent="0.25">
      <c r="A23" s="5" t="s">
        <v>497</v>
      </c>
    </row>
    <row r="25" spans="1:12" x14ac:dyDescent="0.25">
      <c r="A25" s="513" t="s">
        <v>297</v>
      </c>
      <c r="B25" s="513"/>
      <c r="C25" s="513"/>
      <c r="D25" s="513"/>
      <c r="E25" s="513"/>
    </row>
    <row r="26" spans="1:12" ht="21.75" customHeight="1" x14ac:dyDescent="0.25">
      <c r="A26" s="512">
        <f>C10+C17+C22</f>
        <v>1143802</v>
      </c>
      <c r="B26" s="512"/>
      <c r="C26" s="512"/>
      <c r="D26" s="40"/>
    </row>
    <row r="27" spans="1:12" x14ac:dyDescent="0.25">
      <c r="A27" s="40"/>
    </row>
    <row r="28" spans="1:12" x14ac:dyDescent="0.25">
      <c r="A28" s="325" t="s">
        <v>522</v>
      </c>
    </row>
    <row r="29" spans="1:12" s="10" customFormat="1" ht="45.75" customHeight="1" x14ac:dyDescent="0.25">
      <c r="A29" s="507" t="s">
        <v>465</v>
      </c>
      <c r="B29" s="507" t="s">
        <v>487</v>
      </c>
      <c r="C29" s="506" t="s">
        <v>466</v>
      </c>
      <c r="D29" s="507" t="s">
        <v>467</v>
      </c>
      <c r="E29" s="507"/>
      <c r="F29" s="508" t="s">
        <v>468</v>
      </c>
      <c r="G29" s="508"/>
      <c r="H29" s="506" t="s">
        <v>508</v>
      </c>
      <c r="I29" s="506" t="s">
        <v>513</v>
      </c>
      <c r="J29" s="506" t="s">
        <v>471</v>
      </c>
      <c r="K29" s="506" t="s">
        <v>515</v>
      </c>
      <c r="L29" s="506" t="s">
        <v>473</v>
      </c>
    </row>
    <row r="30" spans="1:12" s="10" customFormat="1" ht="56.25" customHeight="1" x14ac:dyDescent="0.25">
      <c r="A30" s="507"/>
      <c r="B30" s="507"/>
      <c r="C30" s="506"/>
      <c r="D30" s="281" t="s">
        <v>474</v>
      </c>
      <c r="E30" s="293" t="s">
        <v>491</v>
      </c>
      <c r="F30" s="281" t="s">
        <v>474</v>
      </c>
      <c r="G30" s="293" t="s">
        <v>476</v>
      </c>
      <c r="H30" s="506"/>
      <c r="I30" s="506"/>
      <c r="J30" s="506"/>
      <c r="K30" s="506"/>
      <c r="L30" s="506"/>
    </row>
    <row r="31" spans="1:12" s="10" customFormat="1" x14ac:dyDescent="0.25">
      <c r="A31" s="282">
        <v>1</v>
      </c>
      <c r="B31" s="283" t="s">
        <v>509</v>
      </c>
      <c r="C31" s="282">
        <v>1</v>
      </c>
      <c r="D31" s="282">
        <v>1</v>
      </c>
      <c r="E31" s="294">
        <v>1</v>
      </c>
      <c r="F31" s="282"/>
      <c r="G31" s="284"/>
      <c r="H31" s="281">
        <f>ROUND((E31*1755)*12,2)</f>
        <v>21060</v>
      </c>
      <c r="I31" s="281">
        <f>ROUND(H31*0.3,2)</f>
        <v>6318</v>
      </c>
      <c r="J31" s="281">
        <f>ROUND((H31+I31)*0.2409,2)</f>
        <v>6595.36</v>
      </c>
      <c r="K31" s="122">
        <f>3524</f>
        <v>3524</v>
      </c>
      <c r="L31" s="292">
        <f>SUM(H31:K31)</f>
        <v>37497.360000000001</v>
      </c>
    </row>
    <row r="32" spans="1:12" s="10" customFormat="1" x14ac:dyDescent="0.25">
      <c r="A32" s="282">
        <v>2</v>
      </c>
      <c r="B32" s="283" t="s">
        <v>510</v>
      </c>
      <c r="C32" s="282">
        <v>1</v>
      </c>
      <c r="D32" s="285"/>
      <c r="E32" s="285"/>
      <c r="F32" s="282">
        <v>1</v>
      </c>
      <c r="G32" s="294">
        <v>1</v>
      </c>
      <c r="H32" s="281">
        <f>ROUND((G32*810)*12,2)</f>
        <v>9720</v>
      </c>
      <c r="I32" s="281">
        <f t="shared" ref="I32:I33" si="0">ROUND(H32*0.3,2)</f>
        <v>2916</v>
      </c>
      <c r="J32" s="281">
        <f>ROUND((H32+I32)*0.2409,2)</f>
        <v>3044.01</v>
      </c>
      <c r="K32" s="122">
        <v>3416</v>
      </c>
      <c r="L32" s="292">
        <f t="shared" ref="L32:L33" si="1">SUM(H32:K32)</f>
        <v>19096.010000000002</v>
      </c>
    </row>
    <row r="33" spans="1:12" s="10" customFormat="1" x14ac:dyDescent="0.25">
      <c r="A33" s="282">
        <v>3</v>
      </c>
      <c r="B33" s="283" t="s">
        <v>511</v>
      </c>
      <c r="C33" s="282">
        <v>1</v>
      </c>
      <c r="D33" s="282"/>
      <c r="E33" s="284"/>
      <c r="F33" s="282">
        <v>1</v>
      </c>
      <c r="G33" s="294">
        <v>1</v>
      </c>
      <c r="H33" s="281">
        <f>ROUND((G33*810)*12,2)</f>
        <v>9720</v>
      </c>
      <c r="I33" s="281">
        <f t="shared" si="0"/>
        <v>2916</v>
      </c>
      <c r="J33" s="281">
        <f>ROUND((H33+I33)*0.2409,2)</f>
        <v>3044.01</v>
      </c>
      <c r="K33" s="122">
        <f>3416</f>
        <v>3416</v>
      </c>
      <c r="L33" s="292">
        <f t="shared" si="1"/>
        <v>19096.010000000002</v>
      </c>
    </row>
    <row r="34" spans="1:12" s="10" customFormat="1" x14ac:dyDescent="0.25">
      <c r="A34" s="282"/>
      <c r="B34" s="286" t="s">
        <v>149</v>
      </c>
      <c r="C34" s="287">
        <f>C31+C32+C33</f>
        <v>3</v>
      </c>
      <c r="D34" s="287">
        <f>SUM(D31:D33)</f>
        <v>1</v>
      </c>
      <c r="E34" s="287">
        <f t="shared" ref="E34:G34" si="2">SUM(E31:E33)</f>
        <v>1</v>
      </c>
      <c r="F34" s="287">
        <f t="shared" si="2"/>
        <v>2</v>
      </c>
      <c r="G34" s="287">
        <f t="shared" si="2"/>
        <v>2</v>
      </c>
      <c r="H34" s="288">
        <f t="shared" ref="H34:K34" si="3">H31+H32+H33</f>
        <v>40500</v>
      </c>
      <c r="I34" s="288">
        <f t="shared" si="3"/>
        <v>12150</v>
      </c>
      <c r="J34" s="288">
        <f t="shared" si="3"/>
        <v>12683.38</v>
      </c>
      <c r="K34" s="288">
        <f t="shared" si="3"/>
        <v>10356</v>
      </c>
      <c r="L34" s="291">
        <f>L31+L32+L33</f>
        <v>75689.38</v>
      </c>
    </row>
    <row r="35" spans="1:12" x14ac:dyDescent="0.25">
      <c r="A35" s="5" t="s">
        <v>512</v>
      </c>
    </row>
    <row r="36" spans="1:12" s="106" customFormat="1" x14ac:dyDescent="0.25">
      <c r="A36" s="97" t="s">
        <v>514</v>
      </c>
      <c r="B36" s="75"/>
      <c r="C36" s="75"/>
      <c r="D36" s="75"/>
      <c r="E36" s="75"/>
      <c r="F36" s="75"/>
      <c r="G36" s="75"/>
      <c r="H36" s="75"/>
      <c r="I36" s="75"/>
      <c r="J36" s="75"/>
      <c r="K36" s="75"/>
      <c r="L36" s="75"/>
    </row>
    <row r="37" spans="1:12" s="106" customFormat="1" x14ac:dyDescent="0.25">
      <c r="A37" s="75" t="s">
        <v>516</v>
      </c>
      <c r="B37" s="75"/>
      <c r="C37" s="75"/>
      <c r="D37" s="75"/>
      <c r="E37" s="75"/>
      <c r="F37" s="75"/>
      <c r="G37" s="75"/>
      <c r="H37" s="75"/>
      <c r="I37" s="75"/>
      <c r="J37" s="75"/>
      <c r="K37" s="75"/>
      <c r="L37" s="75"/>
    </row>
  </sheetData>
  <mergeCells count="18">
    <mergeCell ref="A2:L2"/>
    <mergeCell ref="A20:E20"/>
    <mergeCell ref="A15:E15"/>
    <mergeCell ref="A26:C26"/>
    <mergeCell ref="A25:E25"/>
    <mergeCell ref="A4:G4"/>
    <mergeCell ref="A7:E7"/>
    <mergeCell ref="A13:E14"/>
    <mergeCell ref="A29:A30"/>
    <mergeCell ref="B29:B30"/>
    <mergeCell ref="C29:C30"/>
    <mergeCell ref="D29:E29"/>
    <mergeCell ref="F29:G29"/>
    <mergeCell ref="H29:H30"/>
    <mergeCell ref="I29:I30"/>
    <mergeCell ref="J29:J30"/>
    <mergeCell ref="K29:K30"/>
    <mergeCell ref="L29:L30"/>
  </mergeCells>
  <pageMargins left="0.7" right="0.7" top="0.75" bottom="0.75" header="0.3" footer="0.3"/>
  <pageSetup paperSize="9"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zoomScaleNormal="100" workbookViewId="0">
      <selection activeCell="E14" sqref="E14"/>
    </sheetView>
  </sheetViews>
  <sheetFormatPr defaultColWidth="9.140625" defaultRowHeight="15.75" x14ac:dyDescent="0.25"/>
  <cols>
    <col min="1" max="1" width="26.42578125" style="106" customWidth="1"/>
    <col min="2" max="2" width="17.85546875" style="106" customWidth="1"/>
    <col min="3" max="3" width="22.7109375" style="106" customWidth="1"/>
    <col min="4" max="4" width="21.7109375" style="106" customWidth="1"/>
    <col min="5" max="5" width="23.28515625" style="106" customWidth="1"/>
    <col min="6" max="6" width="11" style="106" customWidth="1"/>
    <col min="7" max="8" width="9.140625" style="106"/>
    <col min="9" max="9" width="11.85546875" style="106" customWidth="1"/>
    <col min="10" max="10" width="9.140625" style="106"/>
    <col min="11" max="11" width="12.5703125" style="106" customWidth="1"/>
    <col min="12" max="16384" width="9.140625" style="106"/>
  </cols>
  <sheetData>
    <row r="1" spans="1:9" x14ac:dyDescent="0.25">
      <c r="E1" s="137" t="s">
        <v>102</v>
      </c>
    </row>
    <row r="2" spans="1:9" ht="35.450000000000003" customHeight="1" x14ac:dyDescent="0.25">
      <c r="A2" s="476" t="s">
        <v>92</v>
      </c>
      <c r="B2" s="476"/>
      <c r="C2" s="476"/>
      <c r="D2" s="476"/>
      <c r="E2" s="476"/>
      <c r="F2" s="138"/>
    </row>
    <row r="3" spans="1:9" x14ac:dyDescent="0.25">
      <c r="A3" s="180"/>
    </row>
    <row r="4" spans="1:9" s="109" customFormat="1" x14ac:dyDescent="0.25">
      <c r="A4" s="474" t="s">
        <v>220</v>
      </c>
      <c r="B4" s="474"/>
      <c r="C4" s="474"/>
      <c r="D4" s="474"/>
      <c r="E4" s="474"/>
      <c r="F4" s="474"/>
      <c r="G4" s="474"/>
      <c r="H4" s="108"/>
      <c r="I4" s="108"/>
    </row>
    <row r="5" spans="1:9" s="109" customFormat="1" x14ac:dyDescent="0.25">
      <c r="A5" s="110" t="s">
        <v>221</v>
      </c>
      <c r="B5" s="110"/>
      <c r="C5" s="110"/>
      <c r="D5" s="110"/>
      <c r="E5" s="110"/>
      <c r="F5" s="110"/>
      <c r="G5" s="110"/>
      <c r="H5" s="108"/>
      <c r="I5" s="108"/>
    </row>
    <row r="6" spans="1:9" s="109" customFormat="1" ht="50.25" customHeight="1" x14ac:dyDescent="0.25">
      <c r="A6" s="497" t="s">
        <v>429</v>
      </c>
      <c r="B6" s="497"/>
      <c r="C6" s="497"/>
      <c r="D6" s="497"/>
      <c r="E6" s="497"/>
      <c r="F6" s="72"/>
      <c r="G6" s="111"/>
      <c r="H6" s="108"/>
      <c r="I6" s="108"/>
    </row>
    <row r="7" spans="1:9" s="109" customFormat="1" ht="17.25" customHeight="1" x14ac:dyDescent="0.25">
      <c r="A7" s="416"/>
      <c r="B7" s="416"/>
      <c r="C7" s="416"/>
      <c r="D7" s="416"/>
      <c r="E7" s="416"/>
      <c r="F7" s="72"/>
      <c r="G7" s="111"/>
      <c r="H7" s="415"/>
      <c r="I7" s="415"/>
    </row>
    <row r="8" spans="1:9" x14ac:dyDescent="0.25">
      <c r="A8" s="417" t="s">
        <v>574</v>
      </c>
    </row>
    <row r="9" spans="1:9" ht="63.75" customHeight="1" x14ac:dyDescent="0.25">
      <c r="A9" s="113" t="s">
        <v>54</v>
      </c>
      <c r="B9" s="113" t="s">
        <v>428</v>
      </c>
      <c r="C9" s="113" t="s">
        <v>229</v>
      </c>
      <c r="D9" s="113" t="s">
        <v>401</v>
      </c>
    </row>
    <row r="10" spans="1:9" ht="31.5" x14ac:dyDescent="0.25">
      <c r="A10" s="113" t="s">
        <v>79</v>
      </c>
      <c r="B10" s="113">
        <v>40</v>
      </c>
      <c r="C10" s="113" t="s">
        <v>80</v>
      </c>
      <c r="D10" s="116">
        <v>83594</v>
      </c>
    </row>
    <row r="12" spans="1:9" x14ac:dyDescent="0.25">
      <c r="A12" s="106" t="s">
        <v>587</v>
      </c>
      <c r="F12" s="114"/>
    </row>
    <row r="13" spans="1:9" ht="63" x14ac:dyDescent="0.25">
      <c r="A13" s="113" t="s">
        <v>54</v>
      </c>
      <c r="B13" s="113" t="s">
        <v>428</v>
      </c>
      <c r="C13" s="113" t="s">
        <v>229</v>
      </c>
      <c r="D13" s="113" t="s">
        <v>218</v>
      </c>
    </row>
    <row r="14" spans="1:9" ht="31.5" x14ac:dyDescent="0.25">
      <c r="A14" s="113" t="s">
        <v>79</v>
      </c>
      <c r="B14" s="113">
        <v>80</v>
      </c>
      <c r="C14" s="115">
        <v>2641.59</v>
      </c>
      <c r="D14" s="433">
        <f>B14*C14</f>
        <v>211327.2</v>
      </c>
    </row>
  </sheetData>
  <mergeCells count="3">
    <mergeCell ref="A4:G4"/>
    <mergeCell ref="A2:E2"/>
    <mergeCell ref="A6:E6"/>
  </mergeCell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17</vt:i4>
      </vt:variant>
    </vt:vector>
  </HeadingPairs>
  <TitlesOfParts>
    <vt:vector size="44" baseType="lpstr">
      <vt:lpstr>Kopsavilkums</vt:lpstr>
      <vt:lpstr>1.1.</vt:lpstr>
      <vt:lpstr>1.2.</vt:lpstr>
      <vt:lpstr>1.3.</vt:lpstr>
      <vt:lpstr>1.4.</vt:lpstr>
      <vt:lpstr>1.5.</vt:lpstr>
      <vt:lpstr>1.6.</vt:lpstr>
      <vt:lpstr>1.7.</vt:lpstr>
      <vt:lpstr>1.8.</vt:lpstr>
      <vt:lpstr>1.9.</vt:lpstr>
      <vt:lpstr>1.11.</vt:lpstr>
      <vt:lpstr>2.1.</vt:lpstr>
      <vt:lpstr>2.2.</vt:lpstr>
      <vt:lpstr>2.3.</vt:lpstr>
      <vt:lpstr>2.4.</vt:lpstr>
      <vt:lpstr>2.6.</vt:lpstr>
      <vt:lpstr>3.1.</vt:lpstr>
      <vt:lpstr>3.2.</vt:lpstr>
      <vt:lpstr>3.3.</vt:lpstr>
      <vt:lpstr>3.4.</vt:lpstr>
      <vt:lpstr>3.5.</vt:lpstr>
      <vt:lpstr>3.6.</vt:lpstr>
      <vt:lpstr>3.7</vt:lpstr>
      <vt:lpstr>4.1.</vt:lpstr>
      <vt:lpstr>4.2.</vt:lpstr>
      <vt:lpstr>4.3.</vt:lpstr>
      <vt:lpstr>4.4.</vt:lpstr>
      <vt:lpstr>'1.1.'!Print_Area</vt:lpstr>
      <vt:lpstr>'1.2.'!Print_Area</vt:lpstr>
      <vt:lpstr>'1.4.'!Print_Area</vt:lpstr>
      <vt:lpstr>'1.5.'!Print_Area</vt:lpstr>
      <vt:lpstr>'1.6.'!Print_Area</vt:lpstr>
      <vt:lpstr>'1.7.'!Print_Area</vt:lpstr>
      <vt:lpstr>'1.8.'!Print_Area</vt:lpstr>
      <vt:lpstr>'2.4.'!Print_Area</vt:lpstr>
      <vt:lpstr>'2.6.'!Print_Area</vt:lpstr>
      <vt:lpstr>'3.4.'!Print_Area</vt:lpstr>
      <vt:lpstr>'3.5.'!Print_Area</vt:lpstr>
      <vt:lpstr>'3.6.'!Print_Area</vt:lpstr>
      <vt:lpstr>'4.1.'!Print_Area</vt:lpstr>
      <vt:lpstr>'4.2.'!Print_Area</vt:lpstr>
      <vt:lpstr>'4.4.'!Print_Area</vt:lpstr>
      <vt:lpstr>Kopsavilkums!Print_Area</vt:lpstr>
      <vt:lpstr>Kopsavilkums!Print_Titles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Psihiskās veselības aprūpes pieejamības uzlabošanas plāns 2019.-2020.gadam</dc:title>
  <dc:subject>Plāna pielikums</dc:subject>
  <dc:creator>Svetlana Batare</dc:creator>
  <dc:description>Batare, 67876042 _x000d_
Svetlana.Batare@vm.gov.lv</dc:description>
  <cp:lastModifiedBy>Svetlana Batare</cp:lastModifiedBy>
  <cp:lastPrinted>2019-03-08T07:30:02Z</cp:lastPrinted>
  <dcterms:created xsi:type="dcterms:W3CDTF">2016-11-03T07:26:23Z</dcterms:created>
  <dcterms:modified xsi:type="dcterms:W3CDTF">2019-06-03T08:35:36Z</dcterms:modified>
</cp:coreProperties>
</file>