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3" activeTab="0"/>
  </bookViews>
  <sheets>
    <sheet name="Saturs" sheetId="1" r:id="rId1"/>
    <sheet name="4.1.1.1." sheetId="2" r:id="rId2"/>
    <sheet name="4.1.1.2.1." sheetId="3" r:id="rId3"/>
    <sheet name="4.1.1.2.2." sheetId="4" r:id="rId4"/>
    <sheet name="4.1.1.3." sheetId="5" r:id="rId5"/>
    <sheet name="4.1.1.4." sheetId="6" r:id="rId6"/>
    <sheet name="4.1.1.5." sheetId="7" r:id="rId7"/>
    <sheet name="4.1.1.6." sheetId="8" r:id="rId8"/>
    <sheet name="4.1.2.1." sheetId="9" r:id="rId9"/>
    <sheet name="4.1.2.2." sheetId="10" r:id="rId10"/>
    <sheet name="4.1.2.3." sheetId="11" r:id="rId11"/>
    <sheet name="4.1.2.4." sheetId="12" r:id="rId12"/>
    <sheet name="4.1.2.5." sheetId="13" r:id="rId13"/>
    <sheet name="4.2.1." sheetId="14" r:id="rId14"/>
    <sheet name="4.3.1.1." sheetId="15" r:id="rId15"/>
    <sheet name="4.3.1.2." sheetId="16" r:id="rId16"/>
    <sheet name="4.3.1.3." sheetId="17" r:id="rId17"/>
    <sheet name="4.3.1.4." sheetId="18" r:id="rId18"/>
    <sheet name="4.3.1.5." sheetId="19" r:id="rId19"/>
    <sheet name="4.3.1.6." sheetId="20" r:id="rId20"/>
    <sheet name="4.3.1.7." sheetId="21" r:id="rId21"/>
    <sheet name="4.3.1.8." sheetId="22" r:id="rId22"/>
    <sheet name="4.3.1.9." sheetId="23" r:id="rId23"/>
    <sheet name="4.3.1.10." sheetId="24" r:id="rId24"/>
    <sheet name="4.3.2.1." sheetId="25" r:id="rId25"/>
    <sheet name="4.3.2.2." sheetId="26" r:id="rId26"/>
    <sheet name="4.3.2.3." sheetId="27" r:id="rId27"/>
    <sheet name="4.3.2.4." sheetId="28" r:id="rId28"/>
    <sheet name="4.3.2.5." sheetId="29" r:id="rId29"/>
    <sheet name="4.3.2.6." sheetId="30" r:id="rId30"/>
    <sheet name="4.3.2.7." sheetId="31" r:id="rId31"/>
    <sheet name="4.3.2.8." sheetId="32" r:id="rId32"/>
    <sheet name="4.3.2.9." sheetId="33" r:id="rId33"/>
    <sheet name="4.3.2.10." sheetId="34" r:id="rId34"/>
  </sheets>
  <definedNames/>
  <calcPr fullCalcOnLoad="1"/>
</workbook>
</file>

<file path=xl/sharedStrings.xml><?xml version="1.0" encoding="utf-8"?>
<sst xmlns="http://schemas.openxmlformats.org/spreadsheetml/2006/main" count="2723" uniqueCount="199">
  <si>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</si>
  <si>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</si>
  <si>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</si>
  <si>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</si>
  <si>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</si>
  <si>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</si>
  <si>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</si>
  <si>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</si>
  <si>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</si>
  <si>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</si>
  <si>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</si>
  <si>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</si>
  <si>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</si>
  <si>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</si>
  <si>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</si>
  <si>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</si>
  <si>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</si>
  <si>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</si>
  <si>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</si>
  <si>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</si>
  <si>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</si>
  <si>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</si>
  <si>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</si>
  <si>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</si>
  <si>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</si>
  <si>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</si>
  <si>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</si>
  <si>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</si>
  <si>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</si>
  <si>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</si>
  <si>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</si>
  <si>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</si>
  <si>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</si>
  <si>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</si>
  <si>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</si>
  <si>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</si>
  <si>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</si>
  <si>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</si>
  <si>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</si>
  <si>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</si>
  <si>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</si>
  <si>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</si>
  <si>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</si>
  <si>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</si>
  <si>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</si>
  <si>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</si>
  <si>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</si>
  <si>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</si>
  <si>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</si>
  <si>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4. Rehabilitācijas pakalpojumi</t>
  </si>
  <si>
    <t xml:space="preserve">Bezdarbnieku stipendijas </t>
  </si>
  <si>
    <t>Stipendijas</t>
  </si>
  <si>
    <t>4.2. Citi pakalpojumi</t>
  </si>
  <si>
    <t>SASKAŅOTS</t>
  </si>
  <si>
    <t xml:space="preserve">                                                                   (amats)    (vārds, uzvārds)    (paraksts)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</si>
  <si>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</si>
  <si>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</si>
  <si>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</si>
  <si>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Sociālās integrācijas valsts aģentūras</t>
  </si>
  <si>
    <t>sākotnējās ietekmes novērtējuma ziņojumam (anotācijai)</t>
  </si>
  <si>
    <t>Satura rādītājs</t>
  </si>
  <si>
    <t>Izmaksu apjoms noteiktā laikposmā viena maksas pakalpojuma veida nodrošināšanai (2014)</t>
  </si>
  <si>
    <t>Izmaksu apjoms noteiktā laikposmā viena maksas pakalpojuma veida nodrošināšanai (2014.gada II.pusgads)</t>
  </si>
  <si>
    <t xml:space="preserve">Maksas pakalpojuma vienību skaits noteiktā laikposmā </t>
  </si>
  <si>
    <t>Maksas pakalpojuma izcenojums (euro)</t>
  </si>
  <si>
    <t>4.1.1.1.</t>
  </si>
  <si>
    <t>4.1.1.3.</t>
  </si>
  <si>
    <t>4.1.1.4.</t>
  </si>
  <si>
    <t>4.1.1.6.</t>
  </si>
  <si>
    <t>4.1.1.5.</t>
  </si>
  <si>
    <t>4.1.2.1.</t>
  </si>
  <si>
    <t>4.1.2.2.</t>
  </si>
  <si>
    <t>4.1.2.3.</t>
  </si>
  <si>
    <t>4.1.2.4.</t>
  </si>
  <si>
    <t>4.1.2.5.</t>
  </si>
  <si>
    <t>4.1. Rehabilitācijas kurss  Dubultu prospektā 71, Jūrmalā,</t>
  </si>
  <si>
    <t>4.1.1. Rehabilitācijas kurss  Dubultu prospektā 71, 2.korpuss, Jūrmalā</t>
  </si>
  <si>
    <t>4.1.2. Rehabilitācijas kurss  Dubultu prospektā 71, 1.korpuss, Jūrmalā</t>
  </si>
  <si>
    <t>Aprēķinu sastādīja: SIVA Finanšu nodaļas vecākā finanšu ekonomiste Anita Ozoliņa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</si>
  <si>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</si>
  <si>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</si>
  <si>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</si>
  <si>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Izmaksu apjoms noteiktā laikposmā viena maksas pakalpojuma veida nodrošināšanai (2014.gada)</t>
  </si>
  <si>
    <t xml:space="preserve">Izmaksu apjoms noteiktā laikposmā viena maksas pakalpojuma veida nodrošināšanai </t>
  </si>
  <si>
    <t xml:space="preserve">Maksas pakalpojuma izcenojums (euro) </t>
  </si>
  <si>
    <t>Prognozētie ieņēmumi gadā (euro)*</t>
  </si>
  <si>
    <t xml:space="preserve">Prognozētie ieņēmumi gadā (euro)* </t>
  </si>
  <si>
    <t>direktore I.Jurševska</t>
  </si>
  <si>
    <t>2017. gada    .novembrī</t>
  </si>
  <si>
    <t>4.1.1.2.1.</t>
  </si>
  <si>
    <t>4.1.1.2.2.</t>
  </si>
  <si>
    <t xml:space="preserve"> Atalgojums</t>
  </si>
  <si>
    <t xml:space="preserve"> Darba devēja valsts sociālās apdrošināšanas obligātās iemaksas, sociāla rakstura pabalsti un kompensācijas</t>
  </si>
  <si>
    <t xml:space="preserve"> Apdrošināšanas izdevumi</t>
  </si>
  <si>
    <t xml:space="preserve"> Informācijas sistēmas uzturēšana</t>
  </si>
  <si>
    <t xml:space="preserve"> Pārējie informācijas tehnoloģiju pakalpojumi</t>
  </si>
  <si>
    <t xml:space="preserve"> Informācijas sistēmas licenču nomas izdevumi</t>
  </si>
  <si>
    <t xml:space="preserve"> Budžeta iestāžu dabas resursu nodokļa maksājumi</t>
  </si>
  <si>
    <t xml:space="preserve"> Mācību, darba un dienesta komandējumi, dienesta, darba braucieni</t>
  </si>
  <si>
    <t xml:space="preserve"> Bezdarbnieku stipendijas </t>
  </si>
  <si>
    <t>4.2.1.</t>
  </si>
  <si>
    <t>4.2.1. Piemaksa par uzturēšanos vienvietīgā numurā personai, kura saņem sociālās rehabilitācijas pakalpojumus par valsts budžeta līdzekļiem</t>
  </si>
  <si>
    <t>4.3. Veselības veicināšanas programmas</t>
  </si>
  <si>
    <t>4.3.1. Dubultu prospektā 71, 2.korpuss, Jūrmalā</t>
  </si>
  <si>
    <t>4.3.1.1.</t>
  </si>
  <si>
    <t>4.3.1.3.</t>
  </si>
  <si>
    <t>4.3.1.2.</t>
  </si>
  <si>
    <t>4.3.1.4.</t>
  </si>
  <si>
    <t>4.3.1.5.</t>
  </si>
  <si>
    <t>4.3.1.6.</t>
  </si>
  <si>
    <t>4.3.1.7.</t>
  </si>
  <si>
    <t>4.3.1.8.</t>
  </si>
  <si>
    <t>4.3.1.9.</t>
  </si>
  <si>
    <t>4.3.1.10.</t>
  </si>
  <si>
    <t>4.3.2. Dubultu prospektā 71, 1.korpuss, Jūrmalā</t>
  </si>
  <si>
    <t>4.3.2.1.</t>
  </si>
  <si>
    <t xml:space="preserve">Rehabilitācijas kurss Dubultu prospektā 71, Jūrmalā, 2.korpuss (viena vieta vienvietīgā numurā) </t>
  </si>
  <si>
    <t xml:space="preserve">Rehabilitācijas kurss Dubultu prospektā 71, Jūrmalā, 2.korpuss (viena vieta vienvietīgā pielāgotā  numurā) </t>
  </si>
  <si>
    <t xml:space="preserve">Rehabilitācijas kurss Dubultu prospektā 71, Jūrmalā, 2.korpuss (viena vieta divvietīgā pielāgotā  numurā) </t>
  </si>
  <si>
    <t>Rehabilitācijas kurss Dubultu prospektā 71, Jūrmalā, 2.korpuss (viena vieta divvietīgā  numurā)</t>
  </si>
  <si>
    <t xml:space="preserve">Rehabilitācijas kurss Dubultu prospektā 71, Jūrmalā, 2.korpuss (viena vieta divvietīgā divistabu numurā) </t>
  </si>
  <si>
    <t xml:space="preserve">Rehabilitācijas kurss Dubultu prospektā 71, Jūrmalā, 2.korpuss bērnam no 2 līdz 14 gadu vecumam (papildus gultasvieta) </t>
  </si>
  <si>
    <t xml:space="preserve">Rehabilitācijas kurss Dubultu prospektā 71, Jūrmala, 2.korpuss,  programma Harmonija (viena vieta divvietīgā  numurā) </t>
  </si>
  <si>
    <t xml:space="preserve">Rehabilitācijas kurss Dubultu prospektā 71, Jūrmalā, 1.korpuss ( viena vieta vienvietīgā  numurā) </t>
  </si>
  <si>
    <t xml:space="preserve">Rehabilitācijas kurss Dubultu prospektā 71, Jūrmalā, 1.korpuss ( viena vieta divvietīgā  numurā) </t>
  </si>
  <si>
    <t xml:space="preserve"> Rehabilitācijas kurss Dubultu prospektā 71,Jūrmalā, 1.korpuss  (viena vieta divvietīgā divistabu numurā) </t>
  </si>
  <si>
    <t xml:space="preserve">Rehabilitācijas kurss Dubultu prospektā 71, Jūrmalā, 1.korpuss  bērnam no 2 līdz 14 gadu vecumam (papildus gultasvieta)  </t>
  </si>
  <si>
    <t xml:space="preserve">Rehabilitācijas kurss Dubultu prospektā 71, Jūrmalā, 1.korpuss programma Harmonija (viena vieta divvietīgā   numurā) </t>
  </si>
  <si>
    <t xml:space="preserve">Programma "Muguras veselība" Dubultu prospektā 71, Jūrmalā, 2.korpuss (viena vieta vienvietīgā  numurā) </t>
  </si>
  <si>
    <t xml:space="preserve">Programma "Muguras veselība" Dubultu prospektā 71, Jūrmalā, 2.korpuss  (viena vieta divvietīgā  numurā) </t>
  </si>
  <si>
    <t xml:space="preserve">Programma "Muguras veselība" Dubultu prospektā 71, Jūrmalā, 1.korpuss (viena vieta vienvietīgā  numurā) </t>
  </si>
  <si>
    <t xml:space="preserve">Programma "Muguras veselība" Dubultu prospektā 71, Jūrmalā, 1.korpuss  (viena vieta divvietīgā  numurā) </t>
  </si>
  <si>
    <t>4.3.2.2.</t>
  </si>
  <si>
    <t xml:space="preserve">Programma "Relaksācija" Dubultu prospektā 71, Jūrmalā, 2.korpuss (viena vieta vienvietīgā  numurā) </t>
  </si>
  <si>
    <t xml:space="preserve">Programma "Relaksācija" Dubultu prospektā 71, Jūrmalā, 2.korpuss  (viena vieta divvietīgā  numurā) </t>
  </si>
  <si>
    <t>4.3.2.3.</t>
  </si>
  <si>
    <t>4.3.2.4.</t>
  </si>
  <si>
    <t xml:space="preserve">Programma "Relaksācija" Dubultu prospektā 71, Jūrmalā, 1.korpuss (viena vieta vienvietīgā  numurā) </t>
  </si>
  <si>
    <t xml:space="preserve">Programma "Relaksācija" Dubultu prospektā 71, Jūrmalā, 1.korpuss  (viena vieta divvietīgā  numurā) </t>
  </si>
  <si>
    <t xml:space="preserve">Programma "Restartē darba spējas"  Dubultu prospektā 71, Jūrmalā, 2.korpuss (viena vieta vienvietīgā  numurā) </t>
  </si>
  <si>
    <t xml:space="preserve">Programma "Restartē darba spējas" Dubultu prospektā 71, Jūrmalā, 2.korpuss  (viena vieta divvietīgā  numurā) </t>
  </si>
  <si>
    <t xml:space="preserve">Programma "Restartē darba spējas"  Dubultu prospektā 71, Jūrmalā, 1.korpuss (viena vieta vienvietīgā  numurā) </t>
  </si>
  <si>
    <t xml:space="preserve">Programma "Restartē darba spējas" Dubultu prospektā 71, Jūrmalā, 1.korpuss  (viena vieta divvietīgā  numurā) </t>
  </si>
  <si>
    <t>4.3.2.9.</t>
  </si>
  <si>
    <t>4.3.2.10.</t>
  </si>
  <si>
    <t>4.3.2.7.</t>
  </si>
  <si>
    <t>4.3.2.8.</t>
  </si>
  <si>
    <t xml:space="preserve">Programma "Vitalitāte" Dubultu prospektā 71, Jūrmalā, 2.korpuss (viena vieta vienvietīgā  numurā) </t>
  </si>
  <si>
    <t xml:space="preserve">Programma "Vitalitāte"  Dubultu prospektā 71, Jūrmalā, 2.korpuss (viena vieta divvietīgā  numurā) </t>
  </si>
  <si>
    <t>4.3.2.5.</t>
  </si>
  <si>
    <t>4.3.2.6.</t>
  </si>
  <si>
    <t xml:space="preserve">Programma "Vitalitāte" Dubultu prospektā 71, Jūrmalā, 1.korpuss (viena vieta vienvietīgā  numurā) </t>
  </si>
  <si>
    <t xml:space="preserve">Programma "Vitalitāte"  Dubultu prospektā 71, Jūrmalā, 1.korpuss (viena vieta divvietīgā  numurā) </t>
  </si>
  <si>
    <t xml:space="preserve">4.3.1.2. Programma "Muguras veselība", 5 dienu kurss (viena vieta divvietīgā  numurā) </t>
  </si>
  <si>
    <t xml:space="preserve">4.3.1.1. Programma "Muguras veselība", 5 dienu kurss (viena vieta vienvietīgā  numurā) </t>
  </si>
  <si>
    <t xml:space="preserve">4.3.1.3. Programma "Relaksācija", 5 dienu kurss (viena vieta vienvietīgā  numurā) </t>
  </si>
  <si>
    <t xml:space="preserve">4.3.1.5. Programma "Vitalitāte", 7 dienu kurss (viena vieta vienvietīgā  numurā) </t>
  </si>
  <si>
    <t xml:space="preserve">4.3.1.6. Programma "Vitalitāte", 7 dienu kurss (viena vieta divvietīgā  numurā) </t>
  </si>
  <si>
    <t xml:space="preserve">4.3.1.9. Programma "Restartē darba spējas", 3 dienu kurss (viena vieta vienvietīgā  numurā) </t>
  </si>
  <si>
    <t xml:space="preserve">4.3.1.10. Programma "Restartē darba spējas", 3 dienu kurss (viena vieta divvietīgā  numurā) </t>
  </si>
  <si>
    <t xml:space="preserve">4.3.2.1. Programma "Muguras veselība", 5 dienu kurss  (viena vieta vienvietīgā  numurā) </t>
  </si>
  <si>
    <t xml:space="preserve">4.3.2.2. Programma "Muguras veselība", 5 dienu kurss (viena vieta divvietīgā  numurā) </t>
  </si>
  <si>
    <t xml:space="preserve">4.3.2.3. Programma "Relaksācija", 5 dienu kurss (viena vieta vienvietīgā  numurā) </t>
  </si>
  <si>
    <t xml:space="preserve">4.3.2.4.Programma "Relaksācija", 5 dienu kurss  (viena vieta divvietīgā  numurā) </t>
  </si>
  <si>
    <t xml:space="preserve">4.3.2.5. Programma "Vitalitāte", 7 dienu kurss (viena vieta vienvietīgā  numurā) </t>
  </si>
  <si>
    <t xml:space="preserve">4.3.2.9. Programma "Restartē darba spējas", 3 dienu kurss (viena vieta vienvietīgā  numurā) </t>
  </si>
  <si>
    <t xml:space="preserve">4.3.2.10. Programma "Restartē darba spējas", 3 dienu kurss (viena vieta divvietīgā  numurā) </t>
  </si>
  <si>
    <t xml:space="preserve">4.3.2.6. Programma "Vitalitāte", 7 dienu kurss  (viena vieta divvietīgā  numurā) </t>
  </si>
  <si>
    <t xml:space="preserve">4.3.1.4. Programma "Relaksācija", 5 dienu kurss  (viena vieta divvietīgā  numurā) </t>
  </si>
  <si>
    <t xml:space="preserve">4.1.1.1. Rehabilitācijas kurss (viena vieta vienvietīgā  numurā) </t>
  </si>
  <si>
    <t>4.1.1.2. Rehabilitācijas kurss pielāgotā numurā</t>
  </si>
  <si>
    <t xml:space="preserve">4.1.1.2.1. Viena vieta vienvietīgā pielāgotā  numurā </t>
  </si>
  <si>
    <t xml:space="preserve">4.1.1.2.2. Viena vieta divvietīgā pielāgotā numurā </t>
  </si>
  <si>
    <t xml:space="preserve">4.1.1.3. Rehabilitācijas kurss (viena vieta divvietīgā  numurā) </t>
  </si>
  <si>
    <t xml:space="preserve">4.1.1.4. Rehabilitācijas kurss (viena vieta divvietīgā divistabu numurā) </t>
  </si>
  <si>
    <t>4.1.1.5. Rehabilitācijas kurss bērnam no 2 līdz 14 gadu vecumam (papildus gultasvieta)</t>
  </si>
  <si>
    <t>4.1.1.6. Rehabilitācijas programma Harmonija (viena vieta divvietīgā numurā)</t>
  </si>
  <si>
    <t xml:space="preserve">4.1.2.1. Rehabilitācijas kurss  (viena vieta vienvietīgā  numurā) </t>
  </si>
  <si>
    <t xml:space="preserve">4.1.2.2. Rehabilitācijas kurss  (viena vieta divvietīgā  numurā) </t>
  </si>
  <si>
    <t xml:space="preserve">4.1.2.3. Rehabilitācijas kurss  (viena vieta divvietīgā divistabu numurā) </t>
  </si>
  <si>
    <t>4.1.2.4. Rehabilitācijas kurss bērnam no 2 līdz 14 gadu vecumam (papildus gultasvieta)</t>
  </si>
  <si>
    <t>4.1.2.5. Rehabilitācijas programma Harmonija (viena vieta divvietīgā  numurā)</t>
  </si>
  <si>
    <t xml:space="preserve">4.3.1.7. Programma "Organisma attīrīšanas kūre", 10 dienu kurss  (viena vieta vienvietīgā  numurā) </t>
  </si>
  <si>
    <t xml:space="preserve">4.3.1.8. Programma "Organisma attīrīšanas kūre", 10 dienu kurss  (viena vieta divvietīgā  numurā) </t>
  </si>
  <si>
    <t xml:space="preserve">4.3.2.7. Programma "Organisma attīrīšanas kūre", 10 dienu kurss (viena vieta vienvietīgā  numurā) </t>
  </si>
  <si>
    <t xml:space="preserve">4.3.2.8. Programma "Organisma attīrīšanas kūre", 10 dienu kurss (viena vieta divvietīgā  numurā) </t>
  </si>
  <si>
    <t>(amats)   (Vārds, Uzvārds)  (paraksts)</t>
  </si>
  <si>
    <t>2.pielikums</t>
  </si>
  <si>
    <t>Rehabilitāciajs pakalpojumi</t>
  </si>
  <si>
    <t>Piemaksa par uzturēšanos vienvietīgā numurā personai, kura saņem sociālās rehabilitācijas pakalpojumus par valsts budžeta līdzekļiem</t>
  </si>
  <si>
    <t xml:space="preserve">Programma "Organisma attīrīšanas kūre" Dubultu prospektā 71, Jūrmalā, 2.korpuss (viena vieta vienvietīgā  numurā) </t>
  </si>
  <si>
    <t xml:space="preserve">Programma "Organisma attīrīšanas kūre" Dubultu prospektā 71, Jūrmalā, 2.korpuss (viena vieta divvietīgā  numurā) </t>
  </si>
  <si>
    <t xml:space="preserve">Programma "Organisma attīrīšanas kūre" Dubultu prospektā 71, Jūrmalā, 1.korpuss (viena vieta vienvietīgā  numurā) </t>
  </si>
  <si>
    <t xml:space="preserve">Programma "Organisma attīrīšanas kūre" Dubultu prospektā 71, Jūrmalā, 1.korpuss (viena vieta divvietīgā  numurā) </t>
  </si>
  <si>
    <t>2019.gadā un turpmāk</t>
  </si>
  <si>
    <t xml:space="preserve"> </t>
  </si>
  <si>
    <t>direktores p.i. G.Apele</t>
  </si>
  <si>
    <t>2019. gada 15. martā</t>
  </si>
  <si>
    <t>2019. gada  15. martā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</si>
</sst>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  <numFmt numFmtId="189" formatCode="0.0000000000000"/>
    <numFmt numFmtId="190" formatCode="0.00000000000000"/>
    <numFmt numFmtId="191" formatCode="0.000000000000000"/>
    <numFmt numFmtId="192" formatCode="_-* #,##0.0000_-;\-* #,##0.0000_-;_-* &quot;-&quot;????_-;_-@_-"/>
  </numFmts>
  <fonts count="4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1" xfId="56" applyFont="1" applyBorder="1" applyAlignment="1">
      <alignment wrapText="1"/>
      <protection/>
    </xf>
    <xf numFmtId="0" fontId="4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>
      <alignment/>
      <protection/>
    </xf>
    <xf numFmtId="0" fontId="4" fillId="0" borderId="10" xfId="56" applyFont="1" applyBorder="1" applyAlignment="1">
      <alignment wrapText="1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10" xfId="56" applyFont="1" applyBorder="1" applyAlignment="1">
      <alignment vertical="top"/>
      <protection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34" borderId="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0" fontId="4" fillId="34" borderId="10" xfId="56" applyFont="1" applyFill="1" applyBorder="1">
      <alignment/>
      <protection/>
    </xf>
    <xf numFmtId="0" fontId="4" fillId="34" borderId="0" xfId="56" applyFont="1" applyFill="1">
      <alignment/>
      <protection/>
    </xf>
    <xf numFmtId="0" fontId="4" fillId="34" borderId="0" xfId="56" applyFont="1" applyFill="1" applyBorder="1">
      <alignment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4" fillId="0" borderId="11" xfId="56" applyFont="1" applyBorder="1" applyAlignment="1">
      <alignment vertical="top" wrapText="1"/>
      <protection/>
    </xf>
    <xf numFmtId="2" fontId="4" fillId="0" borderId="0" xfId="0" applyNumberFormat="1" applyFont="1" applyBorder="1" applyAlignment="1">
      <alignment horizontal="center" vertical="top"/>
    </xf>
    <xf numFmtId="2" fontId="4" fillId="0" borderId="11" xfId="56" applyNumberFormat="1" applyFont="1" applyBorder="1" applyAlignment="1">
      <alignment wrapText="1"/>
      <protection/>
    </xf>
    <xf numFmtId="0" fontId="4" fillId="0" borderId="10" xfId="56" applyFont="1" applyBorder="1" applyAlignment="1">
      <alignment horizontal="center"/>
      <protection/>
    </xf>
    <xf numFmtId="0" fontId="6" fillId="0" borderId="0" xfId="0" applyFont="1" applyAlignment="1">
      <alignment/>
    </xf>
    <xf numFmtId="0" fontId="4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0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43" fontId="0" fillId="0" borderId="0" xfId="0" applyNumberFormat="1" applyAlignment="1">
      <alignment/>
    </xf>
    <xf numFmtId="2" fontId="4" fillId="0" borderId="0" xfId="56" applyNumberFormat="1" applyFont="1">
      <alignment/>
      <protection/>
    </xf>
    <xf numFmtId="2" fontId="1" fillId="0" borderId="0" xfId="56" applyNumberFormat="1" applyFont="1">
      <alignment/>
      <protection/>
    </xf>
    <xf numFmtId="2" fontId="6" fillId="0" borderId="0" xfId="0" applyNumberFormat="1" applyFont="1" applyAlignment="1">
      <alignment/>
    </xf>
    <xf numFmtId="0" fontId="4" fillId="34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vertical="top" wrapText="1"/>
      <protection/>
    </xf>
    <xf numFmtId="0" fontId="4" fillId="0" borderId="11" xfId="56" applyFont="1" applyBorder="1" applyAlignment="1">
      <alignment vertical="top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0" xfId="56" applyFont="1" applyAlignment="1">
      <alignment wrapText="1"/>
      <protection/>
    </xf>
    <xf numFmtId="0" fontId="4" fillId="0" borderId="11" xfId="56" applyFont="1" applyBorder="1" applyAlignment="1">
      <alignment wrapText="1"/>
      <protection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Layout" zoomScale="90" zoomScalePageLayoutView="90" workbookViewId="0" topLeftCell="B1">
      <selection activeCell="N26" sqref="N26"/>
    </sheetView>
  </sheetViews>
  <sheetFormatPr defaultColWidth="9.140625" defaultRowHeight="12.75"/>
  <cols>
    <col min="1" max="1" width="0" style="0" hidden="1" customWidth="1"/>
    <col min="2" max="2" width="9.421875" style="0" customWidth="1"/>
    <col min="9" max="9" width="23.140625" style="0" customWidth="1"/>
    <col min="10" max="10" width="9.140625" style="0" customWidth="1"/>
  </cols>
  <sheetData>
    <row r="1" spans="1:18" ht="15.75">
      <c r="A1" s="62"/>
      <c r="B1" s="62"/>
      <c r="C1" s="136" t="s">
        <v>187</v>
      </c>
      <c r="D1" s="136"/>
      <c r="E1" s="136"/>
      <c r="F1" s="136"/>
      <c r="G1" s="136"/>
      <c r="H1" s="136"/>
      <c r="I1" s="136"/>
      <c r="J1" s="136"/>
      <c r="K1" s="12"/>
      <c r="L1" s="12"/>
      <c r="M1" s="12"/>
      <c r="N1" s="12"/>
      <c r="O1" s="12"/>
      <c r="P1" s="12"/>
      <c r="Q1" s="12"/>
      <c r="R1" s="12"/>
    </row>
    <row r="2" spans="1:18" ht="15.75">
      <c r="A2" s="62"/>
      <c r="B2" s="136" t="s">
        <v>79</v>
      </c>
      <c r="C2" s="136"/>
      <c r="D2" s="136"/>
      <c r="E2" s="136"/>
      <c r="F2" s="136"/>
      <c r="G2" s="136"/>
      <c r="H2" s="136"/>
      <c r="I2" s="136"/>
      <c r="J2" s="136"/>
      <c r="K2" s="12"/>
      <c r="L2" s="12"/>
      <c r="M2" s="12"/>
      <c r="N2" s="12"/>
      <c r="O2" s="12"/>
      <c r="P2" s="12"/>
      <c r="Q2" s="12"/>
      <c r="R2" s="12"/>
    </row>
    <row r="3" spans="1:18" ht="15.75">
      <c r="A3" s="136" t="s">
        <v>80</v>
      </c>
      <c r="B3" s="136"/>
      <c r="C3" s="136"/>
      <c r="D3" s="136"/>
      <c r="E3" s="136"/>
      <c r="F3" s="136"/>
      <c r="G3" s="136"/>
      <c r="H3" s="136"/>
      <c r="I3" s="136"/>
      <c r="J3" s="136"/>
      <c r="K3" s="12"/>
      <c r="L3" s="12"/>
      <c r="M3" s="12"/>
      <c r="N3" s="12"/>
      <c r="O3" s="12"/>
      <c r="P3" s="12"/>
      <c r="Q3" s="12"/>
      <c r="R3" s="12"/>
    </row>
    <row r="4" spans="1:18" ht="15.75" customHeight="1">
      <c r="A4" s="62"/>
      <c r="B4" s="136" t="s">
        <v>81</v>
      </c>
      <c r="C4" s="136"/>
      <c r="D4" s="136"/>
      <c r="E4" s="136"/>
      <c r="F4" s="136"/>
      <c r="G4" s="136"/>
      <c r="H4" s="136"/>
      <c r="I4" s="136"/>
      <c r="J4" s="136"/>
      <c r="K4" s="12"/>
      <c r="L4" s="12"/>
      <c r="M4" s="12"/>
      <c r="N4" s="12"/>
      <c r="O4" s="12"/>
      <c r="P4" s="12"/>
      <c r="Q4" s="12"/>
      <c r="R4" s="12"/>
    </row>
    <row r="5" spans="1:18" ht="12.75" customHeight="1">
      <c r="A5" s="62"/>
      <c r="B5" s="62"/>
      <c r="C5" s="62"/>
      <c r="D5" s="62"/>
      <c r="E5" s="17"/>
      <c r="F5" s="136" t="s">
        <v>59</v>
      </c>
      <c r="G5" s="136"/>
      <c r="H5" s="136"/>
      <c r="I5" s="136"/>
      <c r="J5" s="136"/>
      <c r="K5" s="12"/>
      <c r="L5" s="12"/>
      <c r="M5" s="12"/>
      <c r="N5" s="12"/>
      <c r="O5" s="12"/>
      <c r="P5" s="12"/>
      <c r="Q5" s="12"/>
      <c r="R5" s="12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10" ht="18.75">
      <c r="A7" s="3"/>
      <c r="B7" s="138" t="s">
        <v>60</v>
      </c>
      <c r="C7" s="138"/>
      <c r="D7" s="138"/>
      <c r="E7" s="138"/>
      <c r="F7" s="138"/>
      <c r="G7" s="138"/>
      <c r="H7" s="138"/>
      <c r="I7" s="138"/>
      <c r="J7" s="138"/>
    </row>
    <row r="8" spans="1:10" ht="14.25">
      <c r="A8" s="3"/>
      <c r="B8" s="125">
        <v>4</v>
      </c>
      <c r="C8" s="122" t="s">
        <v>188</v>
      </c>
      <c r="D8" s="122"/>
      <c r="E8" s="122"/>
      <c r="F8" s="122"/>
      <c r="G8" s="11"/>
      <c r="H8" s="11"/>
      <c r="I8" s="11"/>
      <c r="J8" s="11"/>
    </row>
    <row r="9" spans="1:10" ht="18.75" customHeight="1">
      <c r="A9" s="3"/>
      <c r="B9" s="123" t="s">
        <v>65</v>
      </c>
      <c r="C9" s="137" t="s">
        <v>116</v>
      </c>
      <c r="D9" s="137"/>
      <c r="E9" s="137"/>
      <c r="F9" s="137"/>
      <c r="G9" s="137"/>
      <c r="H9" s="137"/>
      <c r="I9" s="137"/>
      <c r="J9" s="137"/>
    </row>
    <row r="10" spans="1:10" ht="15" customHeight="1">
      <c r="A10" s="3"/>
      <c r="B10" s="123" t="s">
        <v>89</v>
      </c>
      <c r="C10" s="137" t="s">
        <v>117</v>
      </c>
      <c r="D10" s="137"/>
      <c r="E10" s="137"/>
      <c r="F10" s="137"/>
      <c r="G10" s="137"/>
      <c r="H10" s="137"/>
      <c r="I10" s="137"/>
      <c r="J10" s="137"/>
    </row>
    <row r="11" spans="1:10" ht="14.25" customHeight="1">
      <c r="A11" s="3"/>
      <c r="B11" s="123" t="s">
        <v>90</v>
      </c>
      <c r="C11" s="137" t="s">
        <v>118</v>
      </c>
      <c r="D11" s="137"/>
      <c r="E11" s="137"/>
      <c r="F11" s="137"/>
      <c r="G11" s="137"/>
      <c r="H11" s="137"/>
      <c r="I11" s="137"/>
      <c r="J11" s="137"/>
    </row>
    <row r="12" spans="1:10" ht="18.75" customHeight="1">
      <c r="A12" s="3"/>
      <c r="B12" s="123" t="s">
        <v>66</v>
      </c>
      <c r="C12" s="137" t="s">
        <v>119</v>
      </c>
      <c r="D12" s="137"/>
      <c r="E12" s="137"/>
      <c r="F12" s="137"/>
      <c r="G12" s="137"/>
      <c r="H12" s="137"/>
      <c r="I12" s="137"/>
      <c r="J12" s="137"/>
    </row>
    <row r="13" spans="1:10" ht="18" customHeight="1">
      <c r="A13" s="3"/>
      <c r="B13" s="123" t="s">
        <v>67</v>
      </c>
      <c r="C13" s="137" t="s">
        <v>120</v>
      </c>
      <c r="D13" s="137"/>
      <c r="E13" s="137"/>
      <c r="F13" s="137"/>
      <c r="G13" s="137"/>
      <c r="H13" s="137"/>
      <c r="I13" s="137"/>
      <c r="J13" s="137"/>
    </row>
    <row r="14" spans="1:10" ht="23.25" customHeight="1">
      <c r="A14" s="3"/>
      <c r="B14" s="123" t="s">
        <v>69</v>
      </c>
      <c r="C14" s="137" t="s">
        <v>121</v>
      </c>
      <c r="D14" s="137"/>
      <c r="E14" s="137"/>
      <c r="F14" s="137"/>
      <c r="G14" s="137"/>
      <c r="H14" s="137"/>
      <c r="I14" s="137"/>
      <c r="J14" s="137"/>
    </row>
    <row r="15" spans="1:10" ht="24.75" customHeight="1">
      <c r="A15" s="3"/>
      <c r="B15" s="123" t="s">
        <v>68</v>
      </c>
      <c r="C15" s="137" t="s">
        <v>122</v>
      </c>
      <c r="D15" s="137"/>
      <c r="E15" s="137"/>
      <c r="F15" s="137"/>
      <c r="G15" s="137"/>
      <c r="H15" s="137"/>
      <c r="I15" s="137"/>
      <c r="J15" s="137"/>
    </row>
    <row r="16" spans="1:10" ht="18.75" customHeight="1">
      <c r="A16" s="3"/>
      <c r="B16" s="123" t="s">
        <v>70</v>
      </c>
      <c r="C16" s="137" t="s">
        <v>123</v>
      </c>
      <c r="D16" s="137"/>
      <c r="E16" s="137"/>
      <c r="F16" s="137"/>
      <c r="G16" s="137"/>
      <c r="H16" s="137"/>
      <c r="I16" s="137"/>
      <c r="J16" s="137"/>
    </row>
    <row r="17" spans="1:10" ht="16.5" customHeight="1">
      <c r="A17" s="3"/>
      <c r="B17" s="123" t="s">
        <v>71</v>
      </c>
      <c r="C17" s="137" t="s">
        <v>124</v>
      </c>
      <c r="D17" s="137"/>
      <c r="E17" s="137"/>
      <c r="F17" s="137"/>
      <c r="G17" s="137"/>
      <c r="H17" s="137"/>
      <c r="I17" s="137"/>
      <c r="J17" s="137"/>
    </row>
    <row r="18" spans="1:10" ht="18" customHeight="1">
      <c r="A18" s="3"/>
      <c r="B18" s="123" t="s">
        <v>72</v>
      </c>
      <c r="C18" s="137" t="s">
        <v>125</v>
      </c>
      <c r="D18" s="137"/>
      <c r="E18" s="137"/>
      <c r="F18" s="137"/>
      <c r="G18" s="137"/>
      <c r="H18" s="137"/>
      <c r="I18" s="137"/>
      <c r="J18" s="137"/>
    </row>
    <row r="19" spans="1:10" ht="28.5" customHeight="1">
      <c r="A19" s="3"/>
      <c r="B19" s="123" t="s">
        <v>73</v>
      </c>
      <c r="C19" s="137" t="s">
        <v>126</v>
      </c>
      <c r="D19" s="137"/>
      <c r="E19" s="137"/>
      <c r="F19" s="137"/>
      <c r="G19" s="137"/>
      <c r="H19" s="137"/>
      <c r="I19" s="137"/>
      <c r="J19" s="137"/>
    </row>
    <row r="20" spans="1:10" ht="27.75" customHeight="1">
      <c r="A20" s="3"/>
      <c r="B20" s="123" t="s">
        <v>74</v>
      </c>
      <c r="C20" s="137" t="s">
        <v>127</v>
      </c>
      <c r="D20" s="137"/>
      <c r="E20" s="137"/>
      <c r="F20" s="137"/>
      <c r="G20" s="137"/>
      <c r="H20" s="137"/>
      <c r="I20" s="137"/>
      <c r="J20" s="137"/>
    </row>
    <row r="21" spans="1:10" ht="26.25" customHeight="1">
      <c r="A21" s="3"/>
      <c r="B21" s="123" t="s">
        <v>100</v>
      </c>
      <c r="C21" s="137" t="s">
        <v>189</v>
      </c>
      <c r="D21" s="133"/>
      <c r="E21" s="133"/>
      <c r="F21" s="133"/>
      <c r="G21" s="133"/>
      <c r="H21" s="133"/>
      <c r="I21" s="133"/>
      <c r="J21" s="133"/>
    </row>
    <row r="22" spans="1:10" ht="15.75" customHeight="1" hidden="1">
      <c r="A22" s="3"/>
      <c r="B22" s="123"/>
      <c r="C22" s="132"/>
      <c r="D22" s="133"/>
      <c r="E22" s="133"/>
      <c r="F22" s="133"/>
      <c r="G22" s="133"/>
      <c r="H22" s="133"/>
      <c r="I22" s="133"/>
      <c r="J22" s="124"/>
    </row>
    <row r="23" spans="1:10" ht="16.5" customHeight="1">
      <c r="A23" s="3"/>
      <c r="B23" s="123" t="s">
        <v>104</v>
      </c>
      <c r="C23" s="132" t="s">
        <v>128</v>
      </c>
      <c r="D23" s="133"/>
      <c r="E23" s="133"/>
      <c r="F23" s="133"/>
      <c r="G23" s="133"/>
      <c r="H23" s="133"/>
      <c r="I23" s="133"/>
      <c r="J23" s="134"/>
    </row>
    <row r="24" spans="1:10" ht="18" customHeight="1">
      <c r="A24" s="3"/>
      <c r="B24" s="123" t="s">
        <v>106</v>
      </c>
      <c r="C24" s="132" t="s">
        <v>129</v>
      </c>
      <c r="D24" s="133"/>
      <c r="E24" s="133"/>
      <c r="F24" s="133"/>
      <c r="G24" s="133"/>
      <c r="H24" s="133"/>
      <c r="I24" s="133"/>
      <c r="J24" s="135"/>
    </row>
    <row r="25" spans="1:10" ht="15" customHeight="1">
      <c r="A25" s="3"/>
      <c r="B25" s="123" t="s">
        <v>105</v>
      </c>
      <c r="C25" s="132" t="s">
        <v>133</v>
      </c>
      <c r="D25" s="133"/>
      <c r="E25" s="133"/>
      <c r="F25" s="133"/>
      <c r="G25" s="133"/>
      <c r="H25" s="133"/>
      <c r="I25" s="133"/>
      <c r="J25" s="134"/>
    </row>
    <row r="26" spans="1:10" ht="15.75" customHeight="1">
      <c r="A26" s="3"/>
      <c r="B26" s="123" t="s">
        <v>107</v>
      </c>
      <c r="C26" s="132" t="s">
        <v>134</v>
      </c>
      <c r="D26" s="133"/>
      <c r="E26" s="133"/>
      <c r="F26" s="133"/>
      <c r="G26" s="133"/>
      <c r="H26" s="133"/>
      <c r="I26" s="133"/>
      <c r="J26" s="135"/>
    </row>
    <row r="27" spans="2:10" ht="18.75" customHeight="1">
      <c r="B27" s="123" t="s">
        <v>108</v>
      </c>
      <c r="C27" s="132" t="s">
        <v>147</v>
      </c>
      <c r="D27" s="133"/>
      <c r="E27" s="133"/>
      <c r="F27" s="133"/>
      <c r="G27" s="133"/>
      <c r="H27" s="133"/>
      <c r="I27" s="133"/>
      <c r="J27" s="134"/>
    </row>
    <row r="28" spans="2:10" ht="18.75" customHeight="1">
      <c r="B28" s="123" t="s">
        <v>109</v>
      </c>
      <c r="C28" s="132" t="s">
        <v>148</v>
      </c>
      <c r="D28" s="133"/>
      <c r="E28" s="133"/>
      <c r="F28" s="133"/>
      <c r="G28" s="133"/>
      <c r="H28" s="133"/>
      <c r="I28" s="133"/>
      <c r="J28" s="135"/>
    </row>
    <row r="29" spans="2:10" ht="18.75" customHeight="1">
      <c r="B29" s="123" t="s">
        <v>110</v>
      </c>
      <c r="C29" s="132" t="s">
        <v>190</v>
      </c>
      <c r="D29" s="133"/>
      <c r="E29" s="133"/>
      <c r="F29" s="133"/>
      <c r="G29" s="133"/>
      <c r="H29" s="133"/>
      <c r="I29" s="133"/>
      <c r="J29" s="134"/>
    </row>
    <row r="30" spans="2:10" ht="18.75" customHeight="1">
      <c r="B30" s="123" t="s">
        <v>111</v>
      </c>
      <c r="C30" s="132" t="s">
        <v>191</v>
      </c>
      <c r="D30" s="133"/>
      <c r="E30" s="133"/>
      <c r="F30" s="133"/>
      <c r="G30" s="133"/>
      <c r="H30" s="133"/>
      <c r="I30" s="133"/>
      <c r="J30" s="135"/>
    </row>
    <row r="31" spans="2:10" ht="18" customHeight="1">
      <c r="B31" s="123" t="s">
        <v>112</v>
      </c>
      <c r="C31" s="132" t="s">
        <v>139</v>
      </c>
      <c r="D31" s="133"/>
      <c r="E31" s="133"/>
      <c r="F31" s="133"/>
      <c r="G31" s="133"/>
      <c r="H31" s="133"/>
      <c r="I31" s="133"/>
      <c r="J31" s="134"/>
    </row>
    <row r="32" spans="2:10" ht="18.75" customHeight="1">
      <c r="B32" s="123" t="s">
        <v>113</v>
      </c>
      <c r="C32" s="132" t="s">
        <v>140</v>
      </c>
      <c r="D32" s="133"/>
      <c r="E32" s="133"/>
      <c r="F32" s="133"/>
      <c r="G32" s="133"/>
      <c r="H32" s="133"/>
      <c r="I32" s="133"/>
      <c r="J32" s="135"/>
    </row>
    <row r="33" spans="1:10" ht="18.75" customHeight="1">
      <c r="A33" s="3"/>
      <c r="B33" s="123" t="s">
        <v>115</v>
      </c>
      <c r="C33" s="132" t="s">
        <v>130</v>
      </c>
      <c r="D33" s="133"/>
      <c r="E33" s="133"/>
      <c r="F33" s="133"/>
      <c r="G33" s="133"/>
      <c r="H33" s="133"/>
      <c r="I33" s="133"/>
      <c r="J33" s="134"/>
    </row>
    <row r="34" spans="2:10" ht="14.25" customHeight="1">
      <c r="B34" s="123" t="s">
        <v>132</v>
      </c>
      <c r="C34" s="132" t="s">
        <v>131</v>
      </c>
      <c r="D34" s="133"/>
      <c r="E34" s="133"/>
      <c r="F34" s="133"/>
      <c r="G34" s="133"/>
      <c r="H34" s="133"/>
      <c r="I34" s="133"/>
      <c r="J34" s="135"/>
    </row>
    <row r="35" spans="1:10" ht="15.75" customHeight="1">
      <c r="A35" s="3"/>
      <c r="B35" s="123" t="s">
        <v>135</v>
      </c>
      <c r="C35" s="132" t="s">
        <v>137</v>
      </c>
      <c r="D35" s="133"/>
      <c r="E35" s="133"/>
      <c r="F35" s="133"/>
      <c r="G35" s="133"/>
      <c r="H35" s="133"/>
      <c r="I35" s="133"/>
      <c r="J35" s="134"/>
    </row>
    <row r="36" spans="1:10" ht="15" customHeight="1">
      <c r="A36" s="3"/>
      <c r="B36" s="123" t="s">
        <v>136</v>
      </c>
      <c r="C36" s="132" t="s">
        <v>138</v>
      </c>
      <c r="D36" s="133"/>
      <c r="E36" s="133"/>
      <c r="F36" s="133"/>
      <c r="G36" s="133"/>
      <c r="H36" s="133"/>
      <c r="I36" s="133"/>
      <c r="J36" s="135"/>
    </row>
    <row r="37" spans="2:10" ht="18.75" customHeight="1">
      <c r="B37" s="123" t="s">
        <v>149</v>
      </c>
      <c r="C37" s="132" t="s">
        <v>151</v>
      </c>
      <c r="D37" s="133"/>
      <c r="E37" s="133"/>
      <c r="F37" s="133"/>
      <c r="G37" s="133"/>
      <c r="H37" s="133"/>
      <c r="I37" s="133"/>
      <c r="J37" s="134"/>
    </row>
    <row r="38" spans="2:10" ht="18.75" customHeight="1">
      <c r="B38" s="123" t="s">
        <v>150</v>
      </c>
      <c r="C38" s="132" t="s">
        <v>152</v>
      </c>
      <c r="D38" s="133"/>
      <c r="E38" s="133"/>
      <c r="F38" s="133"/>
      <c r="G38" s="133"/>
      <c r="H38" s="133"/>
      <c r="I38" s="133"/>
      <c r="J38" s="135"/>
    </row>
    <row r="39" spans="2:10" ht="18.75" customHeight="1">
      <c r="B39" s="123" t="s">
        <v>145</v>
      </c>
      <c r="C39" s="132" t="s">
        <v>192</v>
      </c>
      <c r="D39" s="133"/>
      <c r="E39" s="133"/>
      <c r="F39" s="133"/>
      <c r="G39" s="133"/>
      <c r="H39" s="133"/>
      <c r="I39" s="133"/>
      <c r="J39" s="134"/>
    </row>
    <row r="40" spans="2:10" ht="18.75" customHeight="1">
      <c r="B40" s="123" t="s">
        <v>146</v>
      </c>
      <c r="C40" s="132" t="s">
        <v>193</v>
      </c>
      <c r="D40" s="133"/>
      <c r="E40" s="133"/>
      <c r="F40" s="133"/>
      <c r="G40" s="133"/>
      <c r="H40" s="133"/>
      <c r="I40" s="133"/>
      <c r="J40" s="135"/>
    </row>
    <row r="41" spans="2:10" ht="12" customHeight="1">
      <c r="B41" s="123" t="s">
        <v>143</v>
      </c>
      <c r="C41" s="132" t="s">
        <v>141</v>
      </c>
      <c r="D41" s="133"/>
      <c r="E41" s="133"/>
      <c r="F41" s="133"/>
      <c r="G41" s="133"/>
      <c r="H41" s="133"/>
      <c r="I41" s="133"/>
      <c r="J41" s="134"/>
    </row>
    <row r="42" spans="2:10" ht="33.75" customHeight="1">
      <c r="B42" s="123" t="s">
        <v>144</v>
      </c>
      <c r="C42" s="132" t="s">
        <v>142</v>
      </c>
      <c r="D42" s="133"/>
      <c r="E42" s="133"/>
      <c r="F42" s="133"/>
      <c r="G42" s="133"/>
      <c r="H42" s="133"/>
      <c r="I42" s="133"/>
      <c r="J42" s="135"/>
    </row>
    <row r="43" spans="2:10" ht="38.25" customHeight="1">
      <c r="B43" s="131"/>
      <c r="C43" s="131"/>
      <c r="D43" s="131"/>
      <c r="E43" s="131"/>
      <c r="F43" s="131"/>
      <c r="G43" s="131"/>
      <c r="H43" s="131"/>
      <c r="I43" s="131"/>
      <c r="J43" s="131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80" ht="12.75">
      <c r="B80" s="121"/>
    </row>
  </sheetData>
  <sheetProtection/>
  <mergeCells count="41">
    <mergeCell ref="C19:J19"/>
    <mergeCell ref="C21:J21"/>
    <mergeCell ref="C28:J28"/>
    <mergeCell ref="C32:J32"/>
    <mergeCell ref="C22:I22"/>
    <mergeCell ref="C29:J29"/>
    <mergeCell ref="C39:J39"/>
    <mergeCell ref="C40:J40"/>
    <mergeCell ref="C37:J37"/>
    <mergeCell ref="C38:J38"/>
    <mergeCell ref="C41:J41"/>
    <mergeCell ref="C9:J9"/>
    <mergeCell ref="C10:J10"/>
    <mergeCell ref="C12:J12"/>
    <mergeCell ref="C11:J11"/>
    <mergeCell ref="C26:J26"/>
    <mergeCell ref="C20:J20"/>
    <mergeCell ref="C15:J15"/>
    <mergeCell ref="C13:J13"/>
    <mergeCell ref="C14:J14"/>
    <mergeCell ref="C16:J16"/>
    <mergeCell ref="C1:J1"/>
    <mergeCell ref="B2:J2"/>
    <mergeCell ref="A3:J3"/>
    <mergeCell ref="B4:J4"/>
    <mergeCell ref="F5:J5"/>
    <mergeCell ref="C30:J30"/>
    <mergeCell ref="C27:J27"/>
    <mergeCell ref="C17:J17"/>
    <mergeCell ref="C18:J18"/>
    <mergeCell ref="B7:J7"/>
    <mergeCell ref="B43:J43"/>
    <mergeCell ref="C23:J23"/>
    <mergeCell ref="C24:J24"/>
    <mergeCell ref="C33:J33"/>
    <mergeCell ref="C34:J34"/>
    <mergeCell ref="C25:J25"/>
    <mergeCell ref="C42:J42"/>
    <mergeCell ref="C35:J35"/>
    <mergeCell ref="C36:J36"/>
    <mergeCell ref="C31:J31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00390625" style="14" customWidth="1"/>
    <col min="2" max="2" width="97.7109375" style="14" customWidth="1"/>
    <col min="3" max="3" width="44.57421875" style="14" hidden="1" customWidth="1"/>
    <col min="4" max="4" width="32.8515625" style="14" customWidth="1"/>
  </cols>
  <sheetData>
    <row r="1" spans="1:4" ht="15.75" customHeight="1">
      <c r="A1" s="21"/>
      <c r="B1" s="148" t="s">
        <v>53</v>
      </c>
      <c r="C1" s="148"/>
      <c r="D1" s="143"/>
    </row>
    <row r="2" spans="1:4" ht="15.75">
      <c r="A2" s="21"/>
      <c r="B2" s="149" t="s">
        <v>58</v>
      </c>
      <c r="C2" s="149"/>
      <c r="D2" s="150"/>
    </row>
    <row r="3" spans="1:4" ht="15.75">
      <c r="A3" s="21"/>
      <c r="B3" s="19"/>
      <c r="C3" s="19"/>
      <c r="D3" s="120" t="s">
        <v>196</v>
      </c>
    </row>
    <row r="4" spans="1:4" ht="15.75">
      <c r="A4" s="21"/>
      <c r="B4" s="19"/>
      <c r="C4" s="19"/>
      <c r="D4" s="46"/>
    </row>
    <row r="5" spans="1:4" ht="15.75">
      <c r="A5" s="21"/>
      <c r="B5" s="24"/>
      <c r="C5" s="24"/>
      <c r="D5" s="46" t="s">
        <v>197</v>
      </c>
    </row>
    <row r="6" spans="1:4" ht="15.75">
      <c r="A6" s="21"/>
      <c r="B6" s="19"/>
      <c r="C6" s="19"/>
      <c r="D6" s="19"/>
    </row>
    <row r="7" spans="1:4" ht="16.5" customHeight="1">
      <c r="A7" s="151" t="s">
        <v>10</v>
      </c>
      <c r="B7" s="151"/>
      <c r="C7" s="151"/>
      <c r="D7" s="151"/>
    </row>
    <row r="8" spans="1:3" ht="15.75">
      <c r="A8" s="57"/>
      <c r="B8" s="57"/>
      <c r="C8" s="57"/>
    </row>
    <row r="9" spans="1:3" ht="15.75">
      <c r="A9" s="142" t="s">
        <v>1</v>
      </c>
      <c r="B9" s="142"/>
      <c r="C9" s="18"/>
    </row>
    <row r="10" spans="1:3" ht="15" customHeight="1">
      <c r="A10" s="142" t="s">
        <v>0</v>
      </c>
      <c r="B10" s="142"/>
      <c r="C10" s="18"/>
    </row>
    <row r="11" spans="1:3" ht="15" customHeight="1">
      <c r="A11" s="18"/>
      <c r="B11" s="18" t="s">
        <v>49</v>
      </c>
      <c r="C11" s="18"/>
    </row>
    <row r="12" spans="1:4" ht="15" customHeight="1">
      <c r="A12" s="18"/>
      <c r="B12" s="18" t="s">
        <v>75</v>
      </c>
      <c r="C12" s="18"/>
      <c r="D12" s="23"/>
    </row>
    <row r="13" spans="1:4" ht="15" customHeight="1">
      <c r="A13" s="18"/>
      <c r="B13" s="142" t="s">
        <v>77</v>
      </c>
      <c r="C13" s="142"/>
      <c r="D13" s="143"/>
    </row>
    <row r="14" spans="1:4" ht="15" customHeight="1">
      <c r="A14" s="18"/>
      <c r="B14" s="142" t="s">
        <v>178</v>
      </c>
      <c r="C14" s="142"/>
      <c r="D14" s="143"/>
    </row>
    <row r="15" spans="1:3" ht="15" customHeight="1">
      <c r="A15" s="18" t="s">
        <v>2</v>
      </c>
      <c r="B15" s="18" t="str">
        <f>'4.1.2.1.'!B15</f>
        <v>2019.gadā un turpmāk</v>
      </c>
      <c r="C15" s="18"/>
    </row>
    <row r="16" spans="1:4" ht="66.75" customHeight="1">
      <c r="A16" s="65" t="s">
        <v>3</v>
      </c>
      <c r="B16" s="65" t="s">
        <v>4</v>
      </c>
      <c r="C16" s="65"/>
      <c r="D16" s="65" t="s">
        <v>83</v>
      </c>
    </row>
    <row r="17" spans="1:4" ht="15" customHeight="1">
      <c r="A17" s="31">
        <v>1</v>
      </c>
      <c r="B17" s="32">
        <v>2</v>
      </c>
      <c r="C17" s="32"/>
      <c r="D17" s="32">
        <v>3</v>
      </c>
    </row>
    <row r="18" spans="1:4" ht="15" customHeight="1">
      <c r="A18" s="33"/>
      <c r="B18" s="34" t="s">
        <v>6</v>
      </c>
      <c r="C18" s="34"/>
      <c r="D18" s="35"/>
    </row>
    <row r="19" spans="1:4" ht="15" customHeight="1">
      <c r="A19" s="36">
        <v>1100</v>
      </c>
      <c r="B19" s="36" t="s">
        <v>91</v>
      </c>
      <c r="C19" s="37">
        <f>5830.19+400*2.72</f>
        <v>6918.19</v>
      </c>
      <c r="D19" s="37">
        <v>4190</v>
      </c>
    </row>
    <row r="20" spans="1:4" ht="15.75">
      <c r="A20" s="36">
        <v>1200</v>
      </c>
      <c r="B20" s="38" t="s">
        <v>92</v>
      </c>
      <c r="C20" s="37">
        <f>1404.49+400*0.66</f>
        <v>1668.49</v>
      </c>
      <c r="D20" s="37">
        <v>1009.374</v>
      </c>
    </row>
    <row r="21" spans="1:4" ht="15.75">
      <c r="A21" s="36">
        <v>2222</v>
      </c>
      <c r="B21" s="38" t="s">
        <v>43</v>
      </c>
      <c r="C21" s="37">
        <v>291.93</v>
      </c>
      <c r="D21" s="37">
        <f>C21/400*200</f>
        <v>145.965</v>
      </c>
    </row>
    <row r="22" spans="1:4" ht="15.75">
      <c r="A22" s="36">
        <v>2223</v>
      </c>
      <c r="B22" s="38" t="s">
        <v>44</v>
      </c>
      <c r="C22" s="37">
        <v>321.15</v>
      </c>
      <c r="D22" s="37">
        <f aca="true" t="shared" si="0" ref="D22:D29">C22/400*200</f>
        <v>160.575</v>
      </c>
    </row>
    <row r="23" spans="1:4" ht="15.75">
      <c r="A23" s="36">
        <v>2243</v>
      </c>
      <c r="B23" s="38" t="s">
        <v>15</v>
      </c>
      <c r="C23" s="37">
        <v>107.87</v>
      </c>
      <c r="D23" s="37">
        <f t="shared" si="0"/>
        <v>53.935</v>
      </c>
    </row>
    <row r="24" spans="1:4" ht="15" customHeight="1" hidden="1">
      <c r="A24" s="36">
        <v>2249</v>
      </c>
      <c r="B24" s="38" t="s">
        <v>17</v>
      </c>
      <c r="C24" s="37">
        <v>0</v>
      </c>
      <c r="D24" s="37">
        <f t="shared" si="0"/>
        <v>0</v>
      </c>
    </row>
    <row r="25" spans="1:4" ht="15" customHeight="1">
      <c r="A25" s="36">
        <v>2321</v>
      </c>
      <c r="B25" s="38" t="s">
        <v>25</v>
      </c>
      <c r="C25" s="37">
        <v>498.39</v>
      </c>
      <c r="D25" s="37">
        <f t="shared" si="0"/>
        <v>249.19500000000002</v>
      </c>
    </row>
    <row r="26" spans="1:4" ht="15" customHeight="1">
      <c r="A26" s="36">
        <v>2341</v>
      </c>
      <c r="B26" s="38" t="s">
        <v>27</v>
      </c>
      <c r="C26" s="37">
        <v>497.18</v>
      </c>
      <c r="D26" s="37">
        <f t="shared" si="0"/>
        <v>248.59</v>
      </c>
    </row>
    <row r="27" spans="1:4" ht="17.25" customHeight="1" hidden="1">
      <c r="A27" s="36">
        <v>2350</v>
      </c>
      <c r="B27" s="38" t="s">
        <v>29</v>
      </c>
      <c r="C27" s="37">
        <v>0</v>
      </c>
      <c r="D27" s="37">
        <f t="shared" si="0"/>
        <v>0</v>
      </c>
    </row>
    <row r="28" spans="1:4" ht="15.75">
      <c r="A28" s="36">
        <v>2363</v>
      </c>
      <c r="B28" s="38" t="s">
        <v>32</v>
      </c>
      <c r="C28" s="37">
        <v>2952</v>
      </c>
      <c r="D28" s="37">
        <f t="shared" si="0"/>
        <v>1476</v>
      </c>
    </row>
    <row r="29" spans="1:4" ht="15.75">
      <c r="A29" s="36">
        <v>5232</v>
      </c>
      <c r="B29" s="38" t="s">
        <v>37</v>
      </c>
      <c r="C29" s="37">
        <v>123.35</v>
      </c>
      <c r="D29" s="37">
        <f t="shared" si="0"/>
        <v>61.675000000000004</v>
      </c>
    </row>
    <row r="30" spans="1:4" ht="15.75">
      <c r="A30" s="36"/>
      <c r="B30" s="39" t="s">
        <v>7</v>
      </c>
      <c r="C30" s="40">
        <f>SUM(C19:C29)</f>
        <v>13378.550000000001</v>
      </c>
      <c r="D30" s="40">
        <f>SUM(D19:D29)</f>
        <v>7595.309</v>
      </c>
    </row>
    <row r="31" spans="1:4" ht="15.75">
      <c r="A31" s="41"/>
      <c r="B31" s="36" t="s">
        <v>8</v>
      </c>
      <c r="C31" s="35"/>
      <c r="D31" s="35"/>
    </row>
    <row r="32" spans="1:4" ht="15.75">
      <c r="A32" s="36">
        <v>1100</v>
      </c>
      <c r="B32" s="36" t="s">
        <v>91</v>
      </c>
      <c r="C32" s="37">
        <v>4247.97</v>
      </c>
      <c r="D32" s="37">
        <f>C32/400*200</f>
        <v>2123.985</v>
      </c>
    </row>
    <row r="33" spans="1:4" ht="15.75">
      <c r="A33" s="36">
        <v>1200</v>
      </c>
      <c r="B33" s="38" t="s">
        <v>92</v>
      </c>
      <c r="C33" s="37">
        <v>1023.34</v>
      </c>
      <c r="D33" s="37">
        <f aca="true" t="shared" si="1" ref="D33:D73">C33/400*200</f>
        <v>511.66999999999996</v>
      </c>
    </row>
    <row r="34" spans="1:4" ht="15.75" hidden="1">
      <c r="A34" s="36">
        <v>2100</v>
      </c>
      <c r="B34" s="42" t="s">
        <v>46</v>
      </c>
      <c r="C34" s="37">
        <v>0</v>
      </c>
      <c r="D34" s="37">
        <f t="shared" si="1"/>
        <v>0</v>
      </c>
    </row>
    <row r="35" spans="1:4" ht="15.75">
      <c r="A35" s="43">
        <v>2210</v>
      </c>
      <c r="B35" s="38" t="s">
        <v>42</v>
      </c>
      <c r="C35" s="37">
        <v>80.52</v>
      </c>
      <c r="D35" s="37">
        <f t="shared" si="1"/>
        <v>40.26</v>
      </c>
    </row>
    <row r="36" spans="1:4" ht="15.75">
      <c r="A36" s="36">
        <v>2222</v>
      </c>
      <c r="B36" s="38" t="s">
        <v>43</v>
      </c>
      <c r="C36" s="37">
        <v>199.47</v>
      </c>
      <c r="D36" s="37">
        <f t="shared" si="1"/>
        <v>99.735</v>
      </c>
    </row>
    <row r="37" spans="1:4" ht="15.75">
      <c r="A37" s="36">
        <v>2223</v>
      </c>
      <c r="B37" s="38" t="s">
        <v>44</v>
      </c>
      <c r="C37" s="37">
        <v>313.87</v>
      </c>
      <c r="D37" s="37">
        <f t="shared" si="1"/>
        <v>156.935</v>
      </c>
    </row>
    <row r="38" spans="1:4" ht="15" customHeight="1">
      <c r="A38" s="36">
        <v>2230</v>
      </c>
      <c r="B38" s="38" t="s">
        <v>45</v>
      </c>
      <c r="C38" s="37">
        <v>62.21</v>
      </c>
      <c r="D38" s="37">
        <f t="shared" si="1"/>
        <v>31.105</v>
      </c>
    </row>
    <row r="39" spans="1:4" ht="15.75" hidden="1">
      <c r="A39" s="36">
        <v>2241</v>
      </c>
      <c r="B39" s="38" t="s">
        <v>13</v>
      </c>
      <c r="C39" s="37">
        <v>0</v>
      </c>
      <c r="D39" s="37">
        <f t="shared" si="1"/>
        <v>0</v>
      </c>
    </row>
    <row r="40" spans="1:4" ht="15.75">
      <c r="A40" s="36">
        <v>2242</v>
      </c>
      <c r="B40" s="38" t="s">
        <v>14</v>
      </c>
      <c r="C40" s="37">
        <v>18.53</v>
      </c>
      <c r="D40" s="37">
        <f t="shared" si="1"/>
        <v>9.265</v>
      </c>
    </row>
    <row r="41" spans="1:4" ht="15.75">
      <c r="A41" s="36">
        <v>2243</v>
      </c>
      <c r="B41" s="38" t="s">
        <v>15</v>
      </c>
      <c r="C41" s="37">
        <v>91.88</v>
      </c>
      <c r="D41" s="37">
        <f t="shared" si="1"/>
        <v>45.94</v>
      </c>
    </row>
    <row r="42" spans="1:4" ht="15.75">
      <c r="A42" s="36">
        <v>2244</v>
      </c>
      <c r="B42" s="38" t="s">
        <v>16</v>
      </c>
      <c r="C42" s="37">
        <v>1467.43</v>
      </c>
      <c r="D42" s="37">
        <v>1449.68</v>
      </c>
    </row>
    <row r="43" spans="1:4" ht="15.75">
      <c r="A43" s="36">
        <v>2247</v>
      </c>
      <c r="B43" s="34" t="s">
        <v>93</v>
      </c>
      <c r="C43" s="37">
        <v>4.9</v>
      </c>
      <c r="D43" s="37">
        <f t="shared" si="1"/>
        <v>2.45</v>
      </c>
    </row>
    <row r="44" spans="1:4" ht="15.75">
      <c r="A44" s="36">
        <v>2249</v>
      </c>
      <c r="B44" s="38" t="s">
        <v>17</v>
      </c>
      <c r="C44" s="37">
        <v>21.36</v>
      </c>
      <c r="D44" s="37">
        <f t="shared" si="1"/>
        <v>10.68</v>
      </c>
    </row>
    <row r="45" spans="1:4" ht="15.75">
      <c r="A45" s="36">
        <v>2251</v>
      </c>
      <c r="B45" s="38" t="s">
        <v>94</v>
      </c>
      <c r="C45" s="37">
        <v>201.1</v>
      </c>
      <c r="D45" s="37">
        <f t="shared" si="1"/>
        <v>100.55000000000001</v>
      </c>
    </row>
    <row r="46" spans="1:4" ht="15.75">
      <c r="A46" s="36">
        <v>2252</v>
      </c>
      <c r="B46" s="38" t="s">
        <v>96</v>
      </c>
      <c r="C46" s="37">
        <v>2.68</v>
      </c>
      <c r="D46" s="37">
        <f t="shared" si="1"/>
        <v>1.34</v>
      </c>
    </row>
    <row r="47" spans="1:4" ht="15.75">
      <c r="A47" s="36">
        <v>2259</v>
      </c>
      <c r="B47" s="38" t="s">
        <v>95</v>
      </c>
      <c r="C47" s="37">
        <v>0.42</v>
      </c>
      <c r="D47" s="37">
        <f t="shared" si="1"/>
        <v>0.21</v>
      </c>
    </row>
    <row r="48" spans="1:4" ht="15.75" hidden="1">
      <c r="A48" s="36">
        <v>2261</v>
      </c>
      <c r="B48" s="38" t="s">
        <v>18</v>
      </c>
      <c r="C48" s="37">
        <v>0</v>
      </c>
      <c r="D48" s="37">
        <f t="shared" si="1"/>
        <v>0</v>
      </c>
    </row>
    <row r="49" spans="1:4" ht="15.75">
      <c r="A49" s="36">
        <v>2262</v>
      </c>
      <c r="B49" s="38" t="s">
        <v>19</v>
      </c>
      <c r="C49" s="37">
        <v>54.23</v>
      </c>
      <c r="D49" s="37">
        <f t="shared" si="1"/>
        <v>27.115000000000002</v>
      </c>
    </row>
    <row r="50" spans="1:4" ht="15.75">
      <c r="A50" s="36">
        <v>2263</v>
      </c>
      <c r="B50" s="38" t="s">
        <v>20</v>
      </c>
      <c r="C50" s="37">
        <v>200.02</v>
      </c>
      <c r="D50" s="37">
        <f t="shared" si="1"/>
        <v>100.01</v>
      </c>
    </row>
    <row r="51" spans="1:4" ht="15.75">
      <c r="A51" s="36">
        <v>2264</v>
      </c>
      <c r="B51" s="38" t="s">
        <v>21</v>
      </c>
      <c r="C51" s="37">
        <v>1.01</v>
      </c>
      <c r="D51" s="37">
        <f t="shared" si="1"/>
        <v>0.505</v>
      </c>
    </row>
    <row r="52" spans="1:4" ht="15.75" customHeight="1">
      <c r="A52" s="36">
        <v>2279</v>
      </c>
      <c r="B52" s="38" t="s">
        <v>22</v>
      </c>
      <c r="C52" s="37">
        <v>223.43</v>
      </c>
      <c r="D52" s="37">
        <f t="shared" si="1"/>
        <v>111.715</v>
      </c>
    </row>
    <row r="53" spans="1:4" ht="15.75">
      <c r="A53" s="36">
        <v>2311</v>
      </c>
      <c r="B53" s="38" t="s">
        <v>23</v>
      </c>
      <c r="C53" s="37">
        <v>21.04</v>
      </c>
      <c r="D53" s="37">
        <f t="shared" si="1"/>
        <v>10.52</v>
      </c>
    </row>
    <row r="54" spans="1:4" ht="15.75">
      <c r="A54" s="36">
        <v>2312</v>
      </c>
      <c r="B54" s="38" t="s">
        <v>24</v>
      </c>
      <c r="C54" s="37">
        <v>38.88</v>
      </c>
      <c r="D54" s="37">
        <f t="shared" si="1"/>
        <v>19.44</v>
      </c>
    </row>
    <row r="55" spans="1:4" ht="15.75">
      <c r="A55" s="36">
        <v>2321</v>
      </c>
      <c r="B55" s="38" t="s">
        <v>25</v>
      </c>
      <c r="C55" s="37">
        <v>831.56</v>
      </c>
      <c r="D55" s="37">
        <f t="shared" si="1"/>
        <v>415.78</v>
      </c>
    </row>
    <row r="56" spans="1:4" ht="15.75">
      <c r="A56" s="36">
        <v>2322</v>
      </c>
      <c r="B56" s="38" t="s">
        <v>26</v>
      </c>
      <c r="C56" s="37">
        <v>452.79</v>
      </c>
      <c r="D56" s="37">
        <f t="shared" si="1"/>
        <v>226.39499999999998</v>
      </c>
    </row>
    <row r="57" spans="1:4" ht="15.75">
      <c r="A57" s="36">
        <v>2341</v>
      </c>
      <c r="B57" s="38" t="s">
        <v>27</v>
      </c>
      <c r="C57" s="37">
        <v>19.64</v>
      </c>
      <c r="D57" s="37">
        <f t="shared" si="1"/>
        <v>9.82</v>
      </c>
    </row>
    <row r="58" spans="1:4" ht="15.75">
      <c r="A58" s="36">
        <v>2344</v>
      </c>
      <c r="B58" s="38" t="s">
        <v>28</v>
      </c>
      <c r="C58" s="37">
        <v>0.28</v>
      </c>
      <c r="D58" s="37">
        <f t="shared" si="1"/>
        <v>0.14</v>
      </c>
    </row>
    <row r="59" spans="1:4" ht="15" customHeight="1">
      <c r="A59" s="36">
        <v>2350</v>
      </c>
      <c r="B59" s="38" t="s">
        <v>29</v>
      </c>
      <c r="C59" s="37">
        <v>166.44</v>
      </c>
      <c r="D59" s="37">
        <f t="shared" si="1"/>
        <v>83.22</v>
      </c>
    </row>
    <row r="60" spans="1:4" ht="15.75">
      <c r="A60" s="36">
        <v>2361</v>
      </c>
      <c r="B60" s="38" t="s">
        <v>30</v>
      </c>
      <c r="C60" s="37">
        <v>80.62</v>
      </c>
      <c r="D60" s="37">
        <f t="shared" si="1"/>
        <v>40.31</v>
      </c>
    </row>
    <row r="61" spans="1:4" ht="15.75">
      <c r="A61" s="36">
        <v>2362</v>
      </c>
      <c r="B61" s="38" t="s">
        <v>31</v>
      </c>
      <c r="C61" s="37">
        <v>41.98</v>
      </c>
      <c r="D61" s="37">
        <f t="shared" si="1"/>
        <v>20.99</v>
      </c>
    </row>
    <row r="62" spans="1:4" ht="15" customHeight="1" hidden="1">
      <c r="A62" s="36">
        <v>2363</v>
      </c>
      <c r="B62" s="38" t="s">
        <v>32</v>
      </c>
      <c r="C62" s="37">
        <v>0</v>
      </c>
      <c r="D62" s="37">
        <f t="shared" si="1"/>
        <v>0</v>
      </c>
    </row>
    <row r="63" spans="1:4" ht="15.75" hidden="1">
      <c r="A63" s="36">
        <v>2370</v>
      </c>
      <c r="B63" s="38" t="s">
        <v>33</v>
      </c>
      <c r="C63" s="37">
        <v>0</v>
      </c>
      <c r="D63" s="37">
        <f t="shared" si="1"/>
        <v>0</v>
      </c>
    </row>
    <row r="64" spans="1:4" ht="15.75">
      <c r="A64" s="36">
        <v>2400</v>
      </c>
      <c r="B64" s="38" t="s">
        <v>47</v>
      </c>
      <c r="C64" s="37">
        <v>8.66</v>
      </c>
      <c r="D64" s="37">
        <f t="shared" si="1"/>
        <v>4.33</v>
      </c>
    </row>
    <row r="65" spans="1:4" ht="15.75">
      <c r="A65" s="36">
        <v>2513</v>
      </c>
      <c r="B65" s="38" t="s">
        <v>35</v>
      </c>
      <c r="C65" s="37">
        <v>135.45</v>
      </c>
      <c r="D65" s="37">
        <f t="shared" si="1"/>
        <v>67.725</v>
      </c>
    </row>
    <row r="66" spans="1:4" ht="15" customHeight="1">
      <c r="A66" s="36">
        <v>2515</v>
      </c>
      <c r="B66" s="38" t="s">
        <v>97</v>
      </c>
      <c r="C66" s="37">
        <v>5.99</v>
      </c>
      <c r="D66" s="37">
        <f t="shared" si="1"/>
        <v>2.995</v>
      </c>
    </row>
    <row r="67" spans="1:4" ht="16.5" customHeight="1">
      <c r="A67" s="36">
        <v>2519</v>
      </c>
      <c r="B67" s="38" t="s">
        <v>38</v>
      </c>
      <c r="C67" s="37">
        <v>31.58</v>
      </c>
      <c r="D67" s="37">
        <f t="shared" si="1"/>
        <v>15.79</v>
      </c>
    </row>
    <row r="68" spans="1:4" ht="15.75" hidden="1">
      <c r="A68" s="36">
        <v>6240</v>
      </c>
      <c r="B68" s="38" t="s">
        <v>50</v>
      </c>
      <c r="C68" s="37">
        <v>0</v>
      </c>
      <c r="D68" s="37">
        <f t="shared" si="1"/>
        <v>0</v>
      </c>
    </row>
    <row r="69" spans="1:4" ht="15.75" hidden="1">
      <c r="A69" s="36">
        <v>6290</v>
      </c>
      <c r="B69" s="38" t="s">
        <v>51</v>
      </c>
      <c r="C69" s="37">
        <v>0</v>
      </c>
      <c r="D69" s="37">
        <f t="shared" si="1"/>
        <v>0</v>
      </c>
    </row>
    <row r="70" spans="1:4" ht="15.75">
      <c r="A70" s="36">
        <v>5121</v>
      </c>
      <c r="B70" s="38" t="s">
        <v>36</v>
      </c>
      <c r="C70" s="37">
        <v>25.54</v>
      </c>
      <c r="D70" s="37">
        <f t="shared" si="1"/>
        <v>12.770000000000001</v>
      </c>
    </row>
    <row r="71" spans="1:4" ht="15.75">
      <c r="A71" s="36">
        <v>5232</v>
      </c>
      <c r="B71" s="38" t="s">
        <v>37</v>
      </c>
      <c r="C71" s="37">
        <v>471.79</v>
      </c>
      <c r="D71" s="37">
        <f t="shared" si="1"/>
        <v>235.895</v>
      </c>
    </row>
    <row r="72" spans="1:4" ht="15.75">
      <c r="A72" s="36">
        <v>5238</v>
      </c>
      <c r="B72" s="38" t="s">
        <v>39</v>
      </c>
      <c r="C72" s="37">
        <v>283.41</v>
      </c>
      <c r="D72" s="37">
        <f t="shared" si="1"/>
        <v>141.705</v>
      </c>
    </row>
    <row r="73" spans="1:4" ht="15" customHeight="1">
      <c r="A73" s="36">
        <v>5240</v>
      </c>
      <c r="B73" s="38" t="s">
        <v>40</v>
      </c>
      <c r="C73" s="37">
        <v>207.43</v>
      </c>
      <c r="D73" s="37">
        <f t="shared" si="1"/>
        <v>103.715</v>
      </c>
    </row>
    <row r="74" spans="1:4" ht="15.75" hidden="1">
      <c r="A74" s="36">
        <v>5250</v>
      </c>
      <c r="B74" s="38" t="s">
        <v>41</v>
      </c>
      <c r="C74" s="58"/>
      <c r="D74" s="58"/>
    </row>
    <row r="75" spans="1:4" ht="15.75">
      <c r="A75" s="41"/>
      <c r="B75" s="45" t="s">
        <v>9</v>
      </c>
      <c r="C75" s="40">
        <f>SUM(C32:C74)</f>
        <v>11037.450000000004</v>
      </c>
      <c r="D75" s="40">
        <f>SUM(D32:D74)</f>
        <v>6234.690000000003</v>
      </c>
    </row>
    <row r="76" spans="1:4" ht="15.75">
      <c r="A76" s="41"/>
      <c r="B76" s="45" t="s">
        <v>48</v>
      </c>
      <c r="C76" s="40">
        <f>C75+C30</f>
        <v>24416.000000000007</v>
      </c>
      <c r="D76" s="40">
        <f>D75+D30</f>
        <v>13829.999000000003</v>
      </c>
    </row>
    <row r="77" spans="1:2" ht="12.75" customHeight="1">
      <c r="A77" s="46"/>
      <c r="B77" s="29"/>
    </row>
    <row r="78" spans="1:4" ht="15.75">
      <c r="A78" s="142" t="s">
        <v>63</v>
      </c>
      <c r="B78" s="142"/>
      <c r="C78" s="30">
        <v>400</v>
      </c>
      <c r="D78" s="116">
        <v>200</v>
      </c>
    </row>
    <row r="79" spans="1:4" ht="15.75">
      <c r="A79" s="142" t="s">
        <v>64</v>
      </c>
      <c r="B79" s="142"/>
      <c r="C79" s="48">
        <f>C76/C78</f>
        <v>61.04000000000002</v>
      </c>
      <c r="D79" s="117">
        <f>D76/D78</f>
        <v>69.14999500000002</v>
      </c>
    </row>
    <row r="80" spans="1:4" ht="12.75" customHeight="1">
      <c r="A80" s="18"/>
      <c r="B80" s="18"/>
      <c r="C80" s="47"/>
      <c r="D80" s="47"/>
    </row>
    <row r="81" spans="1:4" s="7" customFormat="1" ht="15.75">
      <c r="A81" s="146" t="s">
        <v>56</v>
      </c>
      <c r="B81" s="147"/>
      <c r="C81" s="50">
        <v>57.66</v>
      </c>
      <c r="D81" s="50"/>
    </row>
    <row r="82" spans="1:4" s="7" customFormat="1" ht="15.75">
      <c r="A82" s="146" t="s">
        <v>85</v>
      </c>
      <c r="B82" s="147"/>
      <c r="C82" s="25"/>
      <c r="D82" s="50"/>
    </row>
    <row r="83" spans="1:4" s="7" customFormat="1" ht="15.75" customHeight="1">
      <c r="A83" s="26"/>
      <c r="B83" s="26"/>
      <c r="C83" s="26"/>
      <c r="D83" s="26"/>
    </row>
    <row r="84" spans="1:4" s="7" customFormat="1" ht="15.75">
      <c r="A84" s="26" t="s">
        <v>57</v>
      </c>
      <c r="B84" s="26"/>
      <c r="C84" s="26"/>
      <c r="D84" s="26"/>
    </row>
    <row r="85" spans="1:4" s="7" customFormat="1" ht="10.5" customHeight="1">
      <c r="A85" s="26"/>
      <c r="B85" s="26"/>
      <c r="C85" s="26"/>
      <c r="D85" s="26"/>
    </row>
    <row r="86" spans="1:4" s="7" customFormat="1" ht="15.75">
      <c r="A86" s="26" t="s">
        <v>78</v>
      </c>
      <c r="B86" s="27"/>
      <c r="C86" s="27"/>
      <c r="D86" s="27"/>
    </row>
    <row r="87" spans="1:4" s="7" customFormat="1" ht="13.5" customHeight="1">
      <c r="A87" s="26"/>
      <c r="B87" s="28"/>
      <c r="C87" s="28"/>
      <c r="D87" s="26"/>
    </row>
    <row r="88" spans="1:4" s="7" customFormat="1" ht="13.5" customHeight="1">
      <c r="A88" s="26"/>
      <c r="B88" s="28"/>
      <c r="C88" s="28"/>
      <c r="D88" s="26"/>
    </row>
    <row r="89" spans="1:4" s="3" customFormat="1" ht="15">
      <c r="A89" s="14"/>
      <c r="B89" s="14"/>
      <c r="C89" s="14"/>
      <c r="D89" s="14"/>
    </row>
  </sheetData>
  <sheetProtection/>
  <mergeCells count="11">
    <mergeCell ref="A7:D7"/>
    <mergeCell ref="A78:B78"/>
    <mergeCell ref="A79:B79"/>
    <mergeCell ref="A81:B81"/>
    <mergeCell ref="A82:B82"/>
    <mergeCell ref="B1:D1"/>
    <mergeCell ref="B2:D2"/>
    <mergeCell ref="A9:B9"/>
    <mergeCell ref="A10:B10"/>
    <mergeCell ref="B13:D13"/>
    <mergeCell ref="B14:D14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140625" style="14" customWidth="1"/>
    <col min="2" max="2" width="95.421875" style="14" customWidth="1"/>
    <col min="3" max="3" width="50.28125" style="14" hidden="1" customWidth="1"/>
    <col min="4" max="4" width="32.00390625" style="71" customWidth="1"/>
  </cols>
  <sheetData>
    <row r="1" spans="1:4" ht="15.75" customHeight="1">
      <c r="A1" s="20"/>
      <c r="B1" s="148" t="s">
        <v>53</v>
      </c>
      <c r="C1" s="148"/>
      <c r="D1" s="143"/>
    </row>
    <row r="2" spans="1:4" ht="15.75">
      <c r="A2" s="20"/>
      <c r="B2" s="149" t="s">
        <v>58</v>
      </c>
      <c r="C2" s="149"/>
      <c r="D2" s="150"/>
    </row>
    <row r="3" spans="1:4" ht="15.75">
      <c r="A3" s="20"/>
      <c r="B3" s="19"/>
      <c r="C3" s="19"/>
      <c r="D3" s="130" t="s">
        <v>196</v>
      </c>
    </row>
    <row r="4" spans="1:4" ht="15.75">
      <c r="A4" s="20"/>
      <c r="B4" s="19"/>
      <c r="C4" s="19"/>
      <c r="D4" s="70"/>
    </row>
    <row r="5" spans="1:4" ht="15.75">
      <c r="A5" s="20"/>
      <c r="B5" s="24"/>
      <c r="C5" s="24"/>
      <c r="D5" s="46" t="s">
        <v>197</v>
      </c>
    </row>
    <row r="6" spans="1:4" ht="15.75">
      <c r="A6" s="20"/>
      <c r="B6" s="19"/>
      <c r="C6" s="19"/>
      <c r="D6" s="111"/>
    </row>
    <row r="7" spans="1:4" ht="15.75">
      <c r="A7" s="151" t="s">
        <v>10</v>
      </c>
      <c r="B7" s="150"/>
      <c r="C7" s="150"/>
      <c r="D7" s="150"/>
    </row>
    <row r="8" spans="1:4" ht="15.75">
      <c r="A8" s="57"/>
      <c r="B8" s="57"/>
      <c r="C8" s="57"/>
      <c r="D8" s="112"/>
    </row>
    <row r="9" spans="1:3" ht="15" customHeight="1">
      <c r="A9" s="142" t="s">
        <v>1</v>
      </c>
      <c r="B9" s="142"/>
      <c r="C9" s="18"/>
    </row>
    <row r="10" spans="1:3" ht="15" customHeight="1">
      <c r="A10" s="142" t="s">
        <v>0</v>
      </c>
      <c r="B10" s="142"/>
      <c r="C10" s="18"/>
    </row>
    <row r="11" spans="1:3" ht="15" customHeight="1">
      <c r="A11" s="18"/>
      <c r="B11" s="18" t="s">
        <v>49</v>
      </c>
      <c r="C11" s="18"/>
    </row>
    <row r="12" spans="1:4" ht="15" customHeight="1">
      <c r="A12" s="18"/>
      <c r="B12" s="18" t="s">
        <v>75</v>
      </c>
      <c r="C12" s="18"/>
      <c r="D12" s="72"/>
    </row>
    <row r="13" spans="1:4" ht="15" customHeight="1">
      <c r="A13" s="18"/>
      <c r="B13" s="142" t="s">
        <v>77</v>
      </c>
      <c r="C13" s="142"/>
      <c r="D13" s="143"/>
    </row>
    <row r="14" spans="1:4" ht="15" customHeight="1">
      <c r="A14" s="18"/>
      <c r="B14" s="142" t="s">
        <v>179</v>
      </c>
      <c r="C14" s="142"/>
      <c r="D14" s="142"/>
    </row>
    <row r="15" spans="1:3" ht="18.75" customHeight="1">
      <c r="A15" s="18" t="s">
        <v>2</v>
      </c>
      <c r="B15" s="18" t="str">
        <f>'4.1.2.2.'!B15</f>
        <v>2019.gadā un turpmāk</v>
      </c>
      <c r="C15" s="18"/>
    </row>
    <row r="16" spans="1:4" ht="67.5" customHeight="1">
      <c r="A16" s="65" t="s">
        <v>3</v>
      </c>
      <c r="B16" s="65" t="s">
        <v>4</v>
      </c>
      <c r="C16" s="65" t="s">
        <v>83</v>
      </c>
      <c r="D16" s="65" t="s">
        <v>83</v>
      </c>
    </row>
    <row r="17" spans="1:4" ht="15.75">
      <c r="A17" s="31">
        <v>1</v>
      </c>
      <c r="B17" s="32">
        <v>2</v>
      </c>
      <c r="C17" s="74">
        <v>3</v>
      </c>
      <c r="D17" s="74">
        <v>3</v>
      </c>
    </row>
    <row r="18" spans="1:4" ht="15" customHeight="1">
      <c r="A18" s="33"/>
      <c r="B18" s="34" t="s">
        <v>6</v>
      </c>
      <c r="C18" s="75"/>
      <c r="D18" s="75"/>
    </row>
    <row r="19" spans="1:4" ht="15" customHeight="1">
      <c r="A19" s="36">
        <v>1100</v>
      </c>
      <c r="B19" s="36" t="s">
        <v>91</v>
      </c>
      <c r="C19" s="76">
        <f>3002.55+200*2.72</f>
        <v>3546.55</v>
      </c>
      <c r="D19" s="76">
        <v>1069</v>
      </c>
    </row>
    <row r="20" spans="1:4" ht="31.5">
      <c r="A20" s="36">
        <v>1200</v>
      </c>
      <c r="B20" s="38" t="s">
        <v>92</v>
      </c>
      <c r="C20" s="76">
        <f>723.31+200*0.66</f>
        <v>855.31</v>
      </c>
      <c r="D20" s="76">
        <v>257.52</v>
      </c>
    </row>
    <row r="21" spans="1:4" ht="15" customHeight="1">
      <c r="A21" s="36">
        <v>2222</v>
      </c>
      <c r="B21" s="38" t="s">
        <v>43</v>
      </c>
      <c r="C21" s="76">
        <v>150.34</v>
      </c>
      <c r="D21" s="76">
        <f aca="true" t="shared" si="0" ref="D21:D29">C21/200*50</f>
        <v>37.585</v>
      </c>
    </row>
    <row r="22" spans="1:4" ht="15" customHeight="1">
      <c r="A22" s="36">
        <v>2223</v>
      </c>
      <c r="B22" s="38" t="s">
        <v>44</v>
      </c>
      <c r="C22" s="76">
        <v>165.39</v>
      </c>
      <c r="D22" s="76">
        <f t="shared" si="0"/>
        <v>41.3475</v>
      </c>
    </row>
    <row r="23" spans="1:4" ht="15" customHeight="1">
      <c r="A23" s="36">
        <v>2243</v>
      </c>
      <c r="B23" s="38" t="s">
        <v>15</v>
      </c>
      <c r="C23" s="76">
        <v>55.55</v>
      </c>
      <c r="D23" s="76">
        <f t="shared" si="0"/>
        <v>13.8875</v>
      </c>
    </row>
    <row r="24" spans="1:4" ht="15" customHeight="1" hidden="1">
      <c r="A24" s="36">
        <v>2249</v>
      </c>
      <c r="B24" s="38" t="s">
        <v>17</v>
      </c>
      <c r="C24" s="76">
        <v>0</v>
      </c>
      <c r="D24" s="76">
        <f t="shared" si="0"/>
        <v>0</v>
      </c>
    </row>
    <row r="25" spans="1:4" ht="15" customHeight="1">
      <c r="A25" s="36">
        <v>2321</v>
      </c>
      <c r="B25" s="38" t="s">
        <v>25</v>
      </c>
      <c r="C25" s="76">
        <v>256.67</v>
      </c>
      <c r="D25" s="76">
        <f t="shared" si="0"/>
        <v>64.1675</v>
      </c>
    </row>
    <row r="26" spans="1:4" ht="15" customHeight="1">
      <c r="A26" s="36">
        <v>2341</v>
      </c>
      <c r="B26" s="38" t="s">
        <v>27</v>
      </c>
      <c r="C26" s="76">
        <v>256.05</v>
      </c>
      <c r="D26" s="76">
        <f t="shared" si="0"/>
        <v>64.0125</v>
      </c>
    </row>
    <row r="27" spans="1:4" ht="15" customHeight="1" hidden="1">
      <c r="A27" s="36">
        <v>2350</v>
      </c>
      <c r="B27" s="38" t="s">
        <v>29</v>
      </c>
      <c r="C27" s="76">
        <v>0</v>
      </c>
      <c r="D27" s="76">
        <f t="shared" si="0"/>
        <v>0</v>
      </c>
    </row>
    <row r="28" spans="1:4" ht="15" customHeight="1">
      <c r="A28" s="36">
        <v>2363</v>
      </c>
      <c r="B28" s="38" t="s">
        <v>32</v>
      </c>
      <c r="C28" s="76">
        <v>1476</v>
      </c>
      <c r="D28" s="76">
        <v>406</v>
      </c>
    </row>
    <row r="29" spans="1:4" ht="15" customHeight="1">
      <c r="A29" s="36">
        <v>5232</v>
      </c>
      <c r="B29" s="38" t="s">
        <v>37</v>
      </c>
      <c r="C29" s="76">
        <v>63.53</v>
      </c>
      <c r="D29" s="76">
        <f t="shared" si="0"/>
        <v>15.8825</v>
      </c>
    </row>
    <row r="30" spans="1:4" ht="15" customHeight="1">
      <c r="A30" s="36"/>
      <c r="B30" s="39" t="s">
        <v>7</v>
      </c>
      <c r="C30" s="77">
        <f>SUM(C19:C29)</f>
        <v>6825.390000000001</v>
      </c>
      <c r="D30" s="77">
        <f>SUM(D19:D29)</f>
        <v>1969.4025000000001</v>
      </c>
    </row>
    <row r="31" spans="1:4" ht="15" customHeight="1">
      <c r="A31" s="41"/>
      <c r="B31" s="36" t="s">
        <v>8</v>
      </c>
      <c r="C31" s="75"/>
      <c r="D31" s="75"/>
    </row>
    <row r="32" spans="1:4" ht="15" customHeight="1">
      <c r="A32" s="36">
        <v>1100</v>
      </c>
      <c r="B32" s="36" t="s">
        <v>91</v>
      </c>
      <c r="C32" s="76">
        <v>2199.44</v>
      </c>
      <c r="D32" s="76">
        <f aca="true" t="shared" si="1" ref="D32:D72">C32/200*50</f>
        <v>549.86</v>
      </c>
    </row>
    <row r="33" spans="1:4" ht="31.5">
      <c r="A33" s="36">
        <v>1200</v>
      </c>
      <c r="B33" s="38" t="s">
        <v>92</v>
      </c>
      <c r="C33" s="76">
        <v>529.84</v>
      </c>
      <c r="D33" s="76">
        <f t="shared" si="1"/>
        <v>132.46</v>
      </c>
    </row>
    <row r="34" spans="1:4" ht="15" customHeight="1" hidden="1">
      <c r="A34" s="36">
        <v>2100</v>
      </c>
      <c r="B34" s="42" t="s">
        <v>46</v>
      </c>
      <c r="C34" s="76">
        <v>0</v>
      </c>
      <c r="D34" s="76">
        <f t="shared" si="1"/>
        <v>0</v>
      </c>
    </row>
    <row r="35" spans="1:4" ht="15" customHeight="1">
      <c r="A35" s="43">
        <v>2210</v>
      </c>
      <c r="B35" s="38" t="s">
        <v>42</v>
      </c>
      <c r="C35" s="76">
        <v>41.47</v>
      </c>
      <c r="D35" s="76">
        <f t="shared" si="1"/>
        <v>10.3675</v>
      </c>
    </row>
    <row r="36" spans="1:4" ht="15" customHeight="1">
      <c r="A36" s="36">
        <v>2222</v>
      </c>
      <c r="B36" s="38" t="s">
        <v>43</v>
      </c>
      <c r="C36" s="76">
        <v>123.22</v>
      </c>
      <c r="D36" s="76">
        <f t="shared" si="1"/>
        <v>30.805</v>
      </c>
    </row>
    <row r="37" spans="1:4" ht="15" customHeight="1">
      <c r="A37" s="36">
        <v>2223</v>
      </c>
      <c r="B37" s="38" t="s">
        <v>44</v>
      </c>
      <c r="C37" s="76">
        <v>179.48</v>
      </c>
      <c r="D37" s="76">
        <f t="shared" si="1"/>
        <v>44.87</v>
      </c>
    </row>
    <row r="38" spans="1:4" ht="15" customHeight="1">
      <c r="A38" s="36">
        <v>2230</v>
      </c>
      <c r="B38" s="38" t="s">
        <v>45</v>
      </c>
      <c r="C38" s="76">
        <v>32.04</v>
      </c>
      <c r="D38" s="76">
        <f t="shared" si="1"/>
        <v>8.01</v>
      </c>
    </row>
    <row r="39" spans="1:4" ht="15" customHeight="1" hidden="1">
      <c r="A39" s="36">
        <v>2241</v>
      </c>
      <c r="B39" s="38" t="s">
        <v>13</v>
      </c>
      <c r="C39" s="76">
        <v>0</v>
      </c>
      <c r="D39" s="76">
        <f t="shared" si="1"/>
        <v>0</v>
      </c>
    </row>
    <row r="40" spans="1:4" ht="15" customHeight="1">
      <c r="A40" s="36">
        <v>2242</v>
      </c>
      <c r="B40" s="38" t="s">
        <v>14</v>
      </c>
      <c r="C40" s="76">
        <v>9.54</v>
      </c>
      <c r="D40" s="76">
        <f t="shared" si="1"/>
        <v>2.385</v>
      </c>
    </row>
    <row r="41" spans="1:4" ht="15" customHeight="1">
      <c r="A41" s="36">
        <v>2243</v>
      </c>
      <c r="B41" s="38" t="s">
        <v>15</v>
      </c>
      <c r="C41" s="76">
        <v>47.32</v>
      </c>
      <c r="D41" s="76">
        <f t="shared" si="1"/>
        <v>11.83</v>
      </c>
    </row>
    <row r="42" spans="1:5" ht="15" customHeight="1">
      <c r="A42" s="36">
        <v>2244</v>
      </c>
      <c r="B42" s="38" t="s">
        <v>16</v>
      </c>
      <c r="C42" s="76">
        <v>779.26</v>
      </c>
      <c r="D42" s="76">
        <v>350.76</v>
      </c>
      <c r="E42" s="126"/>
    </row>
    <row r="43" spans="1:4" ht="14.25" customHeight="1">
      <c r="A43" s="36">
        <v>2247</v>
      </c>
      <c r="B43" s="34" t="s">
        <v>93</v>
      </c>
      <c r="C43" s="76">
        <v>2.52</v>
      </c>
      <c r="D43" s="76">
        <f t="shared" si="1"/>
        <v>0.63</v>
      </c>
    </row>
    <row r="44" spans="1:4" ht="15" customHeight="1">
      <c r="A44" s="36">
        <v>2249</v>
      </c>
      <c r="B44" s="38" t="s">
        <v>17</v>
      </c>
      <c r="C44" s="76">
        <v>11</v>
      </c>
      <c r="D44" s="76">
        <f t="shared" si="1"/>
        <v>2.75</v>
      </c>
    </row>
    <row r="45" spans="1:4" ht="15" customHeight="1">
      <c r="A45" s="36">
        <v>2251</v>
      </c>
      <c r="B45" s="38" t="s">
        <v>94</v>
      </c>
      <c r="C45" s="76">
        <v>103.57</v>
      </c>
      <c r="D45" s="76">
        <f t="shared" si="1"/>
        <v>25.892499999999995</v>
      </c>
    </row>
    <row r="46" spans="1:4" ht="15" customHeight="1">
      <c r="A46" s="36">
        <v>2252</v>
      </c>
      <c r="B46" s="38" t="s">
        <v>96</v>
      </c>
      <c r="C46" s="76">
        <v>1.38</v>
      </c>
      <c r="D46" s="76">
        <f t="shared" si="1"/>
        <v>0.345</v>
      </c>
    </row>
    <row r="47" spans="1:4" ht="15" customHeight="1">
      <c r="A47" s="36">
        <v>2259</v>
      </c>
      <c r="B47" s="38" t="s">
        <v>95</v>
      </c>
      <c r="C47" s="76">
        <v>0.22</v>
      </c>
      <c r="D47" s="76">
        <f t="shared" si="1"/>
        <v>0.055</v>
      </c>
    </row>
    <row r="48" spans="1:4" ht="15" customHeight="1" hidden="1">
      <c r="A48" s="36">
        <v>2261</v>
      </c>
      <c r="B48" s="38" t="s">
        <v>18</v>
      </c>
      <c r="C48" s="76">
        <v>0</v>
      </c>
      <c r="D48" s="76">
        <f t="shared" si="1"/>
        <v>0</v>
      </c>
    </row>
    <row r="49" spans="1:4" ht="15" customHeight="1">
      <c r="A49" s="36">
        <v>2262</v>
      </c>
      <c r="B49" s="38" t="s">
        <v>19</v>
      </c>
      <c r="C49" s="76">
        <v>27.93</v>
      </c>
      <c r="D49" s="76">
        <f t="shared" si="1"/>
        <v>6.9825</v>
      </c>
    </row>
    <row r="50" spans="1:4" ht="15" customHeight="1">
      <c r="A50" s="36">
        <v>2263</v>
      </c>
      <c r="B50" s="38" t="s">
        <v>20</v>
      </c>
      <c r="C50" s="76">
        <v>103.01</v>
      </c>
      <c r="D50" s="76">
        <f t="shared" si="1"/>
        <v>25.7525</v>
      </c>
    </row>
    <row r="51" spans="1:4" ht="15" customHeight="1">
      <c r="A51" s="36">
        <v>2264</v>
      </c>
      <c r="B51" s="38" t="s">
        <v>21</v>
      </c>
      <c r="C51" s="76">
        <v>0.52</v>
      </c>
      <c r="D51" s="76">
        <f t="shared" si="1"/>
        <v>0.13</v>
      </c>
    </row>
    <row r="52" spans="1:4" ht="15" customHeight="1">
      <c r="A52" s="36">
        <v>2279</v>
      </c>
      <c r="B52" s="38" t="s">
        <v>22</v>
      </c>
      <c r="C52" s="76">
        <v>115.07</v>
      </c>
      <c r="D52" s="76">
        <f t="shared" si="1"/>
        <v>28.767499999999995</v>
      </c>
    </row>
    <row r="53" spans="1:4" ht="15" customHeight="1">
      <c r="A53" s="36">
        <v>2311</v>
      </c>
      <c r="B53" s="38" t="s">
        <v>23</v>
      </c>
      <c r="C53" s="76">
        <v>10.84</v>
      </c>
      <c r="D53" s="76">
        <f t="shared" si="1"/>
        <v>2.71</v>
      </c>
    </row>
    <row r="54" spans="1:4" ht="15" customHeight="1">
      <c r="A54" s="36">
        <v>2312</v>
      </c>
      <c r="B54" s="38" t="s">
        <v>24</v>
      </c>
      <c r="C54" s="76">
        <v>20.02</v>
      </c>
      <c r="D54" s="76">
        <f t="shared" si="1"/>
        <v>5.005</v>
      </c>
    </row>
    <row r="55" spans="1:4" ht="15" customHeight="1">
      <c r="A55" s="36">
        <v>2321</v>
      </c>
      <c r="B55" s="38" t="s">
        <v>25</v>
      </c>
      <c r="C55" s="76">
        <v>449.25</v>
      </c>
      <c r="D55" s="76">
        <f t="shared" si="1"/>
        <v>112.3125</v>
      </c>
    </row>
    <row r="56" spans="1:4" ht="15" customHeight="1">
      <c r="A56" s="36">
        <v>2322</v>
      </c>
      <c r="B56" s="38" t="s">
        <v>26</v>
      </c>
      <c r="C56" s="76">
        <v>233.19</v>
      </c>
      <c r="D56" s="76">
        <f t="shared" si="1"/>
        <v>58.2975</v>
      </c>
    </row>
    <row r="57" spans="1:4" ht="15" customHeight="1">
      <c r="A57" s="36">
        <v>2341</v>
      </c>
      <c r="B57" s="38" t="s">
        <v>27</v>
      </c>
      <c r="C57" s="76">
        <v>10.11</v>
      </c>
      <c r="D57" s="76">
        <f t="shared" si="1"/>
        <v>2.5275</v>
      </c>
    </row>
    <row r="58" spans="1:4" ht="15" customHeight="1">
      <c r="A58" s="36">
        <v>2344</v>
      </c>
      <c r="B58" s="38" t="s">
        <v>28</v>
      </c>
      <c r="C58" s="76">
        <v>0.14</v>
      </c>
      <c r="D58" s="76">
        <f t="shared" si="1"/>
        <v>0.035</v>
      </c>
    </row>
    <row r="59" spans="1:4" ht="16.5" customHeight="1">
      <c r="A59" s="36">
        <v>2350</v>
      </c>
      <c r="B59" s="38" t="s">
        <v>29</v>
      </c>
      <c r="C59" s="76">
        <v>85.72</v>
      </c>
      <c r="D59" s="76">
        <f t="shared" si="1"/>
        <v>21.43</v>
      </c>
    </row>
    <row r="60" spans="1:4" ht="15.75">
      <c r="A60" s="36">
        <v>2361</v>
      </c>
      <c r="B60" s="38" t="s">
        <v>30</v>
      </c>
      <c r="C60" s="76">
        <v>41.52</v>
      </c>
      <c r="D60" s="76">
        <f t="shared" si="1"/>
        <v>10.38</v>
      </c>
    </row>
    <row r="61" spans="1:4" ht="15.75">
      <c r="A61" s="36">
        <v>2362</v>
      </c>
      <c r="B61" s="38" t="s">
        <v>31</v>
      </c>
      <c r="C61" s="76">
        <v>21.62</v>
      </c>
      <c r="D61" s="76">
        <f t="shared" si="1"/>
        <v>5.405</v>
      </c>
    </row>
    <row r="62" spans="1:4" ht="15.75" hidden="1">
      <c r="A62" s="36">
        <v>2363</v>
      </c>
      <c r="B62" s="38" t="s">
        <v>32</v>
      </c>
      <c r="C62" s="76">
        <v>0</v>
      </c>
      <c r="D62" s="76">
        <f t="shared" si="1"/>
        <v>0</v>
      </c>
    </row>
    <row r="63" spans="1:4" ht="15.75" hidden="1">
      <c r="A63" s="36">
        <v>2370</v>
      </c>
      <c r="B63" s="38" t="s">
        <v>33</v>
      </c>
      <c r="C63" s="76">
        <v>0</v>
      </c>
      <c r="D63" s="76">
        <f t="shared" si="1"/>
        <v>0</v>
      </c>
    </row>
    <row r="64" spans="1:4" ht="15.75">
      <c r="A64" s="36">
        <v>2400</v>
      </c>
      <c r="B64" s="38" t="s">
        <v>47</v>
      </c>
      <c r="C64" s="76">
        <v>4.46</v>
      </c>
      <c r="D64" s="76">
        <f t="shared" si="1"/>
        <v>1.115</v>
      </c>
    </row>
    <row r="65" spans="1:4" ht="15" customHeight="1">
      <c r="A65" s="36">
        <v>2513</v>
      </c>
      <c r="B65" s="38" t="s">
        <v>35</v>
      </c>
      <c r="C65" s="76">
        <v>69.76</v>
      </c>
      <c r="D65" s="76">
        <f t="shared" si="1"/>
        <v>17.44</v>
      </c>
    </row>
    <row r="66" spans="1:4" ht="15" customHeight="1">
      <c r="A66" s="36">
        <v>2515</v>
      </c>
      <c r="B66" s="38" t="s">
        <v>97</v>
      </c>
      <c r="C66" s="76">
        <v>3.08</v>
      </c>
      <c r="D66" s="76">
        <f t="shared" si="1"/>
        <v>0.77</v>
      </c>
    </row>
    <row r="67" spans="1:4" ht="15.75" customHeight="1">
      <c r="A67" s="36">
        <v>2519</v>
      </c>
      <c r="B67" s="38" t="s">
        <v>38</v>
      </c>
      <c r="C67" s="76">
        <v>16.26</v>
      </c>
      <c r="D67" s="76">
        <f t="shared" si="1"/>
        <v>4.065</v>
      </c>
    </row>
    <row r="68" spans="1:4" ht="15.75" hidden="1">
      <c r="A68" s="36">
        <v>6240</v>
      </c>
      <c r="B68" s="38" t="s">
        <v>50</v>
      </c>
      <c r="C68" s="76">
        <v>0</v>
      </c>
      <c r="D68" s="76">
        <f t="shared" si="1"/>
        <v>0</v>
      </c>
    </row>
    <row r="69" spans="1:4" ht="15.75" hidden="1">
      <c r="A69" s="36">
        <v>6290</v>
      </c>
      <c r="B69" s="38" t="s">
        <v>51</v>
      </c>
      <c r="C69" s="76">
        <v>0</v>
      </c>
      <c r="D69" s="76">
        <f t="shared" si="1"/>
        <v>0</v>
      </c>
    </row>
    <row r="70" spans="1:4" ht="15" customHeight="1">
      <c r="A70" s="36">
        <v>5121</v>
      </c>
      <c r="B70" s="38" t="s">
        <v>36</v>
      </c>
      <c r="C70" s="76">
        <v>13.15</v>
      </c>
      <c r="D70" s="76">
        <f t="shared" si="1"/>
        <v>3.2875</v>
      </c>
    </row>
    <row r="71" spans="1:4" ht="15" customHeight="1">
      <c r="A71" s="36">
        <v>5232</v>
      </c>
      <c r="B71" s="38" t="s">
        <v>37</v>
      </c>
      <c r="C71" s="76">
        <v>242.97</v>
      </c>
      <c r="D71" s="76">
        <f t="shared" si="1"/>
        <v>60.7425</v>
      </c>
    </row>
    <row r="72" spans="1:4" ht="15" customHeight="1">
      <c r="A72" s="36">
        <v>5238</v>
      </c>
      <c r="B72" s="38" t="s">
        <v>39</v>
      </c>
      <c r="C72" s="76">
        <v>145.96</v>
      </c>
      <c r="D72" s="76">
        <f t="shared" si="1"/>
        <v>36.49</v>
      </c>
    </row>
    <row r="73" spans="1:4" ht="15" customHeight="1">
      <c r="A73" s="36">
        <v>5240</v>
      </c>
      <c r="B73" s="38" t="s">
        <v>40</v>
      </c>
      <c r="C73" s="76">
        <v>121.73</v>
      </c>
      <c r="D73" s="76">
        <f>C73/200*50</f>
        <v>30.4325</v>
      </c>
    </row>
    <row r="74" spans="1:4" ht="15.75" hidden="1">
      <c r="A74" s="36">
        <v>5250</v>
      </c>
      <c r="B74" s="38" t="s">
        <v>41</v>
      </c>
      <c r="C74" s="78"/>
      <c r="D74" s="78"/>
    </row>
    <row r="75" spans="1:4" ht="15" customHeight="1">
      <c r="A75" s="41"/>
      <c r="B75" s="45" t="s">
        <v>9</v>
      </c>
      <c r="C75" s="77">
        <f>SUM(C32:C74)</f>
        <v>5796.610000000001</v>
      </c>
      <c r="D75" s="77">
        <f>SUM(D32:D74)</f>
        <v>1605.0975000000003</v>
      </c>
    </row>
    <row r="76" spans="1:4" ht="15" customHeight="1">
      <c r="A76" s="41"/>
      <c r="B76" s="45" t="s">
        <v>48</v>
      </c>
      <c r="C76" s="77">
        <f>C75+C30</f>
        <v>12622.000000000002</v>
      </c>
      <c r="D76" s="77">
        <f>D75+D30</f>
        <v>3574.5000000000005</v>
      </c>
    </row>
    <row r="77" spans="1:3" ht="12.75" customHeight="1">
      <c r="A77" s="52"/>
      <c r="B77" s="53"/>
      <c r="C77" s="71"/>
    </row>
    <row r="78" spans="1:4" ht="15" customHeight="1">
      <c r="A78" s="139" t="s">
        <v>63</v>
      </c>
      <c r="B78" s="139"/>
      <c r="C78" s="73">
        <v>200</v>
      </c>
      <c r="D78" s="116">
        <v>50</v>
      </c>
    </row>
    <row r="79" spans="1:4" ht="15" customHeight="1">
      <c r="A79" s="139" t="s">
        <v>64</v>
      </c>
      <c r="B79" s="139"/>
      <c r="C79" s="79">
        <f>C76/C78</f>
        <v>63.11000000000001</v>
      </c>
      <c r="D79" s="117">
        <f>D76/D78</f>
        <v>71.49000000000001</v>
      </c>
    </row>
    <row r="80" spans="1:4" ht="12.75" customHeight="1">
      <c r="A80" s="18"/>
      <c r="B80" s="18"/>
      <c r="C80" s="80"/>
      <c r="D80" s="80"/>
    </row>
    <row r="81" spans="1:4" s="7" customFormat="1" ht="15.75">
      <c r="A81" s="146" t="s">
        <v>56</v>
      </c>
      <c r="B81" s="147"/>
      <c r="C81" s="81">
        <v>59.73</v>
      </c>
      <c r="D81" s="81"/>
    </row>
    <row r="82" spans="1:4" s="7" customFormat="1" ht="15.75">
      <c r="A82" s="146" t="s">
        <v>85</v>
      </c>
      <c r="B82" s="147"/>
      <c r="C82" s="81"/>
      <c r="D82" s="81"/>
    </row>
    <row r="83" spans="1:4" s="7" customFormat="1" ht="15.75">
      <c r="A83" s="26"/>
      <c r="B83" s="26"/>
      <c r="C83" s="26"/>
      <c r="D83" s="82"/>
    </row>
    <row r="84" spans="1:4" s="7" customFormat="1" ht="15.75">
      <c r="A84" s="26" t="s">
        <v>57</v>
      </c>
      <c r="B84" s="26"/>
      <c r="C84" s="26"/>
      <c r="D84" s="82"/>
    </row>
    <row r="85" spans="1:4" s="7" customFormat="1" ht="15.75">
      <c r="A85" s="26"/>
      <c r="B85" s="26"/>
      <c r="C85" s="26"/>
      <c r="D85" s="82"/>
    </row>
    <row r="86" spans="1:4" s="7" customFormat="1" ht="15.75">
      <c r="A86" s="26" t="s">
        <v>78</v>
      </c>
      <c r="B86" s="27"/>
      <c r="C86" s="27"/>
      <c r="D86" s="83"/>
    </row>
    <row r="87" spans="1:4" s="7" customFormat="1" ht="13.5" customHeight="1">
      <c r="A87" s="26"/>
      <c r="B87" s="28"/>
      <c r="C87" s="28"/>
      <c r="D87" s="82"/>
    </row>
    <row r="88" spans="1:4" s="7" customFormat="1" ht="13.5" customHeight="1">
      <c r="A88" s="26"/>
      <c r="B88" s="28"/>
      <c r="C88" s="28"/>
      <c r="D88" s="82"/>
    </row>
    <row r="89" spans="1:4" s="3" customFormat="1" ht="15">
      <c r="A89" s="14"/>
      <c r="B89" s="14"/>
      <c r="C89" s="14"/>
      <c r="D89" s="71"/>
    </row>
  </sheetData>
  <sheetProtection/>
  <mergeCells count="11">
    <mergeCell ref="B13:D13"/>
    <mergeCell ref="B14:D14"/>
    <mergeCell ref="A78:B78"/>
    <mergeCell ref="A79:B79"/>
    <mergeCell ref="A81:B81"/>
    <mergeCell ref="A82:B82"/>
    <mergeCell ref="B1:D1"/>
    <mergeCell ref="B2:D2"/>
    <mergeCell ref="A9:B9"/>
    <mergeCell ref="A10:B10"/>
    <mergeCell ref="A7:D7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89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421875" style="14" customWidth="1"/>
    <col min="2" max="2" width="100.140625" style="14" customWidth="1"/>
    <col min="3" max="3" width="14.140625" style="14" hidden="1" customWidth="1"/>
    <col min="4" max="4" width="32.57421875" style="14" customWidth="1"/>
  </cols>
  <sheetData>
    <row r="1" spans="1:4" ht="15.75" customHeight="1">
      <c r="A1" s="21"/>
      <c r="B1" s="148" t="s">
        <v>53</v>
      </c>
      <c r="C1" s="148"/>
      <c r="D1" s="143"/>
    </row>
    <row r="2" spans="1:4" ht="15.75">
      <c r="A2" s="21"/>
      <c r="B2" s="149" t="s">
        <v>58</v>
      </c>
      <c r="C2" s="149"/>
      <c r="D2" s="150"/>
    </row>
    <row r="3" spans="1:4" ht="15.75">
      <c r="A3" s="21"/>
      <c r="B3" s="19"/>
      <c r="C3" s="19"/>
      <c r="D3" s="120" t="s">
        <v>196</v>
      </c>
    </row>
    <row r="4" spans="1:4" ht="15.75">
      <c r="A4" s="21"/>
      <c r="B4" s="19"/>
      <c r="C4" s="19"/>
      <c r="D4" s="46"/>
    </row>
    <row r="5" spans="1:4" ht="15.75">
      <c r="A5" s="21"/>
      <c r="B5" s="24"/>
      <c r="C5" s="24"/>
      <c r="D5" s="46" t="s">
        <v>197</v>
      </c>
    </row>
    <row r="6" spans="1:4" ht="15.75">
      <c r="A6" s="21"/>
      <c r="B6" s="19"/>
      <c r="C6" s="19"/>
      <c r="D6" s="110"/>
    </row>
    <row r="7" spans="1:4" ht="15.75">
      <c r="A7" s="151" t="s">
        <v>10</v>
      </c>
      <c r="B7" s="151"/>
      <c r="C7" s="151"/>
      <c r="D7" s="151"/>
    </row>
    <row r="8" spans="1:3" ht="15.75">
      <c r="A8" s="57"/>
      <c r="B8" s="57"/>
      <c r="C8" s="57"/>
    </row>
    <row r="9" spans="1:3" ht="15.75">
      <c r="A9" s="142" t="s">
        <v>1</v>
      </c>
      <c r="B9" s="142"/>
      <c r="C9" s="18"/>
    </row>
    <row r="10" spans="1:3" ht="15.75">
      <c r="A10" s="142" t="s">
        <v>0</v>
      </c>
      <c r="B10" s="142"/>
      <c r="C10" s="18"/>
    </row>
    <row r="11" spans="1:3" ht="15" customHeight="1">
      <c r="A11" s="18"/>
      <c r="B11" s="18" t="s">
        <v>49</v>
      </c>
      <c r="C11" s="18"/>
    </row>
    <row r="12" spans="1:4" ht="15" customHeight="1">
      <c r="A12" s="18"/>
      <c r="B12" s="18" t="s">
        <v>75</v>
      </c>
      <c r="C12" s="18"/>
      <c r="D12" s="23"/>
    </row>
    <row r="13" spans="1:4" ht="15" customHeight="1">
      <c r="A13" s="18"/>
      <c r="B13" s="142" t="s">
        <v>77</v>
      </c>
      <c r="C13" s="142"/>
      <c r="D13" s="143"/>
    </row>
    <row r="14" spans="1:4" ht="15" customHeight="1">
      <c r="A14" s="18"/>
      <c r="B14" s="142" t="s">
        <v>180</v>
      </c>
      <c r="C14" s="142"/>
      <c r="D14" s="143"/>
    </row>
    <row r="15" spans="1:3" ht="15" customHeight="1">
      <c r="A15" s="18" t="s">
        <v>2</v>
      </c>
      <c r="B15" s="18" t="str">
        <f>'4.1.1.1.'!B13</f>
        <v>2019.gadā un turpmāk</v>
      </c>
      <c r="C15" s="18"/>
    </row>
    <row r="16" spans="1:4" ht="67.5" customHeight="1">
      <c r="A16" s="65" t="s">
        <v>3</v>
      </c>
      <c r="B16" s="65" t="s">
        <v>4</v>
      </c>
      <c r="C16" s="65"/>
      <c r="D16" s="65" t="s">
        <v>83</v>
      </c>
    </row>
    <row r="17" spans="1:4" ht="15.75">
      <c r="A17" s="31">
        <v>1</v>
      </c>
      <c r="B17" s="32">
        <v>2</v>
      </c>
      <c r="C17" s="32"/>
      <c r="D17" s="32">
        <v>3</v>
      </c>
    </row>
    <row r="18" spans="1:4" ht="15.75">
      <c r="A18" s="33"/>
      <c r="B18" s="34" t="s">
        <v>6</v>
      </c>
      <c r="C18" s="34"/>
      <c r="D18" s="35"/>
    </row>
    <row r="19" spans="1:4" ht="15.75">
      <c r="A19" s="36">
        <v>1100</v>
      </c>
      <c r="B19" s="36" t="s">
        <v>91</v>
      </c>
      <c r="C19" s="37">
        <f>795+0.96*100</f>
        <v>891</v>
      </c>
      <c r="D19" s="37">
        <v>540</v>
      </c>
    </row>
    <row r="20" spans="1:4" ht="15.75">
      <c r="A20" s="36">
        <v>1200</v>
      </c>
      <c r="B20" s="38" t="s">
        <v>92</v>
      </c>
      <c r="C20" s="37">
        <f>191.51+0.23*100</f>
        <v>214.51</v>
      </c>
      <c r="D20" s="37">
        <v>130.09</v>
      </c>
    </row>
    <row r="21" spans="1:4" ht="15.75">
      <c r="A21" s="36">
        <v>2222</v>
      </c>
      <c r="B21" s="38" t="s">
        <v>43</v>
      </c>
      <c r="C21" s="37">
        <v>55.83</v>
      </c>
      <c r="D21" s="37">
        <f aca="true" t="shared" si="0" ref="D21:D29">C21/100*50</f>
        <v>27.915</v>
      </c>
    </row>
    <row r="22" spans="1:4" ht="15.75">
      <c r="A22" s="36">
        <v>2223</v>
      </c>
      <c r="B22" s="38" t="s">
        <v>44</v>
      </c>
      <c r="C22" s="37">
        <v>53.25</v>
      </c>
      <c r="D22" s="37">
        <f t="shared" si="0"/>
        <v>26.625</v>
      </c>
    </row>
    <row r="23" spans="1:4" ht="15.75">
      <c r="A23" s="36">
        <v>2243</v>
      </c>
      <c r="B23" s="38" t="s">
        <v>15</v>
      </c>
      <c r="C23" s="37">
        <v>14.62</v>
      </c>
      <c r="D23" s="37">
        <f t="shared" si="0"/>
        <v>7.31</v>
      </c>
    </row>
    <row r="24" spans="1:4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</row>
    <row r="25" spans="1:4" ht="15.75">
      <c r="A25" s="36">
        <v>2321</v>
      </c>
      <c r="B25" s="38" t="s">
        <v>25</v>
      </c>
      <c r="C25" s="37">
        <v>82.5</v>
      </c>
      <c r="D25" s="37">
        <f t="shared" si="0"/>
        <v>41.25</v>
      </c>
    </row>
    <row r="26" spans="1:4" ht="15.75">
      <c r="A26" s="36">
        <v>2341</v>
      </c>
      <c r="B26" s="38" t="s">
        <v>27</v>
      </c>
      <c r="C26" s="37">
        <v>35.66</v>
      </c>
      <c r="D26" s="37">
        <f t="shared" si="0"/>
        <v>17.83</v>
      </c>
    </row>
    <row r="27" spans="1:4" ht="15" customHeight="1">
      <c r="A27" s="36">
        <v>2350</v>
      </c>
      <c r="B27" s="38" t="s">
        <v>29</v>
      </c>
      <c r="C27" s="37">
        <v>0</v>
      </c>
      <c r="D27" s="37">
        <f t="shared" si="0"/>
        <v>0</v>
      </c>
    </row>
    <row r="28" spans="1:4" ht="15.75">
      <c r="A28" s="36">
        <v>2363</v>
      </c>
      <c r="B28" s="38" t="s">
        <v>32</v>
      </c>
      <c r="C28" s="37">
        <v>352</v>
      </c>
      <c r="D28" s="37">
        <v>196</v>
      </c>
    </row>
    <row r="29" spans="1:4" ht="15.75">
      <c r="A29" s="36">
        <v>5232</v>
      </c>
      <c r="B29" s="38" t="s">
        <v>37</v>
      </c>
      <c r="C29" s="37">
        <v>5.2</v>
      </c>
      <c r="D29" s="37">
        <f t="shared" si="0"/>
        <v>2.6</v>
      </c>
    </row>
    <row r="30" spans="1:4" ht="15.75">
      <c r="A30" s="36"/>
      <c r="B30" s="39" t="s">
        <v>7</v>
      </c>
      <c r="C30" s="40">
        <f>SUM(C19:C29)</f>
        <v>1704.57</v>
      </c>
      <c r="D30" s="40">
        <f>SUM(D19:D29)</f>
        <v>989.62</v>
      </c>
    </row>
    <row r="31" spans="1:4" ht="15.75">
      <c r="A31" s="41"/>
      <c r="B31" s="36" t="s">
        <v>8</v>
      </c>
      <c r="C31" s="35"/>
      <c r="D31" s="35"/>
    </row>
    <row r="32" spans="1:4" ht="15.75">
      <c r="A32" s="36">
        <v>1100</v>
      </c>
      <c r="B32" s="36" t="s">
        <v>91</v>
      </c>
      <c r="C32" s="37">
        <v>734.52</v>
      </c>
      <c r="D32" s="37">
        <f aca="true" t="shared" si="1" ref="D32:D74">C32/100*50</f>
        <v>367.26</v>
      </c>
    </row>
    <row r="33" spans="1:4" ht="15.75">
      <c r="A33" s="36">
        <v>1200</v>
      </c>
      <c r="B33" s="38" t="s">
        <v>92</v>
      </c>
      <c r="C33" s="37">
        <v>176.94</v>
      </c>
      <c r="D33" s="37">
        <f t="shared" si="1"/>
        <v>88.47</v>
      </c>
    </row>
    <row r="34" spans="1:4" ht="15.75" hidden="1">
      <c r="A34" s="36">
        <v>2100</v>
      </c>
      <c r="B34" s="42" t="s">
        <v>46</v>
      </c>
      <c r="C34" s="37">
        <v>0</v>
      </c>
      <c r="D34" s="37">
        <f t="shared" si="1"/>
        <v>0</v>
      </c>
    </row>
    <row r="35" spans="1:4" ht="15.75">
      <c r="A35" s="43">
        <v>2210</v>
      </c>
      <c r="B35" s="38" t="s">
        <v>42</v>
      </c>
      <c r="C35" s="37">
        <v>11.56</v>
      </c>
      <c r="D35" s="37">
        <f t="shared" si="1"/>
        <v>5.78</v>
      </c>
    </row>
    <row r="36" spans="1:4" ht="15.75">
      <c r="A36" s="36">
        <v>2222</v>
      </c>
      <c r="B36" s="38" t="s">
        <v>43</v>
      </c>
      <c r="C36" s="37">
        <v>83.52</v>
      </c>
      <c r="D36" s="37">
        <f t="shared" si="1"/>
        <v>41.76</v>
      </c>
    </row>
    <row r="37" spans="1:4" ht="15.75">
      <c r="A37" s="36">
        <v>2223</v>
      </c>
      <c r="B37" s="38" t="s">
        <v>44</v>
      </c>
      <c r="C37" s="37">
        <v>114.36</v>
      </c>
      <c r="D37" s="37">
        <f t="shared" si="1"/>
        <v>57.18</v>
      </c>
    </row>
    <row r="38" spans="1:4" ht="15.75">
      <c r="A38" s="36">
        <v>2230</v>
      </c>
      <c r="B38" s="38" t="s">
        <v>45</v>
      </c>
      <c r="C38" s="37">
        <v>7.89</v>
      </c>
      <c r="D38" s="37">
        <f t="shared" si="1"/>
        <v>3.945</v>
      </c>
    </row>
    <row r="39" spans="1:4" ht="15.75">
      <c r="A39" s="36">
        <v>2241</v>
      </c>
      <c r="B39" s="38" t="s">
        <v>13</v>
      </c>
      <c r="C39" s="37">
        <v>0</v>
      </c>
      <c r="D39" s="37">
        <f t="shared" si="1"/>
        <v>0</v>
      </c>
    </row>
    <row r="40" spans="1:4" ht="15.75">
      <c r="A40" s="36">
        <v>2242</v>
      </c>
      <c r="B40" s="38" t="s">
        <v>14</v>
      </c>
      <c r="C40" s="37">
        <v>2.12</v>
      </c>
      <c r="D40" s="37">
        <f t="shared" si="1"/>
        <v>1.06</v>
      </c>
    </row>
    <row r="41" spans="1:4" ht="15" customHeight="1">
      <c r="A41" s="36">
        <v>2243</v>
      </c>
      <c r="B41" s="38" t="s">
        <v>15</v>
      </c>
      <c r="C41" s="37">
        <v>11.33</v>
      </c>
      <c r="D41" s="37">
        <f t="shared" si="1"/>
        <v>5.665</v>
      </c>
    </row>
    <row r="42" spans="1:4" ht="15.75">
      <c r="A42" s="36">
        <v>2244</v>
      </c>
      <c r="B42" s="38" t="s">
        <v>16</v>
      </c>
      <c r="C42" s="37">
        <v>224.5</v>
      </c>
      <c r="D42" s="37">
        <v>178.41</v>
      </c>
    </row>
    <row r="43" spans="1:4" ht="15.75">
      <c r="A43" s="36">
        <v>2247</v>
      </c>
      <c r="B43" s="34" t="s">
        <v>93</v>
      </c>
      <c r="C43" s="37">
        <v>0.71</v>
      </c>
      <c r="D43" s="37">
        <f t="shared" si="1"/>
        <v>0.355</v>
      </c>
    </row>
    <row r="44" spans="1:4" ht="15" customHeight="1">
      <c r="A44" s="36">
        <v>2249</v>
      </c>
      <c r="B44" s="38" t="s">
        <v>17</v>
      </c>
      <c r="C44" s="37">
        <v>2.94</v>
      </c>
      <c r="D44" s="37">
        <f t="shared" si="1"/>
        <v>1.47</v>
      </c>
    </row>
    <row r="45" spans="1:4" ht="15.75">
      <c r="A45" s="36">
        <v>2251</v>
      </c>
      <c r="B45" s="38" t="s">
        <v>94</v>
      </c>
      <c r="C45" s="37">
        <v>27.01</v>
      </c>
      <c r="D45" s="37">
        <f t="shared" si="1"/>
        <v>13.505</v>
      </c>
    </row>
    <row r="46" spans="1:4" ht="15.75" hidden="1">
      <c r="A46" s="36">
        <v>2252</v>
      </c>
      <c r="B46" s="38" t="s">
        <v>11</v>
      </c>
      <c r="C46" s="37">
        <v>0</v>
      </c>
      <c r="D46" s="37">
        <f t="shared" si="1"/>
        <v>0</v>
      </c>
    </row>
    <row r="47" spans="1:4" ht="15.75">
      <c r="A47" s="36">
        <v>2259</v>
      </c>
      <c r="B47" s="38" t="s">
        <v>95</v>
      </c>
      <c r="C47" s="37">
        <v>0.09</v>
      </c>
      <c r="D47" s="37">
        <f t="shared" si="1"/>
        <v>0.045</v>
      </c>
    </row>
    <row r="48" spans="1:4" ht="15.75" hidden="1">
      <c r="A48" s="36">
        <v>2261</v>
      </c>
      <c r="B48" s="38" t="s">
        <v>18</v>
      </c>
      <c r="C48" s="37"/>
      <c r="D48" s="37">
        <f t="shared" si="1"/>
        <v>0</v>
      </c>
    </row>
    <row r="49" spans="1:4" ht="15.75">
      <c r="A49" s="36">
        <v>2262</v>
      </c>
      <c r="B49" s="38" t="s">
        <v>19</v>
      </c>
      <c r="C49" s="37">
        <v>8.28</v>
      </c>
      <c r="D49" s="37">
        <f t="shared" si="1"/>
        <v>4.14</v>
      </c>
    </row>
    <row r="50" spans="1:4" ht="15.75">
      <c r="A50" s="36">
        <v>2263</v>
      </c>
      <c r="B50" s="38" t="s">
        <v>20</v>
      </c>
      <c r="C50" s="37">
        <v>29.52</v>
      </c>
      <c r="D50" s="37">
        <f t="shared" si="1"/>
        <v>14.760000000000002</v>
      </c>
    </row>
    <row r="51" spans="1:4" ht="15.75">
      <c r="A51" s="36">
        <v>2264</v>
      </c>
      <c r="B51" s="38" t="s">
        <v>21</v>
      </c>
      <c r="C51" s="37">
        <v>0.08</v>
      </c>
      <c r="D51" s="37">
        <f t="shared" si="1"/>
        <v>0.04</v>
      </c>
    </row>
    <row r="52" spans="1:4" ht="14.25" customHeight="1">
      <c r="A52" s="36">
        <v>2279</v>
      </c>
      <c r="B52" s="38" t="s">
        <v>22</v>
      </c>
      <c r="C52" s="37">
        <v>39.49</v>
      </c>
      <c r="D52" s="37">
        <f t="shared" si="1"/>
        <v>19.745</v>
      </c>
    </row>
    <row r="53" spans="1:4" ht="15.75">
      <c r="A53" s="36">
        <v>2311</v>
      </c>
      <c r="B53" s="38" t="s">
        <v>23</v>
      </c>
      <c r="C53" s="37">
        <v>2.6</v>
      </c>
      <c r="D53" s="37">
        <f t="shared" si="1"/>
        <v>1.3</v>
      </c>
    </row>
    <row r="54" spans="1:4" ht="15.75">
      <c r="A54" s="36">
        <v>2312</v>
      </c>
      <c r="B54" s="38" t="s">
        <v>24</v>
      </c>
      <c r="C54" s="37">
        <v>8.94</v>
      </c>
      <c r="D54" s="37">
        <f t="shared" si="1"/>
        <v>4.47</v>
      </c>
    </row>
    <row r="55" spans="1:4" ht="15" customHeight="1">
      <c r="A55" s="36">
        <v>2321</v>
      </c>
      <c r="B55" s="38" t="s">
        <v>25</v>
      </c>
      <c r="C55" s="37">
        <v>201.52</v>
      </c>
      <c r="D55" s="37">
        <f t="shared" si="1"/>
        <v>100.76</v>
      </c>
    </row>
    <row r="56" spans="1:4" ht="15" customHeight="1">
      <c r="A56" s="36">
        <v>2322</v>
      </c>
      <c r="B56" s="38" t="s">
        <v>26</v>
      </c>
      <c r="C56" s="37">
        <v>20.75</v>
      </c>
      <c r="D56" s="37">
        <f t="shared" si="1"/>
        <v>10.375</v>
      </c>
    </row>
    <row r="57" spans="1:4" ht="15" customHeight="1">
      <c r="A57" s="36">
        <v>2341</v>
      </c>
      <c r="B57" s="38" t="s">
        <v>27</v>
      </c>
      <c r="C57" s="37">
        <v>1.36</v>
      </c>
      <c r="D57" s="37">
        <f t="shared" si="1"/>
        <v>0.68</v>
      </c>
    </row>
    <row r="58" spans="1:4" ht="15" customHeight="1">
      <c r="A58" s="36">
        <v>2344</v>
      </c>
      <c r="B58" s="38" t="s">
        <v>28</v>
      </c>
      <c r="C58" s="37">
        <v>0.02</v>
      </c>
      <c r="D58" s="37">
        <f t="shared" si="1"/>
        <v>0.01</v>
      </c>
    </row>
    <row r="59" spans="1:4" ht="15" customHeight="1">
      <c r="A59" s="36">
        <v>2350</v>
      </c>
      <c r="B59" s="38" t="s">
        <v>29</v>
      </c>
      <c r="C59" s="37">
        <v>28.78</v>
      </c>
      <c r="D59" s="37">
        <f t="shared" si="1"/>
        <v>14.39</v>
      </c>
    </row>
    <row r="60" spans="1:4" ht="15" customHeight="1">
      <c r="A60" s="36">
        <v>2361</v>
      </c>
      <c r="B60" s="38" t="s">
        <v>30</v>
      </c>
      <c r="C60" s="37">
        <v>21.46</v>
      </c>
      <c r="D60" s="37">
        <f t="shared" si="1"/>
        <v>10.73</v>
      </c>
    </row>
    <row r="61" spans="1:4" ht="15" customHeight="1">
      <c r="A61" s="36">
        <v>2362</v>
      </c>
      <c r="B61" s="38" t="s">
        <v>31</v>
      </c>
      <c r="C61" s="37">
        <v>0.7</v>
      </c>
      <c r="D61" s="37">
        <f t="shared" si="1"/>
        <v>0.35</v>
      </c>
    </row>
    <row r="62" spans="1:4" ht="15.75">
      <c r="A62" s="36">
        <v>2363</v>
      </c>
      <c r="B62" s="38" t="s">
        <v>32</v>
      </c>
      <c r="C62" s="37">
        <v>5.74</v>
      </c>
      <c r="D62" s="37">
        <f t="shared" si="1"/>
        <v>2.87</v>
      </c>
    </row>
    <row r="63" spans="1:4" ht="15.75" hidden="1">
      <c r="A63" s="36">
        <v>2370</v>
      </c>
      <c r="B63" s="38" t="s">
        <v>33</v>
      </c>
      <c r="C63" s="37">
        <v>0</v>
      </c>
      <c r="D63" s="37">
        <f t="shared" si="1"/>
        <v>0</v>
      </c>
    </row>
    <row r="64" spans="1:4" ht="15.75">
      <c r="A64" s="36">
        <v>2400</v>
      </c>
      <c r="B64" s="38" t="s">
        <v>47</v>
      </c>
      <c r="C64" s="37">
        <v>0.99</v>
      </c>
      <c r="D64" s="37">
        <f t="shared" si="1"/>
        <v>0.49499999999999994</v>
      </c>
    </row>
    <row r="65" spans="1:4" ht="15.75">
      <c r="A65" s="36">
        <v>2513</v>
      </c>
      <c r="B65" s="38" t="s">
        <v>35</v>
      </c>
      <c r="C65" s="37">
        <v>17.77</v>
      </c>
      <c r="D65" s="37">
        <f t="shared" si="1"/>
        <v>8.885</v>
      </c>
    </row>
    <row r="66" spans="1:4" ht="15" customHeight="1">
      <c r="A66" s="36">
        <v>2515</v>
      </c>
      <c r="B66" s="38" t="s">
        <v>97</v>
      </c>
      <c r="C66" s="37">
        <v>2.41</v>
      </c>
      <c r="D66" s="37">
        <f t="shared" si="1"/>
        <v>1.205</v>
      </c>
    </row>
    <row r="67" spans="1:4" ht="15" customHeight="1">
      <c r="A67" s="36">
        <v>2519</v>
      </c>
      <c r="B67" s="38" t="s">
        <v>38</v>
      </c>
      <c r="C67" s="37">
        <v>4.42</v>
      </c>
      <c r="D67" s="37">
        <f t="shared" si="1"/>
        <v>2.21</v>
      </c>
    </row>
    <row r="68" spans="1:4" ht="15.75" hidden="1">
      <c r="A68" s="36">
        <v>6240</v>
      </c>
      <c r="B68" s="38" t="s">
        <v>50</v>
      </c>
      <c r="C68" s="37">
        <v>0</v>
      </c>
      <c r="D68" s="37">
        <f t="shared" si="1"/>
        <v>0</v>
      </c>
    </row>
    <row r="69" spans="1:4" ht="15.75" hidden="1">
      <c r="A69" s="36">
        <v>6290</v>
      </c>
      <c r="B69" s="38" t="s">
        <v>51</v>
      </c>
      <c r="C69" s="37">
        <v>0</v>
      </c>
      <c r="D69" s="37">
        <f t="shared" si="1"/>
        <v>0</v>
      </c>
    </row>
    <row r="70" spans="1:4" ht="15" customHeight="1">
      <c r="A70" s="36">
        <v>5121</v>
      </c>
      <c r="B70" s="38" t="s">
        <v>36</v>
      </c>
      <c r="C70" s="37">
        <v>3.16</v>
      </c>
      <c r="D70" s="37">
        <f t="shared" si="1"/>
        <v>1.58</v>
      </c>
    </row>
    <row r="71" spans="1:4" ht="15.75">
      <c r="A71" s="36">
        <v>5232</v>
      </c>
      <c r="B71" s="38" t="s">
        <v>37</v>
      </c>
      <c r="C71" s="37">
        <v>11.48</v>
      </c>
      <c r="D71" s="37">
        <f t="shared" si="1"/>
        <v>5.74</v>
      </c>
    </row>
    <row r="72" spans="1:4" ht="15.75" hidden="1">
      <c r="A72" s="36">
        <v>5238</v>
      </c>
      <c r="B72" s="38" t="s">
        <v>39</v>
      </c>
      <c r="C72" s="37">
        <v>0</v>
      </c>
      <c r="D72" s="37">
        <f t="shared" si="1"/>
        <v>0</v>
      </c>
    </row>
    <row r="73" spans="1:4" ht="15.75">
      <c r="A73" s="36">
        <v>5240</v>
      </c>
      <c r="B73" s="38" t="s">
        <v>40</v>
      </c>
      <c r="C73" s="37">
        <v>0.34</v>
      </c>
      <c r="D73" s="37">
        <f t="shared" si="1"/>
        <v>0.17</v>
      </c>
    </row>
    <row r="74" spans="1:4" ht="15.75">
      <c r="A74" s="36">
        <v>5250</v>
      </c>
      <c r="B74" s="38" t="s">
        <v>41</v>
      </c>
      <c r="C74" s="37">
        <v>2.13</v>
      </c>
      <c r="D74" s="37">
        <f t="shared" si="1"/>
        <v>1.065</v>
      </c>
    </row>
    <row r="75" spans="1:4" ht="15" customHeight="1">
      <c r="A75" s="41"/>
      <c r="B75" s="45" t="s">
        <v>9</v>
      </c>
      <c r="C75" s="40">
        <f>SUM(C32:C74)</f>
        <v>1809.4299999999998</v>
      </c>
      <c r="D75" s="40">
        <f>SUM(D32:D74)</f>
        <v>970.8749999999999</v>
      </c>
    </row>
    <row r="76" spans="1:4" ht="15" customHeight="1">
      <c r="A76" s="41"/>
      <c r="B76" s="45" t="s">
        <v>48</v>
      </c>
      <c r="C76" s="40">
        <f>C75+C30</f>
        <v>3514</v>
      </c>
      <c r="D76" s="40">
        <f>D75+D30</f>
        <v>1960.495</v>
      </c>
    </row>
    <row r="77" spans="1:2" ht="15.75">
      <c r="A77" s="46"/>
      <c r="B77" s="29"/>
    </row>
    <row r="78" spans="1:4" ht="15.75">
      <c r="A78" s="142" t="s">
        <v>63</v>
      </c>
      <c r="B78" s="142"/>
      <c r="C78" s="30">
        <v>100</v>
      </c>
      <c r="D78" s="116">
        <v>50</v>
      </c>
    </row>
    <row r="79" spans="1:4" ht="15.75">
      <c r="A79" s="142" t="s">
        <v>64</v>
      </c>
      <c r="B79" s="142"/>
      <c r="C79" s="48">
        <f>C76/C78</f>
        <v>35.14</v>
      </c>
      <c r="D79" s="117">
        <f>D76/D78</f>
        <v>39.2099</v>
      </c>
    </row>
    <row r="80" spans="1:4" ht="15.75">
      <c r="A80" s="18"/>
      <c r="B80" s="18"/>
      <c r="C80" s="47"/>
      <c r="D80" s="47"/>
    </row>
    <row r="81" spans="1:4" s="7" customFormat="1" ht="15.75">
      <c r="A81" s="146" t="s">
        <v>56</v>
      </c>
      <c r="B81" s="147"/>
      <c r="C81" s="50">
        <v>33.95</v>
      </c>
      <c r="D81" s="50"/>
    </row>
    <row r="82" spans="1:4" s="7" customFormat="1" ht="15.75">
      <c r="A82" s="146" t="s">
        <v>85</v>
      </c>
      <c r="B82" s="147"/>
      <c r="C82" s="50"/>
      <c r="D82" s="50"/>
    </row>
    <row r="83" spans="1:4" s="7" customFormat="1" ht="15.75">
      <c r="A83" s="26"/>
      <c r="B83" s="26"/>
      <c r="C83" s="26"/>
      <c r="D83" s="26"/>
    </row>
    <row r="84" spans="1:4" s="7" customFormat="1" ht="15.75">
      <c r="A84" s="26" t="s">
        <v>57</v>
      </c>
      <c r="B84" s="26"/>
      <c r="C84" s="26"/>
      <c r="D84" s="26"/>
    </row>
    <row r="85" spans="1:4" s="7" customFormat="1" ht="15.75">
      <c r="A85" s="26"/>
      <c r="B85" s="26"/>
      <c r="C85" s="26"/>
      <c r="D85" s="26"/>
    </row>
    <row r="86" spans="1:4" s="7" customFormat="1" ht="15.75">
      <c r="A86" s="26" t="s">
        <v>78</v>
      </c>
      <c r="B86" s="27"/>
      <c r="C86" s="27"/>
      <c r="D86" s="27"/>
    </row>
    <row r="87" spans="1:4" s="7" customFormat="1" ht="13.5" customHeight="1">
      <c r="A87" s="26"/>
      <c r="B87" s="28"/>
      <c r="C87" s="28"/>
      <c r="D87" s="26"/>
    </row>
    <row r="88" spans="1:4" s="7" customFormat="1" ht="13.5" customHeight="1">
      <c r="A88" s="26"/>
      <c r="B88" s="28"/>
      <c r="C88" s="28"/>
      <c r="D88" s="26"/>
    </row>
    <row r="89" spans="1:4" s="3" customFormat="1" ht="15">
      <c r="A89" s="14"/>
      <c r="B89" s="14"/>
      <c r="C89" s="14"/>
      <c r="D89" s="14"/>
    </row>
  </sheetData>
  <sheetProtection/>
  <mergeCells count="11">
    <mergeCell ref="A82:B82"/>
    <mergeCell ref="B13:D13"/>
    <mergeCell ref="B14:D14"/>
    <mergeCell ref="A78:B78"/>
    <mergeCell ref="A79:B79"/>
    <mergeCell ref="A81:B81"/>
    <mergeCell ref="B1:D1"/>
    <mergeCell ref="B2:D2"/>
    <mergeCell ref="A9:B9"/>
    <mergeCell ref="A10:B10"/>
    <mergeCell ref="A7:D7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89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140625" style="14" customWidth="1"/>
    <col min="2" max="2" width="99.7109375" style="14" bestFit="1" customWidth="1"/>
    <col min="3" max="3" width="10.421875" style="14" hidden="1" customWidth="1"/>
    <col min="4" max="4" width="33.7109375" style="14" customWidth="1"/>
  </cols>
  <sheetData>
    <row r="1" spans="1:4" ht="15.75">
      <c r="A1" s="21"/>
      <c r="B1" s="148" t="s">
        <v>53</v>
      </c>
      <c r="C1" s="148"/>
      <c r="D1" s="148"/>
    </row>
    <row r="2" spans="1:4" ht="15.75">
      <c r="A2" s="21"/>
      <c r="B2" s="149" t="s">
        <v>58</v>
      </c>
      <c r="C2" s="149"/>
      <c r="D2" s="149"/>
    </row>
    <row r="3" spans="1:4" ht="15.75">
      <c r="A3" s="21"/>
      <c r="B3" s="19"/>
      <c r="C3" s="19"/>
      <c r="D3" s="120" t="s">
        <v>196</v>
      </c>
    </row>
    <row r="4" spans="1:4" ht="15.75">
      <c r="A4" s="21"/>
      <c r="B4" s="19"/>
      <c r="C4" s="19"/>
      <c r="D4" s="46"/>
    </row>
    <row r="5" spans="1:4" ht="15.75">
      <c r="A5" s="21"/>
      <c r="B5" s="24"/>
      <c r="C5" s="24"/>
      <c r="D5" s="46" t="s">
        <v>197</v>
      </c>
    </row>
    <row r="6" spans="1:4" ht="15.75">
      <c r="A6" s="21"/>
      <c r="B6" s="149"/>
      <c r="C6" s="149"/>
      <c r="D6" s="149"/>
    </row>
    <row r="7" spans="1:4" ht="15.75">
      <c r="A7" s="151" t="s">
        <v>10</v>
      </c>
      <c r="B7" s="151"/>
      <c r="C7" s="151"/>
      <c r="D7" s="151"/>
    </row>
    <row r="8" spans="1:3" ht="15.75">
      <c r="A8" s="57"/>
      <c r="B8" s="57"/>
      <c r="C8" s="57"/>
    </row>
    <row r="9" spans="1:3" ht="15.75">
      <c r="A9" s="142" t="s">
        <v>1</v>
      </c>
      <c r="B9" s="142"/>
      <c r="C9" s="18"/>
    </row>
    <row r="10" spans="1:3" ht="15.75">
      <c r="A10" s="142" t="s">
        <v>0</v>
      </c>
      <c r="B10" s="142"/>
      <c r="C10" s="18"/>
    </row>
    <row r="11" spans="1:3" ht="15" customHeight="1">
      <c r="A11" s="18"/>
      <c r="B11" s="18" t="s">
        <v>49</v>
      </c>
      <c r="C11" s="18"/>
    </row>
    <row r="12" spans="1:4" ht="15" customHeight="1">
      <c r="A12" s="18"/>
      <c r="B12" s="18" t="s">
        <v>75</v>
      </c>
      <c r="C12" s="18"/>
      <c r="D12" s="23"/>
    </row>
    <row r="13" spans="1:4" ht="15" customHeight="1">
      <c r="A13" s="18"/>
      <c r="B13" s="142" t="s">
        <v>77</v>
      </c>
      <c r="C13" s="142"/>
      <c r="D13" s="142"/>
    </row>
    <row r="14" spans="1:4" ht="15" customHeight="1">
      <c r="A14" s="18"/>
      <c r="B14" s="142" t="s">
        <v>181</v>
      </c>
      <c r="C14" s="142"/>
      <c r="D14" s="142"/>
    </row>
    <row r="15" spans="1:3" ht="15" customHeight="1">
      <c r="A15" s="18" t="s">
        <v>2</v>
      </c>
      <c r="B15" s="18" t="str">
        <f>'4.1.1.1.'!B13</f>
        <v>2019.gadā un turpmāk</v>
      </c>
      <c r="C15" s="18"/>
    </row>
    <row r="16" spans="1:4" ht="67.5" customHeight="1">
      <c r="A16" s="65" t="s">
        <v>3</v>
      </c>
      <c r="B16" s="65" t="s">
        <v>4</v>
      </c>
      <c r="C16" s="65"/>
      <c r="D16" s="65" t="s">
        <v>5</v>
      </c>
    </row>
    <row r="17" spans="1:4" ht="15.75">
      <c r="A17" s="31">
        <v>1</v>
      </c>
      <c r="B17" s="32">
        <v>2</v>
      </c>
      <c r="C17" s="32"/>
      <c r="D17" s="32">
        <v>3</v>
      </c>
    </row>
    <row r="18" spans="1:4" ht="15.75">
      <c r="A18" s="33"/>
      <c r="B18" s="34" t="s">
        <v>6</v>
      </c>
      <c r="C18" s="34"/>
      <c r="D18" s="35"/>
    </row>
    <row r="19" spans="1:4" ht="15.75">
      <c r="A19" s="36">
        <v>1100</v>
      </c>
      <c r="B19" s="36" t="s">
        <v>91</v>
      </c>
      <c r="C19" s="37">
        <f>6676.65+600*1</f>
        <v>7276.65</v>
      </c>
      <c r="D19" s="37">
        <v>5739.35</v>
      </c>
    </row>
    <row r="20" spans="1:4" ht="15.75">
      <c r="A20" s="36">
        <v>1200</v>
      </c>
      <c r="B20" s="38" t="s">
        <v>92</v>
      </c>
      <c r="C20" s="37">
        <f>1608.4+600*0.24</f>
        <v>1752.4</v>
      </c>
      <c r="D20" s="37">
        <v>1382.61</v>
      </c>
    </row>
    <row r="21" spans="1:4" ht="15.75">
      <c r="A21" s="36">
        <v>2222</v>
      </c>
      <c r="B21" s="38" t="s">
        <v>43</v>
      </c>
      <c r="C21" s="37">
        <v>358.97</v>
      </c>
      <c r="D21" s="37">
        <f>C21/600*395</f>
        <v>236.32191666666668</v>
      </c>
    </row>
    <row r="22" spans="1:4" ht="15.75">
      <c r="A22" s="36">
        <v>2223</v>
      </c>
      <c r="B22" s="38" t="s">
        <v>44</v>
      </c>
      <c r="C22" s="37">
        <v>387.96</v>
      </c>
      <c r="D22" s="37">
        <f>C22/600*395</f>
        <v>255.40699999999998</v>
      </c>
    </row>
    <row r="23" spans="1:4" ht="15.75" hidden="1">
      <c r="A23" s="36">
        <v>2243</v>
      </c>
      <c r="B23" s="38" t="s">
        <v>15</v>
      </c>
      <c r="C23" s="37">
        <v>0</v>
      </c>
      <c r="D23" s="37">
        <f>C23/600*95</f>
        <v>0</v>
      </c>
    </row>
    <row r="24" spans="1:4" ht="15" customHeight="1" hidden="1">
      <c r="A24" s="36">
        <v>2249</v>
      </c>
      <c r="B24" s="38" t="s">
        <v>17</v>
      </c>
      <c r="C24" s="37">
        <v>0</v>
      </c>
      <c r="D24" s="37">
        <f>C24/600*95</f>
        <v>0</v>
      </c>
    </row>
    <row r="25" spans="1:4" ht="15.75">
      <c r="A25" s="36">
        <v>2321</v>
      </c>
      <c r="B25" s="38" t="s">
        <v>25</v>
      </c>
      <c r="C25" s="37">
        <v>362.22</v>
      </c>
      <c r="D25" s="37">
        <f>C25/600*395</f>
        <v>238.4615</v>
      </c>
    </row>
    <row r="26" spans="1:4" ht="15.75">
      <c r="A26" s="36">
        <v>2341</v>
      </c>
      <c r="B26" s="38" t="s">
        <v>27</v>
      </c>
      <c r="C26" s="37">
        <v>373.75</v>
      </c>
      <c r="D26" s="37">
        <f>C26/600*395</f>
        <v>246.05208333333334</v>
      </c>
    </row>
    <row r="27" spans="1:4" ht="15.75" hidden="1">
      <c r="A27" s="36">
        <v>2350</v>
      </c>
      <c r="B27" s="38" t="s">
        <v>29</v>
      </c>
      <c r="C27" s="37">
        <v>0</v>
      </c>
      <c r="D27" s="37">
        <f>C27/600*95</f>
        <v>0</v>
      </c>
    </row>
    <row r="28" spans="1:4" ht="15.75">
      <c r="A28" s="36">
        <v>2363</v>
      </c>
      <c r="B28" s="38" t="s">
        <v>32</v>
      </c>
      <c r="C28" s="37">
        <v>4428</v>
      </c>
      <c r="D28" s="37">
        <v>3207.4</v>
      </c>
    </row>
    <row r="29" spans="1:4" ht="15.75">
      <c r="A29" s="36">
        <v>5232</v>
      </c>
      <c r="B29" s="38" t="s">
        <v>37</v>
      </c>
      <c r="C29" s="37">
        <v>95.3</v>
      </c>
      <c r="D29" s="37">
        <f>C29/600*395</f>
        <v>62.73916666666666</v>
      </c>
    </row>
    <row r="30" spans="1:4" ht="15.75">
      <c r="A30" s="36"/>
      <c r="B30" s="39" t="s">
        <v>7</v>
      </c>
      <c r="C30" s="40">
        <f>SUM(C19:C29)</f>
        <v>15035.249999999996</v>
      </c>
      <c r="D30" s="40">
        <f>SUM(D19:D29)</f>
        <v>11368.341666666667</v>
      </c>
    </row>
    <row r="31" spans="1:4" ht="15.75">
      <c r="A31" s="41"/>
      <c r="B31" s="36" t="s">
        <v>8</v>
      </c>
      <c r="C31" s="35"/>
      <c r="D31" s="35"/>
    </row>
    <row r="32" spans="1:4" ht="15.75">
      <c r="A32" s="36">
        <v>1100</v>
      </c>
      <c r="B32" s="36" t="s">
        <v>91</v>
      </c>
      <c r="C32" s="37">
        <v>4879.46</v>
      </c>
      <c r="D32" s="37">
        <f>C32/600*395</f>
        <v>3212.3111666666664</v>
      </c>
    </row>
    <row r="33" spans="1:4" ht="15.75">
      <c r="A33" s="36">
        <v>1200</v>
      </c>
      <c r="B33" s="38" t="s">
        <v>92</v>
      </c>
      <c r="C33" s="37">
        <v>1175.46</v>
      </c>
      <c r="D33" s="37">
        <f aca="true" t="shared" si="0" ref="D33:D41">C33/600*395</f>
        <v>773.8445</v>
      </c>
    </row>
    <row r="34" spans="1:4" ht="15.75" hidden="1">
      <c r="A34" s="36">
        <v>2100</v>
      </c>
      <c r="B34" s="42" t="s">
        <v>98</v>
      </c>
      <c r="C34" s="37">
        <v>0</v>
      </c>
      <c r="D34" s="37">
        <f t="shared" si="0"/>
        <v>0</v>
      </c>
    </row>
    <row r="35" spans="1:4" ht="15.75">
      <c r="A35" s="43">
        <v>2210</v>
      </c>
      <c r="B35" s="38" t="s">
        <v>42</v>
      </c>
      <c r="C35" s="37">
        <v>82.46</v>
      </c>
      <c r="D35" s="37">
        <f t="shared" si="0"/>
        <v>54.28616666666667</v>
      </c>
    </row>
    <row r="36" spans="1:4" ht="15.75">
      <c r="A36" s="36">
        <v>2222</v>
      </c>
      <c r="B36" s="38" t="s">
        <v>43</v>
      </c>
      <c r="C36" s="37">
        <v>482.01</v>
      </c>
      <c r="D36" s="37">
        <f t="shared" si="0"/>
        <v>317.32325000000003</v>
      </c>
    </row>
    <row r="37" spans="1:4" ht="15.75">
      <c r="A37" s="36">
        <v>2223</v>
      </c>
      <c r="B37" s="38" t="s">
        <v>44</v>
      </c>
      <c r="C37" s="37">
        <v>530.6</v>
      </c>
      <c r="D37" s="37">
        <f t="shared" si="0"/>
        <v>349.3116666666667</v>
      </c>
    </row>
    <row r="38" spans="1:4" ht="15" customHeight="1">
      <c r="A38" s="36">
        <v>2230</v>
      </c>
      <c r="B38" s="38" t="s">
        <v>45</v>
      </c>
      <c r="C38" s="37">
        <v>51.57</v>
      </c>
      <c r="D38" s="37">
        <f t="shared" si="0"/>
        <v>33.95025</v>
      </c>
    </row>
    <row r="39" spans="1:4" ht="15.75" hidden="1">
      <c r="A39" s="36">
        <v>2241</v>
      </c>
      <c r="B39" s="38" t="s">
        <v>13</v>
      </c>
      <c r="C39" s="37">
        <v>0</v>
      </c>
      <c r="D39" s="37">
        <f t="shared" si="0"/>
        <v>0</v>
      </c>
    </row>
    <row r="40" spans="1:4" ht="15.75">
      <c r="A40" s="36">
        <v>2242</v>
      </c>
      <c r="B40" s="38" t="s">
        <v>14</v>
      </c>
      <c r="C40" s="37">
        <v>18.88</v>
      </c>
      <c r="D40" s="37">
        <f t="shared" si="0"/>
        <v>12.429333333333332</v>
      </c>
    </row>
    <row r="41" spans="1:4" ht="15.75">
      <c r="A41" s="36">
        <v>2243</v>
      </c>
      <c r="B41" s="38" t="s">
        <v>15</v>
      </c>
      <c r="C41" s="37">
        <v>57.99</v>
      </c>
      <c r="D41" s="37">
        <f t="shared" si="0"/>
        <v>38.17675</v>
      </c>
    </row>
    <row r="42" spans="1:4" ht="15.75">
      <c r="A42" s="36">
        <v>2244</v>
      </c>
      <c r="B42" s="38" t="s">
        <v>16</v>
      </c>
      <c r="C42" s="37">
        <v>1215.5</v>
      </c>
      <c r="D42" s="37">
        <v>1921.27</v>
      </c>
    </row>
    <row r="43" spans="1:4" ht="15.75">
      <c r="A43" s="36">
        <v>2247</v>
      </c>
      <c r="B43" s="34" t="s">
        <v>93</v>
      </c>
      <c r="C43" s="37">
        <v>5.16</v>
      </c>
      <c r="D43" s="37">
        <f>C43/600*395</f>
        <v>3.397</v>
      </c>
    </row>
    <row r="44" spans="1:4" ht="15.75">
      <c r="A44" s="36">
        <v>2249</v>
      </c>
      <c r="B44" s="38" t="s">
        <v>17</v>
      </c>
      <c r="C44" s="37">
        <v>68.9</v>
      </c>
      <c r="D44" s="37">
        <f aca="true" t="shared" si="1" ref="D44:D74">C44/600*395</f>
        <v>45.35916666666667</v>
      </c>
    </row>
    <row r="45" spans="1:4" ht="15.75">
      <c r="A45" s="36">
        <v>2251</v>
      </c>
      <c r="B45" s="38" t="s">
        <v>94</v>
      </c>
      <c r="C45" s="37">
        <v>158.45</v>
      </c>
      <c r="D45" s="37">
        <f t="shared" si="1"/>
        <v>104.31291666666667</v>
      </c>
    </row>
    <row r="46" spans="1:4" ht="15.75" hidden="1">
      <c r="A46" s="36">
        <v>2252</v>
      </c>
      <c r="B46" s="38" t="s">
        <v>96</v>
      </c>
      <c r="C46" s="37">
        <v>0</v>
      </c>
      <c r="D46" s="37">
        <f t="shared" si="1"/>
        <v>0</v>
      </c>
    </row>
    <row r="47" spans="1:4" ht="15.75" hidden="1">
      <c r="A47" s="36">
        <v>2259</v>
      </c>
      <c r="B47" s="38" t="s">
        <v>12</v>
      </c>
      <c r="C47" s="37">
        <v>0</v>
      </c>
      <c r="D47" s="37">
        <f t="shared" si="1"/>
        <v>0</v>
      </c>
    </row>
    <row r="48" spans="1:4" ht="15.75" hidden="1">
      <c r="A48" s="36">
        <v>2261</v>
      </c>
      <c r="B48" s="38" t="s">
        <v>18</v>
      </c>
      <c r="C48" s="37">
        <v>0</v>
      </c>
      <c r="D48" s="37">
        <f t="shared" si="1"/>
        <v>0</v>
      </c>
    </row>
    <row r="49" spans="1:4" ht="15.75">
      <c r="A49" s="36">
        <v>2262</v>
      </c>
      <c r="B49" s="38" t="s">
        <v>19</v>
      </c>
      <c r="C49" s="37">
        <v>55.67</v>
      </c>
      <c r="D49" s="37">
        <f t="shared" si="1"/>
        <v>36.64941666666667</v>
      </c>
    </row>
    <row r="50" spans="1:4" ht="15.75">
      <c r="A50" s="36">
        <v>2263</v>
      </c>
      <c r="B50" s="38" t="s">
        <v>20</v>
      </c>
      <c r="C50" s="37">
        <v>205.79</v>
      </c>
      <c r="D50" s="37">
        <f t="shared" si="1"/>
        <v>135.47841666666665</v>
      </c>
    </row>
    <row r="51" spans="1:4" ht="15.75">
      <c r="A51" s="36">
        <v>2264</v>
      </c>
      <c r="B51" s="38" t="s">
        <v>21</v>
      </c>
      <c r="C51" s="37">
        <v>1</v>
      </c>
      <c r="D51" s="37">
        <f t="shared" si="1"/>
        <v>0.6583333333333333</v>
      </c>
    </row>
    <row r="52" spans="1:4" ht="15.75">
      <c r="A52" s="36">
        <v>2279</v>
      </c>
      <c r="B52" s="38" t="s">
        <v>22</v>
      </c>
      <c r="C52" s="37">
        <v>226.37</v>
      </c>
      <c r="D52" s="37">
        <f t="shared" si="1"/>
        <v>149.02691666666666</v>
      </c>
    </row>
    <row r="53" spans="1:4" ht="15.75">
      <c r="A53" s="36">
        <v>2311</v>
      </c>
      <c r="B53" s="38" t="s">
        <v>23</v>
      </c>
      <c r="C53" s="37">
        <v>21.22</v>
      </c>
      <c r="D53" s="37">
        <f t="shared" si="1"/>
        <v>13.969833333333332</v>
      </c>
    </row>
    <row r="54" spans="1:4" ht="15.75">
      <c r="A54" s="36">
        <v>2312</v>
      </c>
      <c r="B54" s="38" t="s">
        <v>24</v>
      </c>
      <c r="C54" s="37">
        <v>40.09</v>
      </c>
      <c r="D54" s="37">
        <f t="shared" si="1"/>
        <v>26.392583333333338</v>
      </c>
    </row>
    <row r="55" spans="1:4" ht="15.75">
      <c r="A55" s="36">
        <v>2321</v>
      </c>
      <c r="B55" s="38" t="s">
        <v>25</v>
      </c>
      <c r="C55" s="37">
        <v>1144.5</v>
      </c>
      <c r="D55" s="37">
        <f t="shared" si="1"/>
        <v>753.4625</v>
      </c>
    </row>
    <row r="56" spans="1:4" ht="15.75">
      <c r="A56" s="36">
        <v>2322</v>
      </c>
      <c r="B56" s="38" t="s">
        <v>26</v>
      </c>
      <c r="C56" s="37">
        <v>580</v>
      </c>
      <c r="D56" s="37">
        <f t="shared" si="1"/>
        <v>381.8333333333333</v>
      </c>
    </row>
    <row r="57" spans="1:4" ht="15.75">
      <c r="A57" s="36">
        <v>2341</v>
      </c>
      <c r="B57" s="38" t="s">
        <v>27</v>
      </c>
      <c r="C57" s="37">
        <v>15.24</v>
      </c>
      <c r="D57" s="37">
        <f t="shared" si="1"/>
        <v>10.033</v>
      </c>
    </row>
    <row r="58" spans="1:4" ht="15.75">
      <c r="A58" s="36">
        <v>2344</v>
      </c>
      <c r="B58" s="38" t="s">
        <v>28</v>
      </c>
      <c r="C58" s="37">
        <v>0.25</v>
      </c>
      <c r="D58" s="37">
        <f t="shared" si="1"/>
        <v>0.16458333333333333</v>
      </c>
    </row>
    <row r="59" spans="1:4" ht="15.75">
      <c r="A59" s="36">
        <v>2350</v>
      </c>
      <c r="B59" s="38" t="s">
        <v>29</v>
      </c>
      <c r="C59" s="37">
        <v>225.22</v>
      </c>
      <c r="D59" s="37">
        <f t="shared" si="1"/>
        <v>148.26983333333334</v>
      </c>
    </row>
    <row r="60" spans="1:4" ht="15.75">
      <c r="A60" s="36">
        <v>2361</v>
      </c>
      <c r="B60" s="38" t="s">
        <v>30</v>
      </c>
      <c r="C60" s="37">
        <v>67.48</v>
      </c>
      <c r="D60" s="37">
        <f t="shared" si="1"/>
        <v>44.42433333333334</v>
      </c>
    </row>
    <row r="61" spans="1:4" ht="15.75">
      <c r="A61" s="36">
        <v>2362</v>
      </c>
      <c r="B61" s="38" t="s">
        <v>31</v>
      </c>
      <c r="C61" s="37">
        <v>45.33</v>
      </c>
      <c r="D61" s="37">
        <f t="shared" si="1"/>
        <v>29.842249999999996</v>
      </c>
    </row>
    <row r="62" spans="1:4" ht="15.75" hidden="1">
      <c r="A62" s="36">
        <v>2363</v>
      </c>
      <c r="B62" s="38" t="s">
        <v>32</v>
      </c>
      <c r="C62" s="37">
        <v>0</v>
      </c>
      <c r="D62" s="37">
        <f t="shared" si="1"/>
        <v>0</v>
      </c>
    </row>
    <row r="63" spans="1:4" ht="15.75" hidden="1">
      <c r="A63" s="36">
        <v>2370</v>
      </c>
      <c r="B63" s="38" t="s">
        <v>33</v>
      </c>
      <c r="C63" s="37">
        <v>0</v>
      </c>
      <c r="D63" s="37">
        <f t="shared" si="1"/>
        <v>0</v>
      </c>
    </row>
    <row r="64" spans="1:4" ht="15.75">
      <c r="A64" s="36">
        <v>2400</v>
      </c>
      <c r="B64" s="38" t="s">
        <v>47</v>
      </c>
      <c r="C64" s="37">
        <v>8.37</v>
      </c>
      <c r="D64" s="37">
        <f t="shared" si="1"/>
        <v>5.510249999999999</v>
      </c>
    </row>
    <row r="65" spans="1:4" ht="15" customHeight="1">
      <c r="A65" s="36">
        <v>2513</v>
      </c>
      <c r="B65" s="38" t="s">
        <v>35</v>
      </c>
      <c r="C65" s="37">
        <v>145.27</v>
      </c>
      <c r="D65" s="37">
        <f t="shared" si="1"/>
        <v>95.63608333333333</v>
      </c>
    </row>
    <row r="66" spans="1:4" ht="15" customHeight="1">
      <c r="A66" s="36">
        <v>2515</v>
      </c>
      <c r="B66" s="38" t="s">
        <v>97</v>
      </c>
      <c r="C66" s="37">
        <v>5.88</v>
      </c>
      <c r="D66" s="37">
        <f t="shared" si="1"/>
        <v>3.871</v>
      </c>
    </row>
    <row r="67" spans="1:4" ht="15.75">
      <c r="A67" s="36">
        <v>2519</v>
      </c>
      <c r="B67" s="38" t="s">
        <v>38</v>
      </c>
      <c r="C67" s="37">
        <v>34.5</v>
      </c>
      <c r="D67" s="37">
        <f t="shared" si="1"/>
        <v>22.712500000000002</v>
      </c>
    </row>
    <row r="68" spans="1:4" ht="15.75" hidden="1">
      <c r="A68" s="36">
        <v>6240</v>
      </c>
      <c r="B68" s="38" t="s">
        <v>50</v>
      </c>
      <c r="C68" s="37">
        <v>0</v>
      </c>
      <c r="D68" s="37">
        <f t="shared" si="1"/>
        <v>0</v>
      </c>
    </row>
    <row r="69" spans="1:4" ht="15.75" hidden="1">
      <c r="A69" s="36">
        <v>6290</v>
      </c>
      <c r="B69" s="38" t="s">
        <v>51</v>
      </c>
      <c r="C69" s="37">
        <v>0</v>
      </c>
      <c r="D69" s="37">
        <f t="shared" si="1"/>
        <v>0</v>
      </c>
    </row>
    <row r="70" spans="1:4" ht="15.75">
      <c r="A70" s="36">
        <v>5121</v>
      </c>
      <c r="B70" s="38" t="s">
        <v>36</v>
      </c>
      <c r="C70" s="37">
        <v>26.28</v>
      </c>
      <c r="D70" s="37">
        <f t="shared" si="1"/>
        <v>17.301</v>
      </c>
    </row>
    <row r="71" spans="1:4" ht="15.75">
      <c r="A71" s="36">
        <v>5232</v>
      </c>
      <c r="B71" s="38" t="s">
        <v>37</v>
      </c>
      <c r="C71" s="37">
        <v>926.26</v>
      </c>
      <c r="D71" s="37">
        <f t="shared" si="1"/>
        <v>609.7878333333333</v>
      </c>
    </row>
    <row r="72" spans="1:4" ht="15.75" hidden="1">
      <c r="A72" s="36">
        <v>5238</v>
      </c>
      <c r="B72" s="38" t="s">
        <v>39</v>
      </c>
      <c r="C72" s="37">
        <v>0</v>
      </c>
      <c r="D72" s="37">
        <f t="shared" si="1"/>
        <v>0</v>
      </c>
    </row>
    <row r="73" spans="1:4" ht="15" customHeight="1">
      <c r="A73" s="36">
        <v>5240</v>
      </c>
      <c r="B73" s="38" t="s">
        <v>40</v>
      </c>
      <c r="C73" s="37">
        <v>2.26</v>
      </c>
      <c r="D73" s="37">
        <f t="shared" si="1"/>
        <v>1.4878333333333333</v>
      </c>
    </row>
    <row r="74" spans="1:4" ht="15.75">
      <c r="A74" s="36">
        <v>5250</v>
      </c>
      <c r="B74" s="38" t="s">
        <v>41</v>
      </c>
      <c r="C74" s="44">
        <v>253.33</v>
      </c>
      <c r="D74" s="37">
        <f t="shared" si="1"/>
        <v>166.77558333333334</v>
      </c>
    </row>
    <row r="75" spans="1:4" ht="15.75">
      <c r="A75" s="41"/>
      <c r="B75" s="45" t="s">
        <v>9</v>
      </c>
      <c r="C75" s="40">
        <f>SUM(C32:C74)</f>
        <v>12756.750000000002</v>
      </c>
      <c r="D75" s="40">
        <f>SUM(D32:D74)</f>
        <v>9519.25958333333</v>
      </c>
    </row>
    <row r="76" spans="1:4" ht="15.75">
      <c r="A76" s="41"/>
      <c r="B76" s="45" t="s">
        <v>48</v>
      </c>
      <c r="C76" s="40">
        <f>C75+C30</f>
        <v>27792</v>
      </c>
      <c r="D76" s="40">
        <f>D75+D30</f>
        <v>20887.60125</v>
      </c>
    </row>
    <row r="77" spans="1:2" ht="15.75">
      <c r="A77" s="46"/>
      <c r="B77" s="29"/>
    </row>
    <row r="78" spans="1:4" ht="15.75">
      <c r="A78" s="142" t="s">
        <v>63</v>
      </c>
      <c r="B78" s="142"/>
      <c r="C78" s="30">
        <v>600</v>
      </c>
      <c r="D78" s="116">
        <v>395</v>
      </c>
    </row>
    <row r="79" spans="1:4" ht="15.75">
      <c r="A79" s="142" t="s">
        <v>64</v>
      </c>
      <c r="B79" s="142"/>
      <c r="C79" s="48">
        <f>C76/C78</f>
        <v>46.32</v>
      </c>
      <c r="D79" s="117">
        <f>D76/D78</f>
        <v>52.88000316455696</v>
      </c>
    </row>
    <row r="80" spans="1:4" ht="15.75">
      <c r="A80" s="18"/>
      <c r="B80" s="18"/>
      <c r="C80" s="47"/>
      <c r="D80" s="47"/>
    </row>
    <row r="81" spans="1:4" s="7" customFormat="1" ht="15.75">
      <c r="A81" s="146" t="s">
        <v>56</v>
      </c>
      <c r="B81" s="147"/>
      <c r="C81" s="50"/>
      <c r="D81" s="50"/>
    </row>
    <row r="82" spans="1:4" s="7" customFormat="1" ht="15.75">
      <c r="A82" s="146" t="s">
        <v>86</v>
      </c>
      <c r="B82" s="147"/>
      <c r="C82" s="25">
        <v>45.08</v>
      </c>
      <c r="D82" s="50"/>
    </row>
    <row r="83" spans="1:4" s="7" customFormat="1" ht="15.75">
      <c r="A83" s="26"/>
      <c r="B83" s="26"/>
      <c r="C83" s="26"/>
      <c r="D83" s="26"/>
    </row>
    <row r="84" spans="1:4" s="7" customFormat="1" ht="15.75">
      <c r="A84" s="26" t="s">
        <v>57</v>
      </c>
      <c r="B84" s="26"/>
      <c r="C84" s="26"/>
      <c r="D84" s="26"/>
    </row>
    <row r="85" spans="1:4" s="7" customFormat="1" ht="15.75">
      <c r="A85" s="26"/>
      <c r="B85" s="26"/>
      <c r="C85" s="26"/>
      <c r="D85" s="26"/>
    </row>
    <row r="86" spans="1:4" s="7" customFormat="1" ht="15.75">
      <c r="A86" s="26" t="s">
        <v>78</v>
      </c>
      <c r="B86" s="27"/>
      <c r="C86" s="27"/>
      <c r="D86" s="27"/>
    </row>
    <row r="87" spans="1:4" s="7" customFormat="1" ht="13.5" customHeight="1">
      <c r="A87" s="26"/>
      <c r="B87" s="28"/>
      <c r="C87" s="28"/>
      <c r="D87" s="26"/>
    </row>
    <row r="88" spans="1:4" s="7" customFormat="1" ht="13.5" customHeight="1">
      <c r="A88" s="26"/>
      <c r="B88" s="28"/>
      <c r="C88" s="28"/>
      <c r="D88" s="26"/>
    </row>
    <row r="89" spans="1:4" s="3" customFormat="1" ht="15">
      <c r="A89" s="14"/>
      <c r="B89" s="14"/>
      <c r="C89" s="14"/>
      <c r="D89" s="14"/>
    </row>
  </sheetData>
  <sheetProtection/>
  <mergeCells count="12">
    <mergeCell ref="B1:D1"/>
    <mergeCell ref="B2:D2"/>
    <mergeCell ref="B6:D6"/>
    <mergeCell ref="A9:B9"/>
    <mergeCell ref="A7:D7"/>
    <mergeCell ref="A81:B81"/>
    <mergeCell ref="A82:B82"/>
    <mergeCell ref="A10:B10"/>
    <mergeCell ref="B13:D13"/>
    <mergeCell ref="B14:D14"/>
    <mergeCell ref="A78:B78"/>
    <mergeCell ref="A79:B79"/>
  </mergeCells>
  <printOptions/>
  <pageMargins left="0.7086614173228347" right="0.4724409448818898" top="0.984251968503937" bottom="0.7480314960629921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88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1.57421875" style="3" customWidth="1"/>
    <col min="2" max="2" width="92.00390625" style="3" customWidth="1"/>
    <col min="3" max="3" width="17.140625" style="3" hidden="1" customWidth="1"/>
    <col min="4" max="4" width="31.8515625" style="3" customWidth="1"/>
  </cols>
  <sheetData>
    <row r="1" spans="1:4" ht="15.75">
      <c r="A1" s="1"/>
      <c r="B1" s="2"/>
      <c r="C1" s="2"/>
      <c r="D1" s="19" t="s">
        <v>53</v>
      </c>
    </row>
    <row r="2" spans="1:4" ht="15.75">
      <c r="A2" s="1"/>
      <c r="B2" s="9"/>
      <c r="C2" s="9"/>
      <c r="D2" s="46" t="s">
        <v>58</v>
      </c>
    </row>
    <row r="3" spans="1:4" ht="15.75">
      <c r="A3" s="1"/>
      <c r="B3" s="9"/>
      <c r="C3" s="9"/>
      <c r="D3" s="120" t="s">
        <v>196</v>
      </c>
    </row>
    <row r="4" spans="1:4" ht="15.75">
      <c r="A4" s="1"/>
      <c r="B4" s="2"/>
      <c r="C4" s="2"/>
      <c r="D4" s="46"/>
    </row>
    <row r="5" spans="1:4" ht="15.75">
      <c r="A5" s="1"/>
      <c r="B5" s="85"/>
      <c r="C5" s="85"/>
      <c r="D5" s="46" t="s">
        <v>197</v>
      </c>
    </row>
    <row r="6" spans="1:3" ht="15">
      <c r="A6" s="1"/>
      <c r="B6" s="2"/>
      <c r="C6" s="2"/>
    </row>
    <row r="7" spans="1:4" ht="15.75">
      <c r="A7" s="151" t="s">
        <v>10</v>
      </c>
      <c r="B7" s="151"/>
      <c r="C7" s="151"/>
      <c r="D7" s="151"/>
    </row>
    <row r="8" spans="1:3" ht="14.25">
      <c r="A8" s="10"/>
      <c r="B8" s="10"/>
      <c r="C8" s="10"/>
    </row>
    <row r="9" spans="1:3" ht="15">
      <c r="A9" s="152" t="s">
        <v>1</v>
      </c>
      <c r="B9" s="152"/>
      <c r="C9" s="4"/>
    </row>
    <row r="10" spans="1:3" ht="15">
      <c r="A10" s="152" t="s">
        <v>0</v>
      </c>
      <c r="B10" s="152"/>
      <c r="C10" s="4"/>
    </row>
    <row r="11" spans="1:3" ht="15">
      <c r="A11" s="4"/>
      <c r="B11" s="4" t="s">
        <v>49</v>
      </c>
      <c r="C11" s="4"/>
    </row>
    <row r="12" spans="1:3" ht="15">
      <c r="A12" s="4"/>
      <c r="B12" s="4" t="s">
        <v>52</v>
      </c>
      <c r="C12" s="4"/>
    </row>
    <row r="13" spans="1:4" ht="15.75" customHeight="1">
      <c r="A13" s="4"/>
      <c r="B13" s="153" t="s">
        <v>101</v>
      </c>
      <c r="C13" s="153"/>
      <c r="D13" s="153"/>
    </row>
    <row r="14" spans="1:3" ht="15.75" customHeight="1">
      <c r="A14" s="4" t="s">
        <v>2</v>
      </c>
      <c r="B14" s="18" t="str">
        <f>'4.1.2.5.'!B15</f>
        <v>2019.gadā un turpmāk</v>
      </c>
      <c r="C14" s="18"/>
    </row>
    <row r="15" spans="1:3" ht="15" hidden="1">
      <c r="A15" s="4"/>
      <c r="B15" s="4"/>
      <c r="C15" s="4"/>
    </row>
    <row r="16" spans="1:4" ht="47.25">
      <c r="A16" s="65" t="s">
        <v>3</v>
      </c>
      <c r="B16" s="65" t="s">
        <v>4</v>
      </c>
      <c r="C16" s="65"/>
      <c r="D16" s="65" t="s">
        <v>83</v>
      </c>
    </row>
    <row r="17" spans="1:4" ht="14.25">
      <c r="A17" s="87">
        <v>1</v>
      </c>
      <c r="B17" s="88">
        <v>2</v>
      </c>
      <c r="C17" s="88"/>
      <c r="D17" s="88">
        <v>3</v>
      </c>
    </row>
    <row r="18" spans="1:4" ht="15.75" customHeight="1">
      <c r="A18" s="87"/>
      <c r="B18" s="89" t="s">
        <v>6</v>
      </c>
      <c r="C18" s="89"/>
      <c r="D18" s="90"/>
    </row>
    <row r="19" spans="1:4" ht="15.75" customHeight="1">
      <c r="A19" s="91">
        <v>1100</v>
      </c>
      <c r="B19" s="92" t="s">
        <v>91</v>
      </c>
      <c r="C19" s="93">
        <v>576.62</v>
      </c>
      <c r="D19" s="93">
        <f>C19/1500*800</f>
        <v>307.53066666666666</v>
      </c>
    </row>
    <row r="20" spans="1:4" ht="15.75" customHeight="1">
      <c r="A20" s="91">
        <v>1200</v>
      </c>
      <c r="B20" s="94" t="s">
        <v>92</v>
      </c>
      <c r="C20" s="93">
        <v>138.91</v>
      </c>
      <c r="D20" s="93">
        <f aca="true" t="shared" si="0" ref="D20:D25">C20/1500*800</f>
        <v>74.08533333333334</v>
      </c>
    </row>
    <row r="21" spans="1:4" ht="15.75" customHeight="1">
      <c r="A21" s="91">
        <v>2222</v>
      </c>
      <c r="B21" s="94" t="s">
        <v>43</v>
      </c>
      <c r="C21" s="93">
        <v>360.14</v>
      </c>
      <c r="D21" s="93">
        <f t="shared" si="0"/>
        <v>192.07466666666667</v>
      </c>
    </row>
    <row r="22" spans="1:4" ht="15.75" customHeight="1">
      <c r="A22" s="91">
        <v>2223</v>
      </c>
      <c r="B22" s="94" t="s">
        <v>44</v>
      </c>
      <c r="C22" s="93">
        <v>428.63</v>
      </c>
      <c r="D22" s="93">
        <f t="shared" si="0"/>
        <v>228.60266666666664</v>
      </c>
    </row>
    <row r="23" spans="1:4" ht="15.75" customHeight="1" hidden="1">
      <c r="A23" s="91">
        <v>2243</v>
      </c>
      <c r="B23" s="94" t="s">
        <v>15</v>
      </c>
      <c r="C23" s="93">
        <v>0</v>
      </c>
      <c r="D23" s="93">
        <f t="shared" si="0"/>
        <v>0</v>
      </c>
    </row>
    <row r="24" spans="1:4" ht="15.75" customHeight="1" hidden="1">
      <c r="A24" s="91">
        <v>2249</v>
      </c>
      <c r="B24" s="94" t="s">
        <v>17</v>
      </c>
      <c r="C24" s="93">
        <v>0</v>
      </c>
      <c r="D24" s="93">
        <f t="shared" si="0"/>
        <v>0</v>
      </c>
    </row>
    <row r="25" spans="1:4" ht="15.75" customHeight="1">
      <c r="A25" s="91">
        <v>2321</v>
      </c>
      <c r="B25" s="94" t="s">
        <v>25</v>
      </c>
      <c r="C25" s="93">
        <v>737.48</v>
      </c>
      <c r="D25" s="93">
        <f t="shared" si="0"/>
        <v>393.3226666666667</v>
      </c>
    </row>
    <row r="26" spans="1:4" ht="15.75" customHeight="1" hidden="1">
      <c r="A26" s="91">
        <v>2341</v>
      </c>
      <c r="B26" s="94" t="s">
        <v>27</v>
      </c>
      <c r="C26" s="93">
        <v>0</v>
      </c>
      <c r="D26" s="93">
        <v>0</v>
      </c>
    </row>
    <row r="27" spans="1:4" ht="15.75" customHeight="1" hidden="1">
      <c r="A27" s="91">
        <v>2350</v>
      </c>
      <c r="B27" s="94" t="s">
        <v>29</v>
      </c>
      <c r="C27" s="93">
        <v>0</v>
      </c>
      <c r="D27" s="93">
        <v>0</v>
      </c>
    </row>
    <row r="28" spans="1:4" ht="15.75" customHeight="1" hidden="1">
      <c r="A28" s="91">
        <v>2363</v>
      </c>
      <c r="B28" s="94" t="s">
        <v>32</v>
      </c>
      <c r="C28" s="93">
        <v>0</v>
      </c>
      <c r="D28" s="93">
        <v>0</v>
      </c>
    </row>
    <row r="29" spans="1:4" ht="15.75" customHeight="1" hidden="1">
      <c r="A29" s="91">
        <v>5232</v>
      </c>
      <c r="B29" s="94" t="s">
        <v>37</v>
      </c>
      <c r="C29" s="93">
        <v>0</v>
      </c>
      <c r="D29" s="93">
        <v>0</v>
      </c>
    </row>
    <row r="30" spans="1:4" ht="15.75" customHeight="1">
      <c r="A30" s="91"/>
      <c r="B30" s="95" t="s">
        <v>7</v>
      </c>
      <c r="C30" s="97">
        <f>SUM(C19:C29)</f>
        <v>2241.78</v>
      </c>
      <c r="D30" s="97">
        <f>SUM(D19:D29)</f>
        <v>1195.616</v>
      </c>
    </row>
    <row r="31" spans="1:4" ht="15.75" customHeight="1">
      <c r="A31" s="98"/>
      <c r="B31" s="92" t="s">
        <v>8</v>
      </c>
      <c r="C31" s="99"/>
      <c r="D31" s="99"/>
    </row>
    <row r="32" spans="1:4" ht="15.75" customHeight="1">
      <c r="A32" s="91">
        <v>1100</v>
      </c>
      <c r="B32" s="92" t="s">
        <v>91</v>
      </c>
      <c r="C32" s="93">
        <v>5005.55</v>
      </c>
      <c r="D32" s="93">
        <f>C32/1500*800</f>
        <v>2669.6266666666666</v>
      </c>
    </row>
    <row r="33" spans="1:4" ht="15.75" customHeight="1">
      <c r="A33" s="91">
        <v>1200</v>
      </c>
      <c r="B33" s="94" t="s">
        <v>92</v>
      </c>
      <c r="C33" s="93">
        <v>1205.84</v>
      </c>
      <c r="D33" s="93">
        <f aca="true" t="shared" si="1" ref="D33:D41">C33/1500*800</f>
        <v>643.1146666666666</v>
      </c>
    </row>
    <row r="34" spans="1:4" ht="15.75" customHeight="1" hidden="1">
      <c r="A34" s="91">
        <v>2100</v>
      </c>
      <c r="B34" s="100" t="s">
        <v>46</v>
      </c>
      <c r="C34" s="93">
        <v>0</v>
      </c>
      <c r="D34" s="93">
        <f t="shared" si="1"/>
        <v>0</v>
      </c>
    </row>
    <row r="35" spans="1:4" ht="15.75" customHeight="1">
      <c r="A35" s="101">
        <v>2210</v>
      </c>
      <c r="B35" s="94" t="s">
        <v>42</v>
      </c>
      <c r="C35" s="93">
        <v>71.68</v>
      </c>
      <c r="D35" s="93">
        <f t="shared" si="1"/>
        <v>38.22933333333334</v>
      </c>
    </row>
    <row r="36" spans="1:4" ht="15.75" customHeight="1">
      <c r="A36" s="91">
        <v>2222</v>
      </c>
      <c r="B36" s="94" t="s">
        <v>43</v>
      </c>
      <c r="C36" s="93">
        <v>1200.2</v>
      </c>
      <c r="D36" s="93">
        <f t="shared" si="1"/>
        <v>640.1066666666667</v>
      </c>
    </row>
    <row r="37" spans="1:4" ht="15.75" customHeight="1">
      <c r="A37" s="91">
        <v>2223</v>
      </c>
      <c r="B37" s="94" t="s">
        <v>44</v>
      </c>
      <c r="C37" s="93">
        <v>2201.19</v>
      </c>
      <c r="D37" s="93">
        <f t="shared" si="1"/>
        <v>1173.968</v>
      </c>
    </row>
    <row r="38" spans="1:4" ht="15.75" customHeight="1">
      <c r="A38" s="91">
        <v>2230</v>
      </c>
      <c r="B38" s="94" t="s">
        <v>45</v>
      </c>
      <c r="C38" s="93">
        <v>44.97</v>
      </c>
      <c r="D38" s="93">
        <f t="shared" si="1"/>
        <v>23.983999999999998</v>
      </c>
    </row>
    <row r="39" spans="1:4" ht="15.75" customHeight="1" hidden="1">
      <c r="A39" s="91">
        <v>2241</v>
      </c>
      <c r="B39" s="94" t="s">
        <v>13</v>
      </c>
      <c r="C39" s="93">
        <v>0</v>
      </c>
      <c r="D39" s="93">
        <f t="shared" si="1"/>
        <v>0</v>
      </c>
    </row>
    <row r="40" spans="1:4" ht="15.75" customHeight="1">
      <c r="A40" s="91">
        <v>2242</v>
      </c>
      <c r="B40" s="94" t="s">
        <v>14</v>
      </c>
      <c r="C40" s="93">
        <v>16.37</v>
      </c>
      <c r="D40" s="93">
        <f t="shared" si="1"/>
        <v>8.730666666666668</v>
      </c>
    </row>
    <row r="41" spans="1:4" ht="15.75" customHeight="1">
      <c r="A41" s="91">
        <v>2243</v>
      </c>
      <c r="B41" s="94" t="s">
        <v>15</v>
      </c>
      <c r="C41" s="93">
        <v>55.82</v>
      </c>
      <c r="D41" s="93">
        <f t="shared" si="1"/>
        <v>29.770666666666667</v>
      </c>
    </row>
    <row r="42" spans="1:4" ht="15.75" customHeight="1">
      <c r="A42" s="91">
        <v>2244</v>
      </c>
      <c r="B42" s="94" t="s">
        <v>16</v>
      </c>
      <c r="C42" s="93">
        <v>1105.36</v>
      </c>
      <c r="D42" s="93">
        <v>1893.53</v>
      </c>
    </row>
    <row r="43" spans="1:4" ht="15.75" customHeight="1">
      <c r="A43" s="91">
        <v>2247</v>
      </c>
      <c r="B43" s="89" t="s">
        <v>93</v>
      </c>
      <c r="C43" s="93">
        <v>4.49</v>
      </c>
      <c r="D43" s="93">
        <f>C43/1500*800</f>
        <v>2.3946666666666667</v>
      </c>
    </row>
    <row r="44" spans="1:4" ht="15.75" customHeight="1">
      <c r="A44" s="91">
        <v>2249</v>
      </c>
      <c r="B44" s="94" t="s">
        <v>17</v>
      </c>
      <c r="C44" s="93">
        <v>20.24</v>
      </c>
      <c r="D44" s="93">
        <f aca="true" t="shared" si="2" ref="D44:D75">C44/1500*800</f>
        <v>10.794666666666666</v>
      </c>
    </row>
    <row r="45" spans="1:4" ht="15.75" customHeight="1">
      <c r="A45" s="91">
        <v>2251</v>
      </c>
      <c r="B45" s="94" t="s">
        <v>94</v>
      </c>
      <c r="C45" s="93">
        <v>315.21</v>
      </c>
      <c r="D45" s="93">
        <f t="shared" si="2"/>
        <v>168.112</v>
      </c>
    </row>
    <row r="46" spans="1:4" ht="15.75" customHeight="1" hidden="1">
      <c r="A46" s="91">
        <v>2252</v>
      </c>
      <c r="B46" s="94" t="s">
        <v>11</v>
      </c>
      <c r="C46" s="93">
        <v>0</v>
      </c>
      <c r="D46" s="93">
        <f t="shared" si="2"/>
        <v>0</v>
      </c>
    </row>
    <row r="47" spans="1:4" ht="15.75" customHeight="1">
      <c r="A47" s="91">
        <v>2259</v>
      </c>
      <c r="B47" s="94" t="s">
        <v>95</v>
      </c>
      <c r="C47" s="93">
        <v>1.49</v>
      </c>
      <c r="D47" s="93">
        <f t="shared" si="2"/>
        <v>0.7946666666666666</v>
      </c>
    </row>
    <row r="48" spans="1:4" ht="15.75" customHeight="1" hidden="1">
      <c r="A48" s="91">
        <v>2261</v>
      </c>
      <c r="B48" s="94" t="s">
        <v>18</v>
      </c>
      <c r="C48" s="93">
        <v>0</v>
      </c>
      <c r="D48" s="93">
        <f t="shared" si="2"/>
        <v>0</v>
      </c>
    </row>
    <row r="49" spans="1:4" ht="15.75" customHeight="1">
      <c r="A49" s="91">
        <v>2262</v>
      </c>
      <c r="B49" s="94" t="s">
        <v>19</v>
      </c>
      <c r="C49" s="93">
        <v>48.49</v>
      </c>
      <c r="D49" s="93">
        <f t="shared" si="2"/>
        <v>25.861333333333334</v>
      </c>
    </row>
    <row r="50" spans="1:4" ht="15.75" customHeight="1">
      <c r="A50" s="91">
        <v>2263</v>
      </c>
      <c r="B50" s="94" t="s">
        <v>20</v>
      </c>
      <c r="C50" s="93">
        <v>179.01</v>
      </c>
      <c r="D50" s="93">
        <f t="shared" si="2"/>
        <v>95.472</v>
      </c>
    </row>
    <row r="51" spans="1:4" ht="15.75" customHeight="1">
      <c r="A51" s="91">
        <v>2264</v>
      </c>
      <c r="B51" s="94" t="s">
        <v>21</v>
      </c>
      <c r="C51" s="93">
        <v>0.85</v>
      </c>
      <c r="D51" s="93">
        <f t="shared" si="2"/>
        <v>0.45333333333333325</v>
      </c>
    </row>
    <row r="52" spans="1:4" ht="15.75" customHeight="1">
      <c r="A52" s="91">
        <v>2279</v>
      </c>
      <c r="B52" s="94" t="s">
        <v>22</v>
      </c>
      <c r="C52" s="93">
        <v>189.75</v>
      </c>
      <c r="D52" s="93">
        <f t="shared" si="2"/>
        <v>101.2</v>
      </c>
    </row>
    <row r="53" spans="1:4" ht="15.75" customHeight="1">
      <c r="A53" s="91">
        <v>2311</v>
      </c>
      <c r="B53" s="94" t="s">
        <v>23</v>
      </c>
      <c r="C53" s="93">
        <v>18.36</v>
      </c>
      <c r="D53" s="93">
        <f t="shared" si="2"/>
        <v>9.792</v>
      </c>
    </row>
    <row r="54" spans="1:4" ht="15.75" customHeight="1">
      <c r="A54" s="91">
        <v>2312</v>
      </c>
      <c r="B54" s="94" t="s">
        <v>24</v>
      </c>
      <c r="C54" s="93">
        <v>134.9</v>
      </c>
      <c r="D54" s="93">
        <f t="shared" si="2"/>
        <v>71.94666666666667</v>
      </c>
    </row>
    <row r="55" spans="1:4" ht="15.75" customHeight="1">
      <c r="A55" s="91">
        <v>2321</v>
      </c>
      <c r="B55" s="94" t="s">
        <v>25</v>
      </c>
      <c r="C55" s="93">
        <v>3606.42</v>
      </c>
      <c r="D55" s="93">
        <f t="shared" si="2"/>
        <v>1923.424</v>
      </c>
    </row>
    <row r="56" spans="1:4" ht="15.75" customHeight="1">
      <c r="A56" s="91">
        <v>2322</v>
      </c>
      <c r="B56" s="94" t="s">
        <v>26</v>
      </c>
      <c r="C56" s="93">
        <v>130.01</v>
      </c>
      <c r="D56" s="93">
        <f t="shared" si="2"/>
        <v>69.33866666666665</v>
      </c>
    </row>
    <row r="57" spans="1:4" ht="15.75" customHeight="1" hidden="1">
      <c r="A57" s="91">
        <v>2341</v>
      </c>
      <c r="B57" s="94" t="s">
        <v>27</v>
      </c>
      <c r="C57" s="93">
        <v>0</v>
      </c>
      <c r="D57" s="93">
        <f t="shared" si="2"/>
        <v>0</v>
      </c>
    </row>
    <row r="58" spans="1:4" ht="15.75" customHeight="1" hidden="1">
      <c r="A58" s="91">
        <v>2344</v>
      </c>
      <c r="B58" s="94" t="s">
        <v>28</v>
      </c>
      <c r="C58" s="93">
        <v>0</v>
      </c>
      <c r="D58" s="93">
        <f t="shared" si="2"/>
        <v>0</v>
      </c>
    </row>
    <row r="59" spans="1:4" ht="15.75" customHeight="1">
      <c r="A59" s="91">
        <v>2350</v>
      </c>
      <c r="B59" s="94" t="s">
        <v>29</v>
      </c>
      <c r="C59" s="93">
        <v>159.28</v>
      </c>
      <c r="D59" s="93">
        <f t="shared" si="2"/>
        <v>84.94933333333333</v>
      </c>
    </row>
    <row r="60" spans="1:4" ht="15.75" customHeight="1">
      <c r="A60" s="91">
        <v>2361</v>
      </c>
      <c r="B60" s="94" t="s">
        <v>30</v>
      </c>
      <c r="C60" s="93">
        <v>17.84</v>
      </c>
      <c r="D60" s="93">
        <f t="shared" si="2"/>
        <v>9.514666666666667</v>
      </c>
    </row>
    <row r="61" spans="1:4" ht="15.75" customHeight="1" hidden="1">
      <c r="A61" s="91">
        <v>2362</v>
      </c>
      <c r="B61" s="94" t="s">
        <v>31</v>
      </c>
      <c r="C61" s="93">
        <v>0</v>
      </c>
      <c r="D61" s="93">
        <f t="shared" si="2"/>
        <v>0</v>
      </c>
    </row>
    <row r="62" spans="1:4" ht="15.75" customHeight="1" hidden="1">
      <c r="A62" s="91">
        <v>2363</v>
      </c>
      <c r="B62" s="94" t="s">
        <v>32</v>
      </c>
      <c r="C62" s="93">
        <v>0</v>
      </c>
      <c r="D62" s="93">
        <f t="shared" si="2"/>
        <v>0</v>
      </c>
    </row>
    <row r="63" spans="1:4" ht="15.75" customHeight="1" hidden="1">
      <c r="A63" s="91">
        <v>2370</v>
      </c>
      <c r="B63" s="94" t="s">
        <v>33</v>
      </c>
      <c r="C63" s="93">
        <v>0</v>
      </c>
      <c r="D63" s="93">
        <f t="shared" si="2"/>
        <v>0</v>
      </c>
    </row>
    <row r="64" spans="1:4" ht="15.75" customHeight="1" hidden="1">
      <c r="A64" s="91">
        <v>2400</v>
      </c>
      <c r="B64" s="94" t="s">
        <v>47</v>
      </c>
      <c r="C64" s="93">
        <v>0</v>
      </c>
      <c r="D64" s="93">
        <f t="shared" si="2"/>
        <v>0</v>
      </c>
    </row>
    <row r="65" spans="1:4" ht="15.75" customHeight="1" hidden="1">
      <c r="A65" s="91">
        <v>2512</v>
      </c>
      <c r="B65" s="94" t="s">
        <v>34</v>
      </c>
      <c r="C65" s="93">
        <v>0</v>
      </c>
      <c r="D65" s="93">
        <f t="shared" si="2"/>
        <v>0</v>
      </c>
    </row>
    <row r="66" spans="1:4" ht="15.75" customHeight="1">
      <c r="A66" s="91">
        <v>2513</v>
      </c>
      <c r="B66" s="94" t="s">
        <v>35</v>
      </c>
      <c r="C66" s="93">
        <v>129.55</v>
      </c>
      <c r="D66" s="93">
        <f t="shared" si="2"/>
        <v>69.09333333333333</v>
      </c>
    </row>
    <row r="67" spans="1:4" ht="15.75" customHeight="1">
      <c r="A67" s="91">
        <v>2515</v>
      </c>
      <c r="B67" s="94" t="s">
        <v>97</v>
      </c>
      <c r="C67" s="93">
        <v>5.17</v>
      </c>
      <c r="D67" s="93">
        <f t="shared" si="2"/>
        <v>2.757333333333333</v>
      </c>
    </row>
    <row r="68" spans="1:4" ht="15.75" customHeight="1">
      <c r="A68" s="91">
        <v>2519</v>
      </c>
      <c r="B68" s="94" t="s">
        <v>38</v>
      </c>
      <c r="C68" s="93">
        <v>31.78</v>
      </c>
      <c r="D68" s="93">
        <f t="shared" si="2"/>
        <v>16.949333333333332</v>
      </c>
    </row>
    <row r="69" spans="1:4" ht="15.75" customHeight="1" hidden="1">
      <c r="A69" s="91">
        <v>6240</v>
      </c>
      <c r="B69" s="94" t="s">
        <v>50</v>
      </c>
      <c r="C69" s="93">
        <v>0</v>
      </c>
      <c r="D69" s="93">
        <f t="shared" si="2"/>
        <v>0</v>
      </c>
    </row>
    <row r="70" spans="1:4" ht="15.75" customHeight="1" hidden="1">
      <c r="A70" s="91">
        <v>6290</v>
      </c>
      <c r="B70" s="94" t="s">
        <v>51</v>
      </c>
      <c r="C70" s="93">
        <v>0</v>
      </c>
      <c r="D70" s="93">
        <f t="shared" si="2"/>
        <v>0</v>
      </c>
    </row>
    <row r="71" spans="1:4" ht="15.75" customHeight="1">
      <c r="A71" s="91">
        <v>5121</v>
      </c>
      <c r="B71" s="94" t="s">
        <v>36</v>
      </c>
      <c r="C71" s="93">
        <v>22.91</v>
      </c>
      <c r="D71" s="93">
        <f t="shared" si="2"/>
        <v>12.218666666666667</v>
      </c>
    </row>
    <row r="72" spans="1:4" ht="15.75" customHeight="1">
      <c r="A72" s="91">
        <v>5232</v>
      </c>
      <c r="B72" s="94" t="s">
        <v>37</v>
      </c>
      <c r="C72" s="93">
        <v>203.76</v>
      </c>
      <c r="D72" s="93">
        <f t="shared" si="2"/>
        <v>108.672</v>
      </c>
    </row>
    <row r="73" spans="1:4" ht="15.75" customHeight="1" hidden="1">
      <c r="A73" s="91">
        <v>5238</v>
      </c>
      <c r="B73" s="94" t="s">
        <v>39</v>
      </c>
      <c r="C73" s="93">
        <v>0</v>
      </c>
      <c r="D73" s="93">
        <f t="shared" si="2"/>
        <v>0</v>
      </c>
    </row>
    <row r="74" spans="1:4" ht="15.75" customHeight="1">
      <c r="A74" s="91">
        <v>5240</v>
      </c>
      <c r="B74" s="94" t="s">
        <v>40</v>
      </c>
      <c r="C74" s="93">
        <v>3.13</v>
      </c>
      <c r="D74" s="93">
        <f t="shared" si="2"/>
        <v>1.6693333333333333</v>
      </c>
    </row>
    <row r="75" spans="1:4" ht="15.75" customHeight="1">
      <c r="A75" s="91">
        <v>5250</v>
      </c>
      <c r="B75" s="94" t="s">
        <v>41</v>
      </c>
      <c r="C75" s="93">
        <v>453.6</v>
      </c>
      <c r="D75" s="93">
        <f t="shared" si="2"/>
        <v>241.92000000000002</v>
      </c>
    </row>
    <row r="76" spans="1:4" ht="15">
      <c r="A76" s="98"/>
      <c r="B76" s="102" t="s">
        <v>9</v>
      </c>
      <c r="C76" s="97">
        <f>SUM(C32:C75)</f>
        <v>16583.22</v>
      </c>
      <c r="D76" s="97">
        <f>SUM(D32:D75)</f>
        <v>10148.38866666667</v>
      </c>
    </row>
    <row r="77" spans="1:4" ht="15">
      <c r="A77" s="98"/>
      <c r="B77" s="102" t="s">
        <v>48</v>
      </c>
      <c r="C77" s="97">
        <f>C76+C30</f>
        <v>18825</v>
      </c>
      <c r="D77" s="97">
        <f>D76+D30</f>
        <v>11344.00466666667</v>
      </c>
    </row>
    <row r="78" spans="1:4" ht="15">
      <c r="A78" s="103"/>
      <c r="B78" s="104"/>
      <c r="C78" s="84"/>
      <c r="D78" s="84"/>
    </row>
    <row r="79" spans="1:4" ht="15" customHeight="1">
      <c r="A79" s="146" t="s">
        <v>55</v>
      </c>
      <c r="B79" s="147"/>
      <c r="C79" s="86">
        <v>1500</v>
      </c>
      <c r="D79" s="118">
        <v>800</v>
      </c>
    </row>
    <row r="80" spans="1:4" ht="15" customHeight="1">
      <c r="A80" s="140" t="s">
        <v>84</v>
      </c>
      <c r="B80" s="141"/>
      <c r="C80" s="96">
        <f>C77/C79</f>
        <v>12.55</v>
      </c>
      <c r="D80" s="119">
        <f>D77/D79</f>
        <v>14.180005833333336</v>
      </c>
    </row>
    <row r="81" spans="1:3" ht="15.75">
      <c r="A81" s="29"/>
      <c r="B81" s="22"/>
      <c r="C81" s="22"/>
    </row>
    <row r="82" spans="1:4" ht="15" customHeight="1">
      <c r="A82" s="146" t="s">
        <v>56</v>
      </c>
      <c r="B82" s="147"/>
      <c r="C82" s="25">
        <v>12.55</v>
      </c>
      <c r="D82" s="6"/>
    </row>
    <row r="83" spans="1:4" ht="15" customHeight="1">
      <c r="A83" s="146" t="s">
        <v>85</v>
      </c>
      <c r="B83" s="147"/>
      <c r="C83" s="25"/>
      <c r="D83" s="6"/>
    </row>
    <row r="84" spans="1:4" ht="15.75">
      <c r="A84" s="26"/>
      <c r="B84" s="26"/>
      <c r="C84" s="26"/>
      <c r="D84" s="7"/>
    </row>
    <row r="85" spans="1:4" ht="15.75">
      <c r="A85" s="26" t="s">
        <v>57</v>
      </c>
      <c r="B85" s="26"/>
      <c r="C85" s="26"/>
      <c r="D85" s="7"/>
    </row>
    <row r="86" spans="1:4" ht="15.75">
      <c r="A86" s="26"/>
      <c r="B86" s="26"/>
      <c r="C86" s="26"/>
      <c r="D86" s="7"/>
    </row>
    <row r="87" spans="1:4" ht="15.75">
      <c r="A87" s="26" t="s">
        <v>78</v>
      </c>
      <c r="B87" s="27"/>
      <c r="C87" s="27"/>
      <c r="D87" s="7"/>
    </row>
    <row r="88" spans="1:4" ht="15.75">
      <c r="A88" s="26"/>
      <c r="B88" s="28"/>
      <c r="C88" s="28"/>
      <c r="D88" s="7"/>
    </row>
  </sheetData>
  <sheetProtection/>
  <mergeCells count="8">
    <mergeCell ref="A82:B82"/>
    <mergeCell ref="A83:B83"/>
    <mergeCell ref="A7:D7"/>
    <mergeCell ref="A9:B9"/>
    <mergeCell ref="A10:B10"/>
    <mergeCell ref="B13:D13"/>
    <mergeCell ref="A79:B79"/>
    <mergeCell ref="A80:B80"/>
  </mergeCells>
  <printOptions/>
  <pageMargins left="0.7086614173228347" right="0.4724409448818898" top="0.984251968503937" bottom="0.7480314960629921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28125" style="3" customWidth="1"/>
    <col min="2" max="2" width="94.57421875" style="3" customWidth="1"/>
    <col min="3" max="4" width="23.7109375" style="3" hidden="1" customWidth="1"/>
    <col min="5" max="5" width="32.57421875" style="3" customWidth="1"/>
  </cols>
  <sheetData>
    <row r="1" spans="1:5" ht="15.75">
      <c r="A1" s="9"/>
      <c r="B1" s="66"/>
      <c r="C1" s="66"/>
      <c r="D1" s="66"/>
      <c r="E1" s="46" t="s">
        <v>53</v>
      </c>
    </row>
    <row r="2" spans="1:5" ht="15.75">
      <c r="A2" s="9"/>
      <c r="B2" s="66"/>
      <c r="C2" s="66"/>
      <c r="D2" s="66"/>
      <c r="E2" s="46" t="s">
        <v>58</v>
      </c>
    </row>
    <row r="3" spans="1:5" ht="15.75">
      <c r="A3" s="9"/>
      <c r="B3" s="66"/>
      <c r="C3" s="66"/>
      <c r="D3" s="66"/>
      <c r="E3" s="120" t="s">
        <v>196</v>
      </c>
    </row>
    <row r="4" spans="1:5" ht="15.75">
      <c r="A4" s="9"/>
      <c r="B4" s="66"/>
      <c r="C4" s="66"/>
      <c r="D4" s="66"/>
      <c r="E4" s="46"/>
    </row>
    <row r="5" spans="1:5" ht="15.75">
      <c r="A5" s="9"/>
      <c r="B5" s="1"/>
      <c r="C5" s="1"/>
      <c r="D5" s="1"/>
      <c r="E5" s="46" t="s">
        <v>197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154</v>
      </c>
      <c r="C12" s="142"/>
      <c r="D12" s="142"/>
      <c r="E12" s="143"/>
    </row>
    <row r="13" spans="1:5" ht="15.75">
      <c r="A13" s="18" t="s">
        <v>2</v>
      </c>
      <c r="B13" s="18" t="str">
        <f>'4.1.1.1.'!B13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f>(1014.49-14.97)</f>
        <v>999.52</v>
      </c>
      <c r="D17" s="37">
        <f>4977.48+15.83*50</f>
        <v>5768.98</v>
      </c>
      <c r="E17" s="37">
        <v>667.2</v>
      </c>
    </row>
    <row r="18" spans="1:5" ht="15.75" customHeight="1">
      <c r="A18" s="36">
        <v>1200</v>
      </c>
      <c r="B18" s="38" t="s">
        <v>92</v>
      </c>
      <c r="C18" s="37">
        <f>(239.32-3.53)</f>
        <v>235.79</v>
      </c>
      <c r="D18" s="37">
        <f>1199.07+3.81*50</f>
        <v>1389.57</v>
      </c>
      <c r="E18" s="37">
        <v>160.73</v>
      </c>
    </row>
    <row r="19" spans="1:5" ht="15.75">
      <c r="A19" s="36">
        <v>2222</v>
      </c>
      <c r="B19" s="38" t="s">
        <v>43</v>
      </c>
      <c r="C19" s="37">
        <v>60.97</v>
      </c>
      <c r="D19" s="37">
        <f aca="true" t="shared" si="0" ref="D19:D27">C19*5</f>
        <v>304.85</v>
      </c>
      <c r="E19" s="37">
        <f aca="true" t="shared" si="1" ref="E19:E27">D19/10</f>
        <v>30.485000000000003</v>
      </c>
    </row>
    <row r="20" spans="1:5" ht="15.75">
      <c r="A20" s="36">
        <v>2223</v>
      </c>
      <c r="B20" s="38" t="s">
        <v>44</v>
      </c>
      <c r="C20" s="37">
        <v>76.03</v>
      </c>
      <c r="D20" s="37">
        <f t="shared" si="0"/>
        <v>380.15</v>
      </c>
      <c r="E20" s="37">
        <f t="shared" si="1"/>
        <v>38.015</v>
      </c>
    </row>
    <row r="21" spans="1:5" ht="15.75">
      <c r="A21" s="36">
        <v>2243</v>
      </c>
      <c r="B21" s="38" t="s">
        <v>15</v>
      </c>
      <c r="C21" s="37">
        <v>14.2</v>
      </c>
      <c r="D21" s="37">
        <f t="shared" si="0"/>
        <v>71</v>
      </c>
      <c r="E21" s="37">
        <f t="shared" si="1"/>
        <v>7.1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.75">
      <c r="A23" s="36">
        <v>2321</v>
      </c>
      <c r="B23" s="38" t="s">
        <v>25</v>
      </c>
      <c r="C23" s="37">
        <v>91.55</v>
      </c>
      <c r="D23" s="37">
        <f t="shared" si="0"/>
        <v>457.75</v>
      </c>
      <c r="E23" s="37">
        <f t="shared" si="1"/>
        <v>45.775</v>
      </c>
    </row>
    <row r="24" spans="1:5" ht="15.75">
      <c r="A24" s="36">
        <v>2341</v>
      </c>
      <c r="B24" s="38" t="s">
        <v>27</v>
      </c>
      <c r="C24" s="37">
        <v>135.74</v>
      </c>
      <c r="D24" s="37">
        <f t="shared" si="0"/>
        <v>678.7</v>
      </c>
      <c r="E24" s="37">
        <f t="shared" si="1"/>
        <v>67.87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6" ht="15.75">
      <c r="A26" s="36">
        <v>2363</v>
      </c>
      <c r="B26" s="38" t="s">
        <v>32</v>
      </c>
      <c r="C26" s="37">
        <v>369</v>
      </c>
      <c r="D26" s="37">
        <f t="shared" si="0"/>
        <v>1845</v>
      </c>
      <c r="E26" s="37">
        <v>203</v>
      </c>
      <c r="F26" s="68"/>
    </row>
    <row r="27" spans="1:5" ht="15.75">
      <c r="A27" s="36">
        <v>5232</v>
      </c>
      <c r="B27" s="38" t="s">
        <v>37</v>
      </c>
      <c r="C27" s="37">
        <v>64.9</v>
      </c>
      <c r="D27" s="37">
        <f t="shared" si="0"/>
        <v>324.5</v>
      </c>
      <c r="E27" s="37">
        <f t="shared" si="1"/>
        <v>32.45</v>
      </c>
    </row>
    <row r="28" spans="1:5" ht="15.75">
      <c r="A28" s="36"/>
      <c r="B28" s="39" t="s">
        <v>7</v>
      </c>
      <c r="C28" s="40">
        <f>SUM(C17:C27)</f>
        <v>2047.7</v>
      </c>
      <c r="D28" s="40">
        <f>SUM(D17:D27)</f>
        <v>11220.5</v>
      </c>
      <c r="E28" s="40">
        <f>SUM(E17:E27)</f>
        <v>1252.6250000000002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560.24</v>
      </c>
      <c r="D30" s="37">
        <v>2789.91</v>
      </c>
      <c r="E30" s="37">
        <f aca="true" t="shared" si="2" ref="E30:E72">D30/10</f>
        <v>278.991</v>
      </c>
    </row>
    <row r="31" spans="1:5" ht="15.75" customHeight="1">
      <c r="A31" s="36">
        <v>1200</v>
      </c>
      <c r="B31" s="38" t="s">
        <v>92</v>
      </c>
      <c r="C31" s="37">
        <v>132.16</v>
      </c>
      <c r="D31" s="37">
        <v>672.09</v>
      </c>
      <c r="E31" s="37">
        <f t="shared" si="2"/>
        <v>67.209</v>
      </c>
    </row>
    <row r="32" spans="1:5" ht="15.75" hidden="1">
      <c r="A32" s="36">
        <v>2100</v>
      </c>
      <c r="B32" s="42" t="s">
        <v>46</v>
      </c>
      <c r="C32" s="37">
        <v>0</v>
      </c>
      <c r="D32" s="37">
        <f aca="true" t="shared" si="3" ref="D32:D72">C32*5</f>
        <v>0</v>
      </c>
      <c r="E32" s="37">
        <f t="shared" si="2"/>
        <v>0</v>
      </c>
    </row>
    <row r="33" spans="1:5" ht="15.75">
      <c r="A33" s="43">
        <v>2210</v>
      </c>
      <c r="B33" s="38" t="s">
        <v>42</v>
      </c>
      <c r="C33" s="37">
        <v>10.6</v>
      </c>
      <c r="D33" s="37">
        <f t="shared" si="3"/>
        <v>53</v>
      </c>
      <c r="E33" s="37">
        <f t="shared" si="2"/>
        <v>5.3</v>
      </c>
    </row>
    <row r="34" spans="1:5" ht="15.75">
      <c r="A34" s="36">
        <v>2222</v>
      </c>
      <c r="B34" s="38" t="s">
        <v>43</v>
      </c>
      <c r="C34" s="37">
        <v>77.47</v>
      </c>
      <c r="D34" s="37">
        <f t="shared" si="3"/>
        <v>387.35</v>
      </c>
      <c r="E34" s="37">
        <f t="shared" si="2"/>
        <v>38.735</v>
      </c>
    </row>
    <row r="35" spans="1:5" ht="15.75">
      <c r="A35" s="36">
        <v>2223</v>
      </c>
      <c r="B35" s="38" t="s">
        <v>44</v>
      </c>
      <c r="C35" s="37">
        <v>72.03</v>
      </c>
      <c r="D35" s="37">
        <f t="shared" si="3"/>
        <v>360.15</v>
      </c>
      <c r="E35" s="37">
        <f t="shared" si="2"/>
        <v>36.015</v>
      </c>
    </row>
    <row r="36" spans="1:5" ht="15.75">
      <c r="A36" s="36">
        <v>2230</v>
      </c>
      <c r="B36" s="38" t="s">
        <v>45</v>
      </c>
      <c r="C36" s="37">
        <v>8.19</v>
      </c>
      <c r="D36" s="37">
        <f t="shared" si="3"/>
        <v>40.949999999999996</v>
      </c>
      <c r="E36" s="37">
        <f t="shared" si="2"/>
        <v>4.095</v>
      </c>
    </row>
    <row r="37" spans="1:5" ht="15.75" hidden="1">
      <c r="A37" s="36">
        <v>2241</v>
      </c>
      <c r="B37" s="38" t="s">
        <v>13</v>
      </c>
      <c r="C37" s="37"/>
      <c r="D37" s="37">
        <f t="shared" si="3"/>
        <v>0</v>
      </c>
      <c r="E37" s="37">
        <f t="shared" si="2"/>
        <v>0</v>
      </c>
    </row>
    <row r="38" spans="1:5" ht="15.75">
      <c r="A38" s="36">
        <v>2242</v>
      </c>
      <c r="B38" s="38" t="s">
        <v>14</v>
      </c>
      <c r="C38" s="37">
        <v>2.44</v>
      </c>
      <c r="D38" s="37">
        <f t="shared" si="3"/>
        <v>12.2</v>
      </c>
      <c r="E38" s="37">
        <f t="shared" si="2"/>
        <v>1.22</v>
      </c>
    </row>
    <row r="39" spans="1:5" ht="15.75">
      <c r="A39" s="36">
        <v>2243</v>
      </c>
      <c r="B39" s="38" t="s">
        <v>15</v>
      </c>
      <c r="C39" s="37">
        <v>7.79</v>
      </c>
      <c r="D39" s="37">
        <f t="shared" si="3"/>
        <v>38.95</v>
      </c>
      <c r="E39" s="37">
        <f t="shared" si="2"/>
        <v>3.8950000000000005</v>
      </c>
    </row>
    <row r="40" spans="1:5" ht="15.75">
      <c r="A40" s="36">
        <v>2244</v>
      </c>
      <c r="B40" s="38" t="s">
        <v>16</v>
      </c>
      <c r="C40" s="37">
        <v>199.94</v>
      </c>
      <c r="D40" s="37">
        <f t="shared" si="3"/>
        <v>999.7</v>
      </c>
      <c r="E40" s="37">
        <v>217.74</v>
      </c>
    </row>
    <row r="41" spans="1:5" ht="15.75">
      <c r="A41" s="36">
        <v>2247</v>
      </c>
      <c r="B41" s="34" t="s">
        <v>93</v>
      </c>
      <c r="C41" s="37">
        <v>0.65</v>
      </c>
      <c r="D41" s="37">
        <f t="shared" si="3"/>
        <v>3.25</v>
      </c>
      <c r="E41" s="37">
        <f t="shared" si="2"/>
        <v>0.325</v>
      </c>
    </row>
    <row r="42" spans="1:5" ht="15.75">
      <c r="A42" s="36">
        <v>2249</v>
      </c>
      <c r="B42" s="38" t="s">
        <v>17</v>
      </c>
      <c r="C42" s="37">
        <v>2.81</v>
      </c>
      <c r="D42" s="37">
        <f t="shared" si="3"/>
        <v>14.05</v>
      </c>
      <c r="E42" s="37">
        <f t="shared" si="2"/>
        <v>1.405</v>
      </c>
    </row>
    <row r="43" spans="1:5" ht="15.75">
      <c r="A43" s="36">
        <v>2251</v>
      </c>
      <c r="B43" s="38" t="s">
        <v>94</v>
      </c>
      <c r="C43" s="37">
        <v>53.99</v>
      </c>
      <c r="D43" s="37">
        <f t="shared" si="3"/>
        <v>269.95</v>
      </c>
      <c r="E43" s="37">
        <f t="shared" si="2"/>
        <v>26.994999999999997</v>
      </c>
    </row>
    <row r="44" spans="1:5" ht="15.75">
      <c r="A44" s="36">
        <v>2252</v>
      </c>
      <c r="B44" s="38" t="s">
        <v>96</v>
      </c>
      <c r="C44" s="37">
        <v>0.35</v>
      </c>
      <c r="D44" s="37">
        <f t="shared" si="3"/>
        <v>1.75</v>
      </c>
      <c r="E44" s="37">
        <f t="shared" si="2"/>
        <v>0.175</v>
      </c>
    </row>
    <row r="45" spans="1:5" ht="15.75">
      <c r="A45" s="36">
        <v>2259</v>
      </c>
      <c r="B45" s="38" t="s">
        <v>95</v>
      </c>
      <c r="C45" s="37">
        <v>0.06</v>
      </c>
      <c r="D45" s="37">
        <f t="shared" si="3"/>
        <v>0.3</v>
      </c>
      <c r="E45" s="37">
        <f t="shared" si="2"/>
        <v>0.03</v>
      </c>
    </row>
    <row r="46" spans="1:5" ht="15.75" hidden="1">
      <c r="A46" s="36">
        <v>2261</v>
      </c>
      <c r="B46" s="38" t="s">
        <v>18</v>
      </c>
      <c r="C46" s="37"/>
      <c r="D46" s="37">
        <f t="shared" si="3"/>
        <v>0</v>
      </c>
      <c r="E46" s="37">
        <f t="shared" si="2"/>
        <v>0</v>
      </c>
    </row>
    <row r="47" spans="1:5" ht="15.75">
      <c r="A47" s="36">
        <v>2262</v>
      </c>
      <c r="B47" s="38" t="s">
        <v>19</v>
      </c>
      <c r="C47" s="37">
        <v>7.14</v>
      </c>
      <c r="D47" s="37">
        <f t="shared" si="3"/>
        <v>35.699999999999996</v>
      </c>
      <c r="E47" s="37">
        <f t="shared" si="2"/>
        <v>3.5699999999999994</v>
      </c>
    </row>
    <row r="48" spans="1:5" ht="15.75">
      <c r="A48" s="36">
        <v>2263</v>
      </c>
      <c r="B48" s="38" t="s">
        <v>20</v>
      </c>
      <c r="C48" s="37">
        <v>26.32</v>
      </c>
      <c r="D48" s="37">
        <f t="shared" si="3"/>
        <v>131.6</v>
      </c>
      <c r="E48" s="37">
        <f t="shared" si="2"/>
        <v>13.16</v>
      </c>
    </row>
    <row r="49" spans="1:5" ht="15.75">
      <c r="A49" s="36">
        <v>2264</v>
      </c>
      <c r="B49" s="38" t="s">
        <v>21</v>
      </c>
      <c r="C49" s="37">
        <v>0.13</v>
      </c>
      <c r="D49" s="37">
        <f t="shared" si="3"/>
        <v>0.65</v>
      </c>
      <c r="E49" s="37">
        <f t="shared" si="2"/>
        <v>0.065</v>
      </c>
    </row>
    <row r="50" spans="1:5" ht="15.75">
      <c r="A50" s="36">
        <v>2279</v>
      </c>
      <c r="B50" s="38" t="s">
        <v>22</v>
      </c>
      <c r="C50" s="37">
        <v>29.4</v>
      </c>
      <c r="D50" s="37">
        <f t="shared" si="3"/>
        <v>147</v>
      </c>
      <c r="E50" s="37">
        <f t="shared" si="2"/>
        <v>14.7</v>
      </c>
    </row>
    <row r="51" spans="1:5" ht="15.75">
      <c r="A51" s="36">
        <v>2311</v>
      </c>
      <c r="B51" s="38" t="s">
        <v>23</v>
      </c>
      <c r="C51" s="37">
        <v>13.67</v>
      </c>
      <c r="D51" s="37">
        <f t="shared" si="3"/>
        <v>68.35</v>
      </c>
      <c r="E51" s="37">
        <f t="shared" si="2"/>
        <v>6.834999999999999</v>
      </c>
    </row>
    <row r="52" spans="1:5" ht="15.75">
      <c r="A52" s="36">
        <v>2312</v>
      </c>
      <c r="B52" s="38" t="s">
        <v>24</v>
      </c>
      <c r="C52" s="37">
        <v>5.12</v>
      </c>
      <c r="D52" s="37">
        <f t="shared" si="3"/>
        <v>25.6</v>
      </c>
      <c r="E52" s="37">
        <f t="shared" si="2"/>
        <v>2.56</v>
      </c>
    </row>
    <row r="53" spans="1:5" ht="15.75">
      <c r="A53" s="36">
        <v>2321</v>
      </c>
      <c r="B53" s="38" t="s">
        <v>25</v>
      </c>
      <c r="C53" s="37">
        <v>109.88</v>
      </c>
      <c r="D53" s="37">
        <f t="shared" si="3"/>
        <v>549.4</v>
      </c>
      <c r="E53" s="37">
        <f t="shared" si="2"/>
        <v>54.94</v>
      </c>
    </row>
    <row r="54" spans="1:5" ht="15.75">
      <c r="A54" s="36">
        <v>2322</v>
      </c>
      <c r="B54" s="38" t="s">
        <v>26</v>
      </c>
      <c r="C54" s="37">
        <v>19.24</v>
      </c>
      <c r="D54" s="37">
        <f t="shared" si="3"/>
        <v>96.19999999999999</v>
      </c>
      <c r="E54" s="37">
        <f t="shared" si="2"/>
        <v>9.62</v>
      </c>
    </row>
    <row r="55" spans="1:5" ht="15.75">
      <c r="A55" s="36">
        <v>2341</v>
      </c>
      <c r="B55" s="38" t="s">
        <v>27</v>
      </c>
      <c r="C55" s="37">
        <v>2.58</v>
      </c>
      <c r="D55" s="37">
        <f t="shared" si="3"/>
        <v>12.9</v>
      </c>
      <c r="E55" s="37">
        <f t="shared" si="2"/>
        <v>1.29</v>
      </c>
    </row>
    <row r="56" spans="1:5" ht="15.75">
      <c r="A56" s="36">
        <v>2344</v>
      </c>
      <c r="B56" s="38" t="s">
        <v>28</v>
      </c>
      <c r="C56" s="37">
        <v>0.04</v>
      </c>
      <c r="D56" s="37">
        <f t="shared" si="3"/>
        <v>0.2</v>
      </c>
      <c r="E56" s="37">
        <f t="shared" si="2"/>
        <v>0.02</v>
      </c>
    </row>
    <row r="57" spans="1:5" ht="15.75">
      <c r="A57" s="36">
        <v>2350</v>
      </c>
      <c r="B57" s="38" t="s">
        <v>29</v>
      </c>
      <c r="C57" s="37">
        <v>51.36</v>
      </c>
      <c r="D57" s="37">
        <f t="shared" si="3"/>
        <v>256.8</v>
      </c>
      <c r="E57" s="37">
        <f t="shared" si="2"/>
        <v>25.68</v>
      </c>
    </row>
    <row r="58" spans="1:5" ht="15.75">
      <c r="A58" s="36">
        <v>2361</v>
      </c>
      <c r="B58" s="38" t="s">
        <v>30</v>
      </c>
      <c r="C58" s="37">
        <v>10.59</v>
      </c>
      <c r="D58" s="37">
        <f t="shared" si="3"/>
        <v>52.95</v>
      </c>
      <c r="E58" s="37">
        <f t="shared" si="2"/>
        <v>5.295</v>
      </c>
    </row>
    <row r="59" spans="1:5" ht="15.75">
      <c r="A59" s="36">
        <v>2362</v>
      </c>
      <c r="B59" s="38" t="s">
        <v>31</v>
      </c>
      <c r="C59" s="37">
        <v>6.27</v>
      </c>
      <c r="D59" s="37">
        <f t="shared" si="3"/>
        <v>31.349999999999998</v>
      </c>
      <c r="E59" s="37">
        <f t="shared" si="2"/>
        <v>3.135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3"/>
        <v>0</v>
      </c>
      <c r="E60" s="37">
        <f t="shared" si="2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3"/>
        <v>0</v>
      </c>
      <c r="E61" s="37">
        <f t="shared" si="2"/>
        <v>0</v>
      </c>
    </row>
    <row r="62" spans="1:5" ht="15.75">
      <c r="A62" s="36">
        <v>2400</v>
      </c>
      <c r="B62" s="38" t="s">
        <v>47</v>
      </c>
      <c r="C62" s="37">
        <v>1.14</v>
      </c>
      <c r="D62" s="37">
        <f t="shared" si="3"/>
        <v>5.699999999999999</v>
      </c>
      <c r="E62" s="37">
        <f t="shared" si="2"/>
        <v>0.57</v>
      </c>
    </row>
    <row r="63" spans="1:5" ht="15.75">
      <c r="A63" s="36">
        <v>2513</v>
      </c>
      <c r="B63" s="38" t="s">
        <v>35</v>
      </c>
      <c r="C63" s="37">
        <v>17.82</v>
      </c>
      <c r="D63" s="37">
        <f t="shared" si="3"/>
        <v>89.1</v>
      </c>
      <c r="E63" s="37">
        <f t="shared" si="2"/>
        <v>8.91</v>
      </c>
    </row>
    <row r="64" spans="1:5" ht="15.75">
      <c r="A64" s="36">
        <v>2515</v>
      </c>
      <c r="B64" s="38" t="s">
        <v>97</v>
      </c>
      <c r="C64" s="37">
        <v>0.79</v>
      </c>
      <c r="D64" s="37">
        <f t="shared" si="3"/>
        <v>3.95</v>
      </c>
      <c r="E64" s="37">
        <f t="shared" si="2"/>
        <v>0.395</v>
      </c>
    </row>
    <row r="65" spans="1:5" ht="15.75">
      <c r="A65" s="36">
        <v>2519</v>
      </c>
      <c r="B65" s="38" t="s">
        <v>38</v>
      </c>
      <c r="C65" s="37">
        <v>4.16</v>
      </c>
      <c r="D65" s="37">
        <f t="shared" si="3"/>
        <v>20.8</v>
      </c>
      <c r="E65" s="37">
        <f t="shared" si="2"/>
        <v>2.08</v>
      </c>
    </row>
    <row r="66" spans="1:5" ht="15.75" hidden="1">
      <c r="A66" s="36">
        <v>6240</v>
      </c>
      <c r="B66" s="38" t="s">
        <v>50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3"/>
        <v>0</v>
      </c>
      <c r="E67" s="37">
        <f t="shared" si="2"/>
        <v>0</v>
      </c>
    </row>
    <row r="68" spans="1:5" ht="15.75">
      <c r="A68" s="36">
        <v>5121</v>
      </c>
      <c r="B68" s="38" t="s">
        <v>36</v>
      </c>
      <c r="C68" s="37">
        <v>3.36</v>
      </c>
      <c r="D68" s="37">
        <f t="shared" si="3"/>
        <v>16.8</v>
      </c>
      <c r="E68" s="37">
        <f t="shared" si="2"/>
        <v>1.6800000000000002</v>
      </c>
    </row>
    <row r="69" spans="1:5" ht="15.75">
      <c r="A69" s="36">
        <v>5232</v>
      </c>
      <c r="B69" s="38" t="s">
        <v>37</v>
      </c>
      <c r="C69" s="37">
        <v>26.53</v>
      </c>
      <c r="D69" s="37">
        <f t="shared" si="3"/>
        <v>132.65</v>
      </c>
      <c r="E69" s="37">
        <f t="shared" si="2"/>
        <v>13.265</v>
      </c>
    </row>
    <row r="70" spans="1:5" ht="15.75">
      <c r="A70" s="36">
        <v>5238</v>
      </c>
      <c r="B70" s="38" t="s">
        <v>39</v>
      </c>
      <c r="C70" s="37">
        <v>39.8</v>
      </c>
      <c r="D70" s="37">
        <f t="shared" si="3"/>
        <v>199</v>
      </c>
      <c r="E70" s="37">
        <f t="shared" si="2"/>
        <v>19.9</v>
      </c>
    </row>
    <row r="71" spans="1:5" ht="15.75" hidden="1">
      <c r="A71" s="36">
        <v>5240</v>
      </c>
      <c r="B71" s="38" t="s">
        <v>40</v>
      </c>
      <c r="C71" s="37"/>
      <c r="D71" s="37">
        <f t="shared" si="3"/>
        <v>0</v>
      </c>
      <c r="E71" s="37">
        <f t="shared" si="2"/>
        <v>0</v>
      </c>
    </row>
    <row r="72" spans="1:5" ht="15.75">
      <c r="A72" s="36">
        <v>5250</v>
      </c>
      <c r="B72" s="38" t="s">
        <v>41</v>
      </c>
      <c r="C72" s="37">
        <v>701.24</v>
      </c>
      <c r="D72" s="37">
        <f t="shared" si="3"/>
        <v>3506.2</v>
      </c>
      <c r="E72" s="37">
        <f t="shared" si="2"/>
        <v>350.62</v>
      </c>
    </row>
    <row r="73" spans="1:5" ht="15.75">
      <c r="A73" s="41"/>
      <c r="B73" s="45" t="s">
        <v>9</v>
      </c>
      <c r="C73" s="40">
        <f>SUM(C30:C72)</f>
        <v>2205.2999999999997</v>
      </c>
      <c r="D73" s="40">
        <f>SUM(D30:D72)</f>
        <v>11026.5</v>
      </c>
      <c r="E73" s="40">
        <f>SUM(E30:E72)</f>
        <v>1220.4199999999998</v>
      </c>
    </row>
    <row r="74" spans="1:5" ht="15.75">
      <c r="A74" s="41"/>
      <c r="B74" s="45" t="s">
        <v>48</v>
      </c>
      <c r="C74" s="40">
        <f>C73+C28</f>
        <v>4253</v>
      </c>
      <c r="D74" s="40">
        <f>D73+D28</f>
        <v>22247</v>
      </c>
      <c r="E74" s="40">
        <f>E73+E28</f>
        <v>2473.045</v>
      </c>
    </row>
    <row r="75" spans="1:5" ht="15.75">
      <c r="A75" s="52"/>
      <c r="B75" s="53"/>
      <c r="C75" s="63"/>
      <c r="D75" s="63"/>
      <c r="E75" s="63"/>
    </row>
    <row r="76" spans="1:5" ht="15.75">
      <c r="A76" s="139" t="s">
        <v>63</v>
      </c>
      <c r="B76" s="139"/>
      <c r="C76" s="49">
        <v>50</v>
      </c>
      <c r="D76" s="49">
        <v>50</v>
      </c>
      <c r="E76" s="44">
        <v>5</v>
      </c>
    </row>
    <row r="77" spans="1:5" ht="15.75">
      <c r="A77" s="139" t="s">
        <v>64</v>
      </c>
      <c r="B77" s="139"/>
      <c r="C77" s="40">
        <f>C74/C76</f>
        <v>85.06</v>
      </c>
      <c r="D77" s="40">
        <f>D74/D76</f>
        <v>444.94</v>
      </c>
      <c r="E77" s="113">
        <f>E74/E76</f>
        <v>494.60900000000004</v>
      </c>
    </row>
    <row r="78" spans="1:5" ht="15.75">
      <c r="A78" s="54"/>
      <c r="B78" s="54"/>
      <c r="C78" s="54"/>
      <c r="D78" s="54"/>
      <c r="E78" s="56"/>
    </row>
    <row r="79" spans="1:5" ht="15.75">
      <c r="A79" s="140" t="s">
        <v>56</v>
      </c>
      <c r="B79" s="141"/>
      <c r="C79" s="25">
        <v>85.06</v>
      </c>
      <c r="D79" s="106">
        <v>425.3</v>
      </c>
      <c r="E79" s="64"/>
    </row>
    <row r="80" spans="1:5" ht="15.75">
      <c r="A80" s="140" t="s">
        <v>86</v>
      </c>
      <c r="B80" s="141"/>
      <c r="C80" s="25">
        <f>C79*5</f>
        <v>425.3</v>
      </c>
      <c r="D80" s="106"/>
      <c r="E80" s="64"/>
    </row>
    <row r="81" spans="1:5" ht="15.75">
      <c r="A81" s="26"/>
      <c r="B81" s="26"/>
      <c r="C81" s="26"/>
      <c r="D81" s="26"/>
      <c r="E81" s="26"/>
    </row>
    <row r="82" spans="1:5" ht="15.75">
      <c r="A82" s="26" t="s">
        <v>57</v>
      </c>
      <c r="B82" s="26"/>
      <c r="C82" s="26">
        <f>C80*5</f>
        <v>2126.5</v>
      </c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9">
    <mergeCell ref="A77:B77"/>
    <mergeCell ref="A79:B79"/>
    <mergeCell ref="A80:B80"/>
    <mergeCell ref="A6:E6"/>
    <mergeCell ref="A7:B7"/>
    <mergeCell ref="A8:B8"/>
    <mergeCell ref="B11:E11"/>
    <mergeCell ref="B12:E12"/>
    <mergeCell ref="A76:B76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421875" style="3" customWidth="1"/>
    <col min="2" max="2" width="94.28125" style="3" customWidth="1"/>
    <col min="3" max="4" width="21.8515625" style="3" hidden="1" customWidth="1"/>
    <col min="5" max="5" width="32.00390625" style="3" customWidth="1"/>
  </cols>
  <sheetData>
    <row r="1" spans="1:5" ht="15.75">
      <c r="A1" s="9"/>
      <c r="B1" s="148" t="s">
        <v>53</v>
      </c>
      <c r="C1" s="148"/>
      <c r="D1" s="148"/>
      <c r="E1" s="143"/>
    </row>
    <row r="2" spans="1:5" ht="15.75">
      <c r="A2" s="9"/>
      <c r="B2" s="149" t="s">
        <v>58</v>
      </c>
      <c r="C2" s="149"/>
      <c r="D2" s="149"/>
      <c r="E2" s="150"/>
    </row>
    <row r="3" spans="1:5" ht="15.75">
      <c r="A3" s="9"/>
      <c r="B3" s="19"/>
      <c r="C3" s="19"/>
      <c r="D3" s="19"/>
      <c r="E3" s="120" t="s">
        <v>196</v>
      </c>
    </row>
    <row r="4" spans="1:5" ht="15.75">
      <c r="A4" s="9"/>
      <c r="B4" s="19"/>
      <c r="C4" s="19"/>
      <c r="D4" s="19"/>
      <c r="E4" s="46"/>
    </row>
    <row r="5" spans="1:5" ht="15.75">
      <c r="A5" s="9"/>
      <c r="B5" s="24"/>
      <c r="C5" s="24"/>
      <c r="D5" s="24"/>
      <c r="E5" s="46" t="s">
        <v>197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153</v>
      </c>
      <c r="C12" s="142"/>
      <c r="D12" s="142"/>
      <c r="E12" s="143"/>
    </row>
    <row r="13" spans="1:5" ht="15.75">
      <c r="A13" s="18" t="s">
        <v>2</v>
      </c>
      <c r="B13" s="18" t="str">
        <f>'4.1.1.1.'!B13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f>1018.36-14.97</f>
        <v>1003.39</v>
      </c>
      <c r="D17" s="37">
        <f>4997.1+15.83*50</f>
        <v>5788.6</v>
      </c>
      <c r="E17" s="37">
        <v>667.2</v>
      </c>
    </row>
    <row r="18" spans="1:5" ht="31.5">
      <c r="A18" s="36">
        <v>1200</v>
      </c>
      <c r="B18" s="38" t="s">
        <v>92</v>
      </c>
      <c r="C18" s="37">
        <f>240.32-3.53</f>
        <v>236.79</v>
      </c>
      <c r="D18" s="37">
        <f>1203.8+50*3.81</f>
        <v>1394.3</v>
      </c>
      <c r="E18" s="37">
        <v>160.73</v>
      </c>
    </row>
    <row r="19" spans="1:5" ht="15.75">
      <c r="A19" s="36">
        <v>2222</v>
      </c>
      <c r="B19" s="38" t="s">
        <v>43</v>
      </c>
      <c r="C19" s="37">
        <v>58.12</v>
      </c>
      <c r="D19" s="37">
        <f aca="true" t="shared" si="0" ref="D19:D27">C19*5</f>
        <v>290.59999999999997</v>
      </c>
      <c r="E19" s="37">
        <v>29.06</v>
      </c>
    </row>
    <row r="20" spans="1:5" ht="15.75">
      <c r="A20" s="36">
        <v>2223</v>
      </c>
      <c r="B20" s="38" t="s">
        <v>44</v>
      </c>
      <c r="C20" s="37">
        <v>78.83</v>
      </c>
      <c r="D20" s="37">
        <f t="shared" si="0"/>
        <v>394.15</v>
      </c>
      <c r="E20" s="37">
        <v>39.42</v>
      </c>
    </row>
    <row r="21" spans="1:5" ht="15.75">
      <c r="A21" s="36">
        <v>2243</v>
      </c>
      <c r="B21" s="38" t="s">
        <v>15</v>
      </c>
      <c r="C21" s="37">
        <v>14.19</v>
      </c>
      <c r="D21" s="37">
        <f t="shared" si="0"/>
        <v>70.95</v>
      </c>
      <c r="E21" s="37">
        <v>7.1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>D22/10</f>
        <v>0</v>
      </c>
    </row>
    <row r="23" spans="1:5" ht="15.75">
      <c r="A23" s="36">
        <v>2321</v>
      </c>
      <c r="B23" s="38" t="s">
        <v>25</v>
      </c>
      <c r="C23" s="37">
        <v>93.68</v>
      </c>
      <c r="D23" s="37">
        <f t="shared" si="0"/>
        <v>468.40000000000003</v>
      </c>
      <c r="E23" s="37">
        <v>46.84</v>
      </c>
    </row>
    <row r="24" spans="1:5" ht="15.75">
      <c r="A24" s="36">
        <v>2341</v>
      </c>
      <c r="B24" s="38" t="s">
        <v>27</v>
      </c>
      <c r="C24" s="37">
        <v>135.61</v>
      </c>
      <c r="D24" s="37">
        <f t="shared" si="0"/>
        <v>678.0500000000001</v>
      </c>
      <c r="E24" s="37">
        <v>67.81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>D25/10</f>
        <v>0</v>
      </c>
    </row>
    <row r="26" spans="1:5" ht="15.75">
      <c r="A26" s="36">
        <v>2363</v>
      </c>
      <c r="B26" s="38" t="s">
        <v>32</v>
      </c>
      <c r="C26" s="37">
        <v>369</v>
      </c>
      <c r="D26" s="37">
        <f t="shared" si="0"/>
        <v>1845</v>
      </c>
      <c r="E26" s="37">
        <v>203</v>
      </c>
    </row>
    <row r="27" spans="1:5" ht="15.75">
      <c r="A27" s="36">
        <v>5232</v>
      </c>
      <c r="B27" s="38" t="s">
        <v>37</v>
      </c>
      <c r="C27" s="37">
        <v>66.46</v>
      </c>
      <c r="D27" s="37">
        <f t="shared" si="0"/>
        <v>332.29999999999995</v>
      </c>
      <c r="E27" s="37">
        <v>33.23</v>
      </c>
    </row>
    <row r="28" spans="1:5" ht="15.75">
      <c r="A28" s="36"/>
      <c r="B28" s="39" t="s">
        <v>7</v>
      </c>
      <c r="C28" s="40">
        <f>SUM(C17:C27)</f>
        <v>2056.07</v>
      </c>
      <c r="D28" s="40">
        <f>SUM(D17:D27)</f>
        <v>11262.349999999999</v>
      </c>
      <c r="E28" s="40">
        <f>SUM(E17:E27)</f>
        <v>1254.39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560.24</v>
      </c>
      <c r="D30" s="37">
        <v>2789.91</v>
      </c>
      <c r="E30" s="37">
        <f aca="true" t="shared" si="1" ref="E30:E72">D30/10</f>
        <v>278.991</v>
      </c>
    </row>
    <row r="31" spans="1:5" ht="31.5">
      <c r="A31" s="36">
        <v>1200</v>
      </c>
      <c r="B31" s="38" t="s">
        <v>92</v>
      </c>
      <c r="C31" s="37">
        <v>132.16</v>
      </c>
      <c r="D31" s="37">
        <f>672.09</f>
        <v>672.09</v>
      </c>
      <c r="E31" s="37">
        <f t="shared" si="1"/>
        <v>67.209</v>
      </c>
    </row>
    <row r="32" spans="1:5" ht="15.75" hidden="1">
      <c r="A32" s="36">
        <v>2100</v>
      </c>
      <c r="B32" s="42" t="s">
        <v>98</v>
      </c>
      <c r="C32" s="37">
        <v>0</v>
      </c>
      <c r="D32" s="37">
        <f aca="true" t="shared" si="2" ref="D32:D72">C32*5</f>
        <v>0</v>
      </c>
      <c r="E32" s="37">
        <f t="shared" si="1"/>
        <v>0</v>
      </c>
    </row>
    <row r="33" spans="1:5" ht="15.75">
      <c r="A33" s="43">
        <v>2210</v>
      </c>
      <c r="B33" s="38" t="s">
        <v>42</v>
      </c>
      <c r="C33" s="37">
        <v>13.1</v>
      </c>
      <c r="D33" s="37">
        <f t="shared" si="2"/>
        <v>65.5</v>
      </c>
      <c r="E33" s="37">
        <f t="shared" si="1"/>
        <v>6.55</v>
      </c>
    </row>
    <row r="34" spans="1:5" ht="15.75">
      <c r="A34" s="36">
        <v>2222</v>
      </c>
      <c r="B34" s="38" t="s">
        <v>43</v>
      </c>
      <c r="C34" s="37">
        <v>7.45</v>
      </c>
      <c r="D34" s="37">
        <f t="shared" si="2"/>
        <v>37.25</v>
      </c>
      <c r="E34" s="37">
        <f t="shared" si="1"/>
        <v>3.725</v>
      </c>
    </row>
    <row r="35" spans="1:5" ht="15.75">
      <c r="A35" s="36">
        <v>2223</v>
      </c>
      <c r="B35" s="38" t="s">
        <v>44</v>
      </c>
      <c r="C35" s="37">
        <v>72.03</v>
      </c>
      <c r="D35" s="37">
        <f t="shared" si="2"/>
        <v>360.15</v>
      </c>
      <c r="E35" s="37">
        <f t="shared" si="1"/>
        <v>36.015</v>
      </c>
    </row>
    <row r="36" spans="1:5" ht="15.75">
      <c r="A36" s="36">
        <v>2230</v>
      </c>
      <c r="B36" s="38" t="s">
        <v>45</v>
      </c>
      <c r="C36" s="37">
        <v>8.19</v>
      </c>
      <c r="D36" s="37">
        <f t="shared" si="2"/>
        <v>40.949999999999996</v>
      </c>
      <c r="E36" s="37">
        <f t="shared" si="1"/>
        <v>4.095</v>
      </c>
    </row>
    <row r="37" spans="1:5" ht="15.75">
      <c r="A37" s="36">
        <v>2241</v>
      </c>
      <c r="B37" s="38" t="s">
        <v>13</v>
      </c>
      <c r="C37" s="37">
        <v>0.01</v>
      </c>
      <c r="D37" s="37">
        <f t="shared" si="2"/>
        <v>0.05</v>
      </c>
      <c r="E37" s="37">
        <f t="shared" si="1"/>
        <v>0.005</v>
      </c>
    </row>
    <row r="38" spans="1:5" ht="15.75">
      <c r="A38" s="36">
        <v>2242</v>
      </c>
      <c r="B38" s="38" t="s">
        <v>14</v>
      </c>
      <c r="C38" s="37">
        <v>2.44</v>
      </c>
      <c r="D38" s="37">
        <f t="shared" si="2"/>
        <v>12.2</v>
      </c>
      <c r="E38" s="37">
        <f t="shared" si="1"/>
        <v>1.22</v>
      </c>
    </row>
    <row r="39" spans="1:5" ht="15.75">
      <c r="A39" s="36">
        <v>2243</v>
      </c>
      <c r="B39" s="38" t="s">
        <v>15</v>
      </c>
      <c r="C39" s="37">
        <v>7.79</v>
      </c>
      <c r="D39" s="37">
        <f t="shared" si="2"/>
        <v>38.95</v>
      </c>
      <c r="E39" s="37">
        <f t="shared" si="1"/>
        <v>3.8950000000000005</v>
      </c>
    </row>
    <row r="40" spans="1:5" ht="15.75">
      <c r="A40" s="36">
        <v>2244</v>
      </c>
      <c r="B40" s="38" t="s">
        <v>16</v>
      </c>
      <c r="C40" s="37">
        <v>162.14</v>
      </c>
      <c r="D40" s="37">
        <f t="shared" si="2"/>
        <v>810.6999999999999</v>
      </c>
      <c r="E40" s="37">
        <v>155.76</v>
      </c>
    </row>
    <row r="41" spans="1:5" ht="15.75">
      <c r="A41" s="36">
        <v>2247</v>
      </c>
      <c r="B41" s="34" t="s">
        <v>93</v>
      </c>
      <c r="C41" s="37">
        <v>0.65</v>
      </c>
      <c r="D41" s="37">
        <f t="shared" si="2"/>
        <v>3.25</v>
      </c>
      <c r="E41" s="37">
        <f t="shared" si="1"/>
        <v>0.325</v>
      </c>
    </row>
    <row r="42" spans="1:5" ht="15.75">
      <c r="A42" s="36">
        <v>2249</v>
      </c>
      <c r="B42" s="38" t="s">
        <v>17</v>
      </c>
      <c r="C42" s="37">
        <v>2.81</v>
      </c>
      <c r="D42" s="37">
        <f t="shared" si="2"/>
        <v>14.05</v>
      </c>
      <c r="E42" s="37">
        <f t="shared" si="1"/>
        <v>1.405</v>
      </c>
    </row>
    <row r="43" spans="1:5" ht="15.75">
      <c r="A43" s="36">
        <v>2251</v>
      </c>
      <c r="B43" s="38" t="s">
        <v>94</v>
      </c>
      <c r="C43" s="37">
        <v>28.96</v>
      </c>
      <c r="D43" s="37">
        <f t="shared" si="2"/>
        <v>144.8</v>
      </c>
      <c r="E43" s="37">
        <f t="shared" si="1"/>
        <v>14.48</v>
      </c>
    </row>
    <row r="44" spans="1:5" ht="15.75">
      <c r="A44" s="36">
        <v>2252</v>
      </c>
      <c r="B44" s="38" t="s">
        <v>96</v>
      </c>
      <c r="C44" s="37">
        <v>0.35</v>
      </c>
      <c r="D44" s="37">
        <f t="shared" si="2"/>
        <v>1.75</v>
      </c>
      <c r="E44" s="37">
        <f t="shared" si="1"/>
        <v>0.175</v>
      </c>
    </row>
    <row r="45" spans="1:5" ht="15.75">
      <c r="A45" s="36">
        <v>2259</v>
      </c>
      <c r="B45" s="38" t="s">
        <v>95</v>
      </c>
      <c r="C45" s="37">
        <v>0.05</v>
      </c>
      <c r="D45" s="37">
        <f t="shared" si="2"/>
        <v>0.25</v>
      </c>
      <c r="E45" s="37">
        <f t="shared" si="1"/>
        <v>0.025</v>
      </c>
    </row>
    <row r="46" spans="1:5" ht="15.75">
      <c r="A46" s="36">
        <v>2261</v>
      </c>
      <c r="B46" s="38" t="s">
        <v>18</v>
      </c>
      <c r="C46" s="37">
        <v>1.99</v>
      </c>
      <c r="D46" s="37">
        <f t="shared" si="2"/>
        <v>9.95</v>
      </c>
      <c r="E46" s="37">
        <f t="shared" si="1"/>
        <v>0.9949999999999999</v>
      </c>
    </row>
    <row r="47" spans="1:5" ht="15.75">
      <c r="A47" s="36">
        <v>2262</v>
      </c>
      <c r="B47" s="38" t="s">
        <v>19</v>
      </c>
      <c r="C47" s="37">
        <v>7.14</v>
      </c>
      <c r="D47" s="37">
        <f t="shared" si="2"/>
        <v>35.699999999999996</v>
      </c>
      <c r="E47" s="37">
        <f t="shared" si="1"/>
        <v>3.5699999999999994</v>
      </c>
    </row>
    <row r="48" spans="1:5" ht="15.75">
      <c r="A48" s="36">
        <v>2263</v>
      </c>
      <c r="B48" s="38" t="s">
        <v>20</v>
      </c>
      <c r="C48" s="37">
        <v>26.32</v>
      </c>
      <c r="D48" s="37">
        <f t="shared" si="2"/>
        <v>131.6</v>
      </c>
      <c r="E48" s="37">
        <f t="shared" si="1"/>
        <v>13.16</v>
      </c>
    </row>
    <row r="49" spans="1:5" ht="15.75">
      <c r="A49" s="36">
        <v>2264</v>
      </c>
      <c r="B49" s="38" t="s">
        <v>21</v>
      </c>
      <c r="C49" s="37">
        <v>0.13</v>
      </c>
      <c r="D49" s="37">
        <f t="shared" si="2"/>
        <v>0.65</v>
      </c>
      <c r="E49" s="37">
        <f t="shared" si="1"/>
        <v>0.065</v>
      </c>
    </row>
    <row r="50" spans="1:5" ht="15.75">
      <c r="A50" s="36">
        <v>2279</v>
      </c>
      <c r="B50" s="38" t="s">
        <v>22</v>
      </c>
      <c r="C50" s="37">
        <v>29.4</v>
      </c>
      <c r="D50" s="37">
        <f t="shared" si="2"/>
        <v>147</v>
      </c>
      <c r="E50" s="37">
        <f t="shared" si="1"/>
        <v>14.7</v>
      </c>
    </row>
    <row r="51" spans="1:5" ht="15.75">
      <c r="A51" s="36">
        <v>2311</v>
      </c>
      <c r="B51" s="38" t="s">
        <v>23</v>
      </c>
      <c r="C51" s="37">
        <v>9.45</v>
      </c>
      <c r="D51" s="37">
        <f t="shared" si="2"/>
        <v>47.25</v>
      </c>
      <c r="E51" s="37">
        <f t="shared" si="1"/>
        <v>4.725</v>
      </c>
    </row>
    <row r="52" spans="1:5" ht="15.75">
      <c r="A52" s="36">
        <v>2312</v>
      </c>
      <c r="B52" s="38" t="s">
        <v>24</v>
      </c>
      <c r="C52" s="37">
        <v>5.12</v>
      </c>
      <c r="D52" s="37">
        <f t="shared" si="2"/>
        <v>25.6</v>
      </c>
      <c r="E52" s="37">
        <f t="shared" si="1"/>
        <v>2.56</v>
      </c>
    </row>
    <row r="53" spans="1:5" ht="15.75">
      <c r="A53" s="36">
        <v>2321</v>
      </c>
      <c r="B53" s="38" t="s">
        <v>25</v>
      </c>
      <c r="C53" s="37">
        <v>109.6</v>
      </c>
      <c r="D53" s="37">
        <f t="shared" si="2"/>
        <v>548</v>
      </c>
      <c r="E53" s="37">
        <f t="shared" si="1"/>
        <v>54.8</v>
      </c>
    </row>
    <row r="54" spans="1:5" ht="15.75">
      <c r="A54" s="36">
        <v>2322</v>
      </c>
      <c r="B54" s="38" t="s">
        <v>26</v>
      </c>
      <c r="C54" s="37">
        <v>18.95</v>
      </c>
      <c r="D54" s="37">
        <f t="shared" si="2"/>
        <v>94.75</v>
      </c>
      <c r="E54" s="37">
        <f t="shared" si="1"/>
        <v>9.475</v>
      </c>
    </row>
    <row r="55" spans="1:5" ht="15.75">
      <c r="A55" s="36">
        <v>2341</v>
      </c>
      <c r="B55" s="38" t="s">
        <v>27</v>
      </c>
      <c r="C55" s="37">
        <v>2.58</v>
      </c>
      <c r="D55" s="37">
        <f t="shared" si="2"/>
        <v>12.9</v>
      </c>
      <c r="E55" s="37">
        <f t="shared" si="1"/>
        <v>1.29</v>
      </c>
    </row>
    <row r="56" spans="1:5" ht="15.75">
      <c r="A56" s="36">
        <v>2344</v>
      </c>
      <c r="B56" s="38" t="s">
        <v>28</v>
      </c>
      <c r="C56" s="37">
        <v>0.04</v>
      </c>
      <c r="D56" s="37">
        <f t="shared" si="2"/>
        <v>0.2</v>
      </c>
      <c r="E56" s="37">
        <f t="shared" si="1"/>
        <v>0.02</v>
      </c>
    </row>
    <row r="57" spans="1:5" ht="15.75">
      <c r="A57" s="36">
        <v>2350</v>
      </c>
      <c r="B57" s="38" t="s">
        <v>29</v>
      </c>
      <c r="C57" s="37">
        <v>40.07</v>
      </c>
      <c r="D57" s="37">
        <f t="shared" si="2"/>
        <v>200.35</v>
      </c>
      <c r="E57" s="37">
        <f t="shared" si="1"/>
        <v>20.035</v>
      </c>
    </row>
    <row r="58" spans="1:5" ht="15.75">
      <c r="A58" s="36">
        <v>2361</v>
      </c>
      <c r="B58" s="38" t="s">
        <v>30</v>
      </c>
      <c r="C58" s="37">
        <v>10.61</v>
      </c>
      <c r="D58" s="37">
        <f t="shared" si="2"/>
        <v>53.05</v>
      </c>
      <c r="E58" s="37">
        <f t="shared" si="1"/>
        <v>5.305</v>
      </c>
    </row>
    <row r="59" spans="1:5" ht="15.75">
      <c r="A59" s="36">
        <v>2362</v>
      </c>
      <c r="B59" s="38" t="s">
        <v>31</v>
      </c>
      <c r="C59" s="37">
        <v>5.63</v>
      </c>
      <c r="D59" s="37">
        <f t="shared" si="2"/>
        <v>28.15</v>
      </c>
      <c r="E59" s="37">
        <f t="shared" si="1"/>
        <v>2.815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2"/>
        <v>0</v>
      </c>
      <c r="E60" s="37">
        <f t="shared" si="1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2"/>
        <v>0</v>
      </c>
      <c r="E61" s="37">
        <f t="shared" si="1"/>
        <v>0</v>
      </c>
    </row>
    <row r="62" spans="1:5" ht="15.75">
      <c r="A62" s="36">
        <v>2400</v>
      </c>
      <c r="B62" s="38" t="s">
        <v>47</v>
      </c>
      <c r="C62" s="37">
        <v>1.14</v>
      </c>
      <c r="D62" s="37">
        <f t="shared" si="2"/>
        <v>5.699999999999999</v>
      </c>
      <c r="E62" s="37">
        <f t="shared" si="1"/>
        <v>0.57</v>
      </c>
    </row>
    <row r="63" spans="1:5" ht="15.75">
      <c r="A63" s="36">
        <v>2513</v>
      </c>
      <c r="B63" s="38" t="s">
        <v>35</v>
      </c>
      <c r="C63" s="37">
        <v>17.81</v>
      </c>
      <c r="D63" s="37">
        <f t="shared" si="2"/>
        <v>89.05</v>
      </c>
      <c r="E63" s="37">
        <f t="shared" si="1"/>
        <v>8.905</v>
      </c>
    </row>
    <row r="64" spans="1:5" ht="15.75">
      <c r="A64" s="36">
        <v>2515</v>
      </c>
      <c r="B64" s="38" t="s">
        <v>97</v>
      </c>
      <c r="C64" s="37">
        <v>0.79</v>
      </c>
      <c r="D64" s="37">
        <f t="shared" si="2"/>
        <v>3.95</v>
      </c>
      <c r="E64" s="37">
        <f t="shared" si="1"/>
        <v>0.395</v>
      </c>
    </row>
    <row r="65" spans="1:5" ht="15.75">
      <c r="A65" s="36">
        <v>2519</v>
      </c>
      <c r="B65" s="38" t="s">
        <v>38</v>
      </c>
      <c r="C65" s="37">
        <v>4.16</v>
      </c>
      <c r="D65" s="37">
        <f t="shared" si="2"/>
        <v>20.8</v>
      </c>
      <c r="E65" s="37">
        <f t="shared" si="1"/>
        <v>2.08</v>
      </c>
    </row>
    <row r="66" spans="1:5" ht="15.75" hidden="1">
      <c r="A66" s="36">
        <v>6240</v>
      </c>
      <c r="B66" s="38" t="s">
        <v>99</v>
      </c>
      <c r="C66" s="37">
        <v>0</v>
      </c>
      <c r="D66" s="37">
        <f t="shared" si="2"/>
        <v>0</v>
      </c>
      <c r="E66" s="37">
        <f t="shared" si="1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2"/>
        <v>0</v>
      </c>
      <c r="E67" s="37">
        <f t="shared" si="1"/>
        <v>0</v>
      </c>
    </row>
    <row r="68" spans="1:5" ht="15.75">
      <c r="A68" s="36">
        <v>5121</v>
      </c>
      <c r="B68" s="38" t="s">
        <v>36</v>
      </c>
      <c r="C68" s="37">
        <v>3.36</v>
      </c>
      <c r="D68" s="37">
        <f t="shared" si="2"/>
        <v>16.8</v>
      </c>
      <c r="E68" s="37">
        <f t="shared" si="1"/>
        <v>1.6800000000000002</v>
      </c>
    </row>
    <row r="69" spans="1:5" ht="15.75">
      <c r="A69" s="36">
        <v>5232</v>
      </c>
      <c r="B69" s="38" t="s">
        <v>37</v>
      </c>
      <c r="C69" s="37">
        <v>24.67</v>
      </c>
      <c r="D69" s="37">
        <f t="shared" si="2"/>
        <v>123.35000000000001</v>
      </c>
      <c r="E69" s="37">
        <f t="shared" si="1"/>
        <v>12.335</v>
      </c>
    </row>
    <row r="70" spans="1:5" ht="15.75">
      <c r="A70" s="36">
        <v>5238</v>
      </c>
      <c r="B70" s="38" t="s">
        <v>39</v>
      </c>
      <c r="C70" s="37">
        <v>39.79</v>
      </c>
      <c r="D70" s="37">
        <f t="shared" si="2"/>
        <v>198.95</v>
      </c>
      <c r="E70" s="37">
        <f t="shared" si="1"/>
        <v>19.895</v>
      </c>
    </row>
    <row r="71" spans="1:5" ht="15.75" hidden="1">
      <c r="A71" s="36">
        <v>5240</v>
      </c>
      <c r="B71" s="38" t="s">
        <v>40</v>
      </c>
      <c r="C71" s="37">
        <v>0</v>
      </c>
      <c r="D71" s="37">
        <f t="shared" si="2"/>
        <v>0</v>
      </c>
      <c r="E71" s="37">
        <f t="shared" si="1"/>
        <v>0</v>
      </c>
    </row>
    <row r="72" spans="1:5" ht="15.75">
      <c r="A72" s="36">
        <v>5250</v>
      </c>
      <c r="B72" s="38" t="s">
        <v>41</v>
      </c>
      <c r="C72" s="37">
        <v>139.81</v>
      </c>
      <c r="D72" s="37">
        <f t="shared" si="2"/>
        <v>699.05</v>
      </c>
      <c r="E72" s="37">
        <f t="shared" si="1"/>
        <v>69.905</v>
      </c>
    </row>
    <row r="73" spans="1:5" ht="15.75">
      <c r="A73" s="41"/>
      <c r="B73" s="45" t="s">
        <v>9</v>
      </c>
      <c r="C73" s="40">
        <f>SUM(C30:C72)</f>
        <v>1496.9299999999998</v>
      </c>
      <c r="D73" s="40">
        <f>SUM(D30:D72)</f>
        <v>7484.650000000001</v>
      </c>
      <c r="E73" s="40">
        <f>SUM(E30:E72)</f>
        <v>823.155</v>
      </c>
    </row>
    <row r="74" spans="1:5" ht="15.75">
      <c r="A74" s="41"/>
      <c r="B74" s="45" t="s">
        <v>48</v>
      </c>
      <c r="C74" s="40">
        <f>C73+C28</f>
        <v>3553</v>
      </c>
      <c r="D74" s="40">
        <f>D73+D28</f>
        <v>18747</v>
      </c>
      <c r="E74" s="40">
        <f>E73+E28</f>
        <v>2077.545</v>
      </c>
    </row>
    <row r="75" spans="1:5" ht="15.75">
      <c r="A75" s="46"/>
      <c r="B75" s="29"/>
      <c r="C75" s="14"/>
      <c r="D75" s="14"/>
      <c r="E75" s="14"/>
    </row>
    <row r="76" spans="1:5" ht="15.75">
      <c r="A76" s="142" t="s">
        <v>63</v>
      </c>
      <c r="B76" s="142"/>
      <c r="C76" s="30">
        <v>50</v>
      </c>
      <c r="D76" s="30">
        <v>50</v>
      </c>
      <c r="E76" s="116">
        <v>5</v>
      </c>
    </row>
    <row r="77" spans="1:5" ht="15.75">
      <c r="A77" s="142" t="s">
        <v>64</v>
      </c>
      <c r="B77" s="142"/>
      <c r="C77" s="48">
        <f>C74/C76</f>
        <v>71.06</v>
      </c>
      <c r="D77" s="48">
        <f>D74/D76</f>
        <v>374.94</v>
      </c>
      <c r="E77" s="117">
        <f>E74/E76</f>
        <v>415.509</v>
      </c>
    </row>
    <row r="78" spans="1:5" ht="15.75">
      <c r="A78" s="18"/>
      <c r="B78" s="18"/>
      <c r="C78" s="18"/>
      <c r="D78" s="18"/>
      <c r="E78" s="47"/>
    </row>
    <row r="79" spans="1:5" ht="15.75">
      <c r="A79" s="146" t="s">
        <v>56</v>
      </c>
      <c r="B79" s="147"/>
      <c r="C79" s="25">
        <v>71.06</v>
      </c>
      <c r="D79" s="25">
        <v>355.3</v>
      </c>
      <c r="E79" s="50"/>
    </row>
    <row r="80" spans="1:5" ht="15.75">
      <c r="A80" s="146" t="s">
        <v>85</v>
      </c>
      <c r="B80" s="147"/>
      <c r="C80" s="25">
        <f>C79*5</f>
        <v>355.3</v>
      </c>
      <c r="D80" s="25"/>
      <c r="E80" s="50"/>
    </row>
    <row r="81" spans="1:5" ht="15.75">
      <c r="A81" s="26"/>
      <c r="B81" s="26"/>
      <c r="C81" s="26"/>
      <c r="D81" s="26"/>
      <c r="E81" s="26"/>
    </row>
    <row r="82" spans="1:5" ht="15.75">
      <c r="A82" s="26" t="s">
        <v>57</v>
      </c>
      <c r="B82" s="26"/>
      <c r="C82" s="26">
        <f>C80*5</f>
        <v>1776.5</v>
      </c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11">
    <mergeCell ref="B1:E1"/>
    <mergeCell ref="B2:E2"/>
    <mergeCell ref="A6:E6"/>
    <mergeCell ref="A7:B7"/>
    <mergeCell ref="A8:B8"/>
    <mergeCell ref="B11:E11"/>
    <mergeCell ref="B12:E12"/>
    <mergeCell ref="A76:B76"/>
    <mergeCell ref="A77:B77"/>
    <mergeCell ref="A79:B79"/>
    <mergeCell ref="A80:B8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140625" style="3" customWidth="1"/>
    <col min="2" max="2" width="94.140625" style="3" customWidth="1"/>
    <col min="3" max="4" width="14.140625" style="3" hidden="1" customWidth="1"/>
    <col min="5" max="5" width="32.140625" style="3" customWidth="1"/>
  </cols>
  <sheetData>
    <row r="1" spans="1:5" ht="15.75">
      <c r="A1" s="9"/>
      <c r="B1" s="66"/>
      <c r="C1" s="66"/>
      <c r="D1" s="66"/>
      <c r="E1" s="46" t="s">
        <v>53</v>
      </c>
    </row>
    <row r="2" spans="1:5" ht="15.75">
      <c r="A2" s="9"/>
      <c r="B2" s="66"/>
      <c r="C2" s="66"/>
      <c r="D2" s="66"/>
      <c r="E2" s="46" t="s">
        <v>58</v>
      </c>
    </row>
    <row r="3" spans="1:5" ht="15.75">
      <c r="A3" s="9"/>
      <c r="B3" s="66"/>
      <c r="C3" s="66"/>
      <c r="D3" s="66"/>
      <c r="E3" s="120" t="s">
        <v>196</v>
      </c>
    </row>
    <row r="4" spans="1:5" ht="15.75">
      <c r="A4" s="9"/>
      <c r="B4" s="66"/>
      <c r="C4" s="66"/>
      <c r="D4" s="66"/>
      <c r="E4" s="46"/>
    </row>
    <row r="5" spans="1:5" ht="15.75">
      <c r="A5" s="9"/>
      <c r="B5" s="1"/>
      <c r="C5" s="1"/>
      <c r="D5" s="1"/>
      <c r="E5" s="46" t="s">
        <v>197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155</v>
      </c>
      <c r="C12" s="142"/>
      <c r="D12" s="142"/>
      <c r="E12" s="143"/>
    </row>
    <row r="13" spans="1:5" ht="15.75">
      <c r="A13" s="18" t="s">
        <v>2</v>
      </c>
      <c r="B13" s="18" t="str">
        <f>'4.3.1.2.'!B13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v>780.6</v>
      </c>
      <c r="D17" s="37">
        <f>3887.3+50*10.82</f>
        <v>4428.3</v>
      </c>
      <c r="E17" s="37">
        <v>490.15</v>
      </c>
    </row>
    <row r="18" spans="1:5" ht="15.75" customHeight="1">
      <c r="A18" s="36">
        <v>1200</v>
      </c>
      <c r="B18" s="38" t="s">
        <v>92</v>
      </c>
      <c r="C18" s="37">
        <v>184.15</v>
      </c>
      <c r="D18" s="37">
        <f>936.45+50*2.61</f>
        <v>1066.95</v>
      </c>
      <c r="E18" s="37">
        <v>118.08</v>
      </c>
    </row>
    <row r="19" spans="1:5" ht="15.75">
      <c r="A19" s="36">
        <v>2222</v>
      </c>
      <c r="B19" s="38" t="s">
        <v>43</v>
      </c>
      <c r="C19" s="37">
        <v>61.08</v>
      </c>
      <c r="D19" s="37">
        <f aca="true" t="shared" si="0" ref="D19:D27">C19*5</f>
        <v>305.4</v>
      </c>
      <c r="E19" s="37">
        <f aca="true" t="shared" si="1" ref="E19:E27">D19/10</f>
        <v>30.54</v>
      </c>
    </row>
    <row r="20" spans="1:5" ht="15.75">
      <c r="A20" s="36">
        <v>2223</v>
      </c>
      <c r="B20" s="38" t="s">
        <v>44</v>
      </c>
      <c r="C20" s="37">
        <v>65.31</v>
      </c>
      <c r="D20" s="37">
        <f t="shared" si="0"/>
        <v>326.55</v>
      </c>
      <c r="E20" s="37">
        <f t="shared" si="1"/>
        <v>32.655</v>
      </c>
    </row>
    <row r="21" spans="1:5" ht="15.75">
      <c r="A21" s="36">
        <v>2243</v>
      </c>
      <c r="B21" s="38" t="s">
        <v>15</v>
      </c>
      <c r="C21" s="37">
        <v>14.2</v>
      </c>
      <c r="D21" s="37">
        <f t="shared" si="0"/>
        <v>71</v>
      </c>
      <c r="E21" s="37">
        <f t="shared" si="1"/>
        <v>7.1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.75">
      <c r="A23" s="36">
        <v>2321</v>
      </c>
      <c r="B23" s="38" t="s">
        <v>25</v>
      </c>
      <c r="C23" s="37">
        <v>79.83</v>
      </c>
      <c r="D23" s="37">
        <f t="shared" si="0"/>
        <v>399.15</v>
      </c>
      <c r="E23" s="37">
        <f t="shared" si="1"/>
        <v>39.915</v>
      </c>
    </row>
    <row r="24" spans="1:5" ht="15.75">
      <c r="A24" s="36">
        <v>2341</v>
      </c>
      <c r="B24" s="38" t="s">
        <v>27</v>
      </c>
      <c r="C24" s="37">
        <v>114.36</v>
      </c>
      <c r="D24" s="37">
        <f t="shared" si="0"/>
        <v>571.8</v>
      </c>
      <c r="E24" s="37">
        <f t="shared" si="1"/>
        <v>57.17999999999999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5" ht="15.75">
      <c r="A26" s="36">
        <v>2363</v>
      </c>
      <c r="B26" s="38" t="s">
        <v>32</v>
      </c>
      <c r="C26" s="37">
        <v>369</v>
      </c>
      <c r="D26" s="37">
        <f t="shared" si="0"/>
        <v>1845</v>
      </c>
      <c r="E26" s="37">
        <v>203</v>
      </c>
    </row>
    <row r="27" spans="1:5" ht="15.75">
      <c r="A27" s="36">
        <v>5232</v>
      </c>
      <c r="B27" s="38" t="s">
        <v>37</v>
      </c>
      <c r="C27" s="37">
        <v>63.21</v>
      </c>
      <c r="D27" s="37">
        <f t="shared" si="0"/>
        <v>316.05</v>
      </c>
      <c r="E27" s="37">
        <f t="shared" si="1"/>
        <v>31.605</v>
      </c>
    </row>
    <row r="28" spans="1:5" ht="15.75">
      <c r="A28" s="36"/>
      <c r="B28" s="39" t="s">
        <v>7</v>
      </c>
      <c r="C28" s="40">
        <f>SUM(C17:C27)</f>
        <v>1731.7399999999998</v>
      </c>
      <c r="D28" s="40">
        <f>SUM(D17:D27)</f>
        <v>9330.199999999999</v>
      </c>
      <c r="E28" s="40">
        <f>SUM(E17:E27)</f>
        <v>1010.2249999999999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504.02</v>
      </c>
      <c r="D30" s="37">
        <v>2509.95</v>
      </c>
      <c r="E30" s="37">
        <f aca="true" t="shared" si="2" ref="E30:E70">D30/10</f>
        <v>250.99499999999998</v>
      </c>
    </row>
    <row r="31" spans="1:5" ht="15.75" customHeight="1">
      <c r="A31" s="36">
        <v>1200</v>
      </c>
      <c r="B31" s="38" t="s">
        <v>92</v>
      </c>
      <c r="C31" s="37">
        <v>118.9</v>
      </c>
      <c r="D31" s="37">
        <v>604.65</v>
      </c>
      <c r="E31" s="37">
        <f t="shared" si="2"/>
        <v>60.464999999999996</v>
      </c>
    </row>
    <row r="32" spans="1:5" ht="15.75" hidden="1">
      <c r="A32" s="36">
        <v>2100</v>
      </c>
      <c r="B32" s="42" t="s">
        <v>46</v>
      </c>
      <c r="C32" s="37">
        <v>0</v>
      </c>
      <c r="D32" s="37">
        <f aca="true" t="shared" si="3" ref="D32:D70">C32*5</f>
        <v>0</v>
      </c>
      <c r="E32" s="37">
        <f t="shared" si="2"/>
        <v>0</v>
      </c>
    </row>
    <row r="33" spans="1:5" ht="15.75">
      <c r="A33" s="43">
        <v>2210</v>
      </c>
      <c r="B33" s="38" t="s">
        <v>42</v>
      </c>
      <c r="C33" s="37">
        <v>10.6</v>
      </c>
      <c r="D33" s="37">
        <f t="shared" si="3"/>
        <v>53</v>
      </c>
      <c r="E33" s="37">
        <f t="shared" si="2"/>
        <v>5.3</v>
      </c>
    </row>
    <row r="34" spans="1:5" ht="15.75">
      <c r="A34" s="36">
        <v>2222</v>
      </c>
      <c r="B34" s="38" t="s">
        <v>43</v>
      </c>
      <c r="C34" s="37">
        <v>74.97</v>
      </c>
      <c r="D34" s="37">
        <f t="shared" si="3"/>
        <v>374.85</v>
      </c>
      <c r="E34" s="37">
        <f t="shared" si="2"/>
        <v>37.485</v>
      </c>
    </row>
    <row r="35" spans="1:5" ht="15.75">
      <c r="A35" s="36">
        <v>2223</v>
      </c>
      <c r="B35" s="38" t="s">
        <v>44</v>
      </c>
      <c r="C35" s="37">
        <v>66.81</v>
      </c>
      <c r="D35" s="37">
        <f t="shared" si="3"/>
        <v>334.05</v>
      </c>
      <c r="E35" s="37">
        <f t="shared" si="2"/>
        <v>33.405</v>
      </c>
    </row>
    <row r="36" spans="1:5" ht="15.75">
      <c r="A36" s="36">
        <v>2230</v>
      </c>
      <c r="B36" s="38" t="s">
        <v>45</v>
      </c>
      <c r="C36" s="37">
        <v>8.19</v>
      </c>
      <c r="D36" s="37">
        <f t="shared" si="3"/>
        <v>40.949999999999996</v>
      </c>
      <c r="E36" s="37">
        <f t="shared" si="2"/>
        <v>4.095</v>
      </c>
    </row>
    <row r="37" spans="1:5" ht="15.75" hidden="1">
      <c r="A37" s="36">
        <v>2241</v>
      </c>
      <c r="B37" s="38" t="s">
        <v>13</v>
      </c>
      <c r="C37" s="37"/>
      <c r="D37" s="37">
        <f t="shared" si="3"/>
        <v>0</v>
      </c>
      <c r="E37" s="37">
        <f t="shared" si="2"/>
        <v>0</v>
      </c>
    </row>
    <row r="38" spans="1:5" ht="15.75">
      <c r="A38" s="36">
        <v>2242</v>
      </c>
      <c r="B38" s="38" t="s">
        <v>14</v>
      </c>
      <c r="C38" s="37">
        <v>2.44</v>
      </c>
      <c r="D38" s="37">
        <f t="shared" si="3"/>
        <v>12.2</v>
      </c>
      <c r="E38" s="37">
        <f t="shared" si="2"/>
        <v>1.22</v>
      </c>
    </row>
    <row r="39" spans="1:5" ht="15.75">
      <c r="A39" s="36">
        <v>2243</v>
      </c>
      <c r="B39" s="38" t="s">
        <v>15</v>
      </c>
      <c r="C39" s="37">
        <v>7.79</v>
      </c>
      <c r="D39" s="37">
        <f t="shared" si="3"/>
        <v>38.95</v>
      </c>
      <c r="E39" s="37">
        <f t="shared" si="2"/>
        <v>3.8950000000000005</v>
      </c>
    </row>
    <row r="40" spans="1:5" ht="15.75">
      <c r="A40" s="36">
        <v>2244</v>
      </c>
      <c r="B40" s="38" t="s">
        <v>16</v>
      </c>
      <c r="C40" s="37">
        <v>150.28</v>
      </c>
      <c r="D40" s="37">
        <f t="shared" si="3"/>
        <v>751.4</v>
      </c>
      <c r="E40" s="37">
        <v>192.93</v>
      </c>
    </row>
    <row r="41" spans="1:5" ht="15.75">
      <c r="A41" s="36">
        <v>2247</v>
      </c>
      <c r="B41" s="34" t="s">
        <v>93</v>
      </c>
      <c r="C41" s="37">
        <v>0.65</v>
      </c>
      <c r="D41" s="37">
        <f t="shared" si="3"/>
        <v>3.25</v>
      </c>
      <c r="E41" s="37">
        <f t="shared" si="2"/>
        <v>0.325</v>
      </c>
    </row>
    <row r="42" spans="1:5" ht="15.75">
      <c r="A42" s="36">
        <v>2249</v>
      </c>
      <c r="B42" s="38" t="s">
        <v>17</v>
      </c>
      <c r="C42" s="37">
        <v>2.81</v>
      </c>
      <c r="D42" s="37">
        <f t="shared" si="3"/>
        <v>14.05</v>
      </c>
      <c r="E42" s="37">
        <f t="shared" si="2"/>
        <v>1.405</v>
      </c>
    </row>
    <row r="43" spans="1:5" ht="15.75">
      <c r="A43" s="36">
        <v>2251</v>
      </c>
      <c r="B43" s="38" t="s">
        <v>94</v>
      </c>
      <c r="C43" s="37">
        <v>41.56</v>
      </c>
      <c r="D43" s="37">
        <f t="shared" si="3"/>
        <v>207.8</v>
      </c>
      <c r="E43" s="37">
        <f t="shared" si="2"/>
        <v>20.78</v>
      </c>
    </row>
    <row r="44" spans="1:5" ht="15.75">
      <c r="A44" s="36">
        <v>2252</v>
      </c>
      <c r="B44" s="38" t="s">
        <v>96</v>
      </c>
      <c r="C44" s="37">
        <v>0.35</v>
      </c>
      <c r="D44" s="37">
        <f t="shared" si="3"/>
        <v>1.75</v>
      </c>
      <c r="E44" s="37">
        <f t="shared" si="2"/>
        <v>0.175</v>
      </c>
    </row>
    <row r="45" spans="1:5" ht="15.75">
      <c r="A45" s="36">
        <v>2259</v>
      </c>
      <c r="B45" s="38" t="s">
        <v>95</v>
      </c>
      <c r="C45" s="37">
        <v>0.06</v>
      </c>
      <c r="D45" s="37">
        <f t="shared" si="3"/>
        <v>0.3</v>
      </c>
      <c r="E45" s="37">
        <f t="shared" si="2"/>
        <v>0.03</v>
      </c>
    </row>
    <row r="46" spans="1:5" ht="15.75" hidden="1">
      <c r="A46" s="36">
        <v>2261</v>
      </c>
      <c r="B46" s="38" t="s">
        <v>18</v>
      </c>
      <c r="C46" s="37"/>
      <c r="D46" s="37">
        <f t="shared" si="3"/>
        <v>0</v>
      </c>
      <c r="E46" s="37">
        <f t="shared" si="2"/>
        <v>0</v>
      </c>
    </row>
    <row r="47" spans="1:5" ht="15.75">
      <c r="A47" s="36">
        <v>2262</v>
      </c>
      <c r="B47" s="38" t="s">
        <v>19</v>
      </c>
      <c r="C47" s="37">
        <v>7.14</v>
      </c>
      <c r="D47" s="37">
        <f t="shared" si="3"/>
        <v>35.699999999999996</v>
      </c>
      <c r="E47" s="37">
        <f t="shared" si="2"/>
        <v>3.5699999999999994</v>
      </c>
    </row>
    <row r="48" spans="1:5" ht="15.75">
      <c r="A48" s="36">
        <v>2263</v>
      </c>
      <c r="B48" s="38" t="s">
        <v>20</v>
      </c>
      <c r="C48" s="37">
        <v>26.32</v>
      </c>
      <c r="D48" s="37">
        <f t="shared" si="3"/>
        <v>131.6</v>
      </c>
      <c r="E48" s="37">
        <f t="shared" si="2"/>
        <v>13.16</v>
      </c>
    </row>
    <row r="49" spans="1:5" ht="15.75">
      <c r="A49" s="36">
        <v>2264</v>
      </c>
      <c r="B49" s="38" t="s">
        <v>21</v>
      </c>
      <c r="C49" s="37">
        <v>0.13</v>
      </c>
      <c r="D49" s="37">
        <f t="shared" si="3"/>
        <v>0.65</v>
      </c>
      <c r="E49" s="37">
        <f t="shared" si="2"/>
        <v>0.065</v>
      </c>
    </row>
    <row r="50" spans="1:5" ht="15.75">
      <c r="A50" s="36">
        <v>2279</v>
      </c>
      <c r="B50" s="38" t="s">
        <v>22</v>
      </c>
      <c r="C50" s="37">
        <v>29.4</v>
      </c>
      <c r="D50" s="37">
        <f t="shared" si="3"/>
        <v>147</v>
      </c>
      <c r="E50" s="37">
        <f t="shared" si="2"/>
        <v>14.7</v>
      </c>
    </row>
    <row r="51" spans="1:5" ht="15.75">
      <c r="A51" s="36">
        <v>2311</v>
      </c>
      <c r="B51" s="38" t="s">
        <v>23</v>
      </c>
      <c r="C51" s="37">
        <v>13.67</v>
      </c>
      <c r="D51" s="37">
        <f t="shared" si="3"/>
        <v>68.35</v>
      </c>
      <c r="E51" s="37">
        <f t="shared" si="2"/>
        <v>6.834999999999999</v>
      </c>
    </row>
    <row r="52" spans="1:5" ht="15.75">
      <c r="A52" s="36">
        <v>2312</v>
      </c>
      <c r="B52" s="38" t="s">
        <v>24</v>
      </c>
      <c r="C52" s="37">
        <v>5.12</v>
      </c>
      <c r="D52" s="37">
        <f t="shared" si="3"/>
        <v>25.6</v>
      </c>
      <c r="E52" s="37">
        <f t="shared" si="2"/>
        <v>2.56</v>
      </c>
    </row>
    <row r="53" spans="1:5" ht="15.75">
      <c r="A53" s="36">
        <v>2321</v>
      </c>
      <c r="B53" s="38" t="s">
        <v>25</v>
      </c>
      <c r="C53" s="37">
        <v>109.88</v>
      </c>
      <c r="D53" s="37">
        <f t="shared" si="3"/>
        <v>549.4</v>
      </c>
      <c r="E53" s="37">
        <f t="shared" si="2"/>
        <v>54.94</v>
      </c>
    </row>
    <row r="54" spans="1:5" ht="15.75">
      <c r="A54" s="36">
        <v>2322</v>
      </c>
      <c r="B54" s="38" t="s">
        <v>26</v>
      </c>
      <c r="C54" s="37">
        <v>19.24</v>
      </c>
      <c r="D54" s="37">
        <f t="shared" si="3"/>
        <v>96.19999999999999</v>
      </c>
      <c r="E54" s="37">
        <f t="shared" si="2"/>
        <v>9.62</v>
      </c>
    </row>
    <row r="55" spans="1:5" ht="15.75">
      <c r="A55" s="36">
        <v>2341</v>
      </c>
      <c r="B55" s="38" t="s">
        <v>27</v>
      </c>
      <c r="C55" s="37">
        <v>2.58</v>
      </c>
      <c r="D55" s="37">
        <f t="shared" si="3"/>
        <v>12.9</v>
      </c>
      <c r="E55" s="37">
        <f t="shared" si="2"/>
        <v>1.29</v>
      </c>
    </row>
    <row r="56" spans="1:5" ht="15.75">
      <c r="A56" s="36">
        <v>2344</v>
      </c>
      <c r="B56" s="38" t="s">
        <v>28</v>
      </c>
      <c r="C56" s="37">
        <v>0.04</v>
      </c>
      <c r="D56" s="37">
        <f t="shared" si="3"/>
        <v>0.2</v>
      </c>
      <c r="E56" s="37">
        <f t="shared" si="2"/>
        <v>0.02</v>
      </c>
    </row>
    <row r="57" spans="1:5" ht="15.75">
      <c r="A57" s="36">
        <v>2350</v>
      </c>
      <c r="B57" s="38" t="s">
        <v>29</v>
      </c>
      <c r="C57" s="37">
        <v>47.58</v>
      </c>
      <c r="D57" s="37">
        <f t="shared" si="3"/>
        <v>237.89999999999998</v>
      </c>
      <c r="E57" s="37">
        <f t="shared" si="2"/>
        <v>23.79</v>
      </c>
    </row>
    <row r="58" spans="1:5" ht="15.75">
      <c r="A58" s="36">
        <v>2361</v>
      </c>
      <c r="B58" s="38" t="s">
        <v>30</v>
      </c>
      <c r="C58" s="37">
        <v>10.59</v>
      </c>
      <c r="D58" s="37">
        <f t="shared" si="3"/>
        <v>52.95</v>
      </c>
      <c r="E58" s="37">
        <f t="shared" si="2"/>
        <v>5.295</v>
      </c>
    </row>
    <row r="59" spans="1:5" ht="15.75">
      <c r="A59" s="36">
        <v>2362</v>
      </c>
      <c r="B59" s="38" t="s">
        <v>31</v>
      </c>
      <c r="C59" s="37">
        <v>6.27</v>
      </c>
      <c r="D59" s="37">
        <f t="shared" si="3"/>
        <v>31.349999999999998</v>
      </c>
      <c r="E59" s="37">
        <f t="shared" si="2"/>
        <v>3.135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3"/>
        <v>0</v>
      </c>
      <c r="E60" s="37">
        <f t="shared" si="2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3"/>
        <v>0</v>
      </c>
      <c r="E61" s="37">
        <f t="shared" si="2"/>
        <v>0</v>
      </c>
    </row>
    <row r="62" spans="1:5" ht="15.75">
      <c r="A62" s="36">
        <v>2400</v>
      </c>
      <c r="B62" s="38" t="s">
        <v>47</v>
      </c>
      <c r="C62" s="37">
        <v>1.14</v>
      </c>
      <c r="D62" s="37">
        <f t="shared" si="3"/>
        <v>5.699999999999999</v>
      </c>
      <c r="E62" s="37">
        <f t="shared" si="2"/>
        <v>0.57</v>
      </c>
    </row>
    <row r="63" spans="1:5" ht="15.75">
      <c r="A63" s="36">
        <v>2513</v>
      </c>
      <c r="B63" s="38" t="s">
        <v>35</v>
      </c>
      <c r="C63" s="37">
        <v>17.82</v>
      </c>
      <c r="D63" s="37">
        <f t="shared" si="3"/>
        <v>89.1</v>
      </c>
      <c r="E63" s="37">
        <f t="shared" si="2"/>
        <v>8.91</v>
      </c>
    </row>
    <row r="64" spans="1:5" ht="15.75">
      <c r="A64" s="36">
        <v>2515</v>
      </c>
      <c r="B64" s="38" t="s">
        <v>97</v>
      </c>
      <c r="C64" s="37">
        <v>0.79</v>
      </c>
      <c r="D64" s="37">
        <f t="shared" si="3"/>
        <v>3.95</v>
      </c>
      <c r="E64" s="37">
        <f t="shared" si="2"/>
        <v>0.395</v>
      </c>
    </row>
    <row r="65" spans="1:5" ht="15.75">
      <c r="A65" s="36">
        <v>2519</v>
      </c>
      <c r="B65" s="38" t="s">
        <v>38</v>
      </c>
      <c r="C65" s="37">
        <v>4.16</v>
      </c>
      <c r="D65" s="37">
        <f t="shared" si="3"/>
        <v>20.8</v>
      </c>
      <c r="E65" s="37">
        <f t="shared" si="2"/>
        <v>2.08</v>
      </c>
    </row>
    <row r="66" spans="1:5" ht="15.75" hidden="1">
      <c r="A66" s="36">
        <v>6240</v>
      </c>
      <c r="B66" s="38" t="s">
        <v>50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3"/>
        <v>0</v>
      </c>
      <c r="E67" s="37">
        <f t="shared" si="2"/>
        <v>0</v>
      </c>
    </row>
    <row r="68" spans="1:5" ht="15.75">
      <c r="A68" s="36">
        <v>5121</v>
      </c>
      <c r="B68" s="38" t="s">
        <v>36</v>
      </c>
      <c r="C68" s="37">
        <v>3.38</v>
      </c>
      <c r="D68" s="37">
        <f t="shared" si="3"/>
        <v>16.9</v>
      </c>
      <c r="E68" s="37">
        <f t="shared" si="2"/>
        <v>1.69</v>
      </c>
    </row>
    <row r="69" spans="1:5" ht="15.75">
      <c r="A69" s="36">
        <v>5232</v>
      </c>
      <c r="B69" s="38" t="s">
        <v>37</v>
      </c>
      <c r="C69" s="37">
        <v>24.48</v>
      </c>
      <c r="D69" s="37">
        <f t="shared" si="3"/>
        <v>122.4</v>
      </c>
      <c r="E69" s="37">
        <f t="shared" si="2"/>
        <v>12.24</v>
      </c>
    </row>
    <row r="70" spans="1:5" ht="15.75">
      <c r="A70" s="36">
        <v>5238</v>
      </c>
      <c r="B70" s="38" t="s">
        <v>39</v>
      </c>
      <c r="C70" s="37">
        <v>37.69</v>
      </c>
      <c r="D70" s="37">
        <f t="shared" si="3"/>
        <v>188.45</v>
      </c>
      <c r="E70" s="37">
        <f t="shared" si="2"/>
        <v>18.845</v>
      </c>
    </row>
    <row r="71" spans="1:5" ht="15.75" hidden="1">
      <c r="A71" s="36">
        <v>5240</v>
      </c>
      <c r="B71" s="38" t="s">
        <v>40</v>
      </c>
      <c r="C71" s="37"/>
      <c r="D71" s="37"/>
      <c r="E71" s="37">
        <f>C71*5</f>
        <v>0</v>
      </c>
    </row>
    <row r="72" spans="1:5" ht="15.75">
      <c r="A72" s="36">
        <v>5250</v>
      </c>
      <c r="B72" s="38" t="s">
        <v>41</v>
      </c>
      <c r="C72" s="37">
        <v>675.91</v>
      </c>
      <c r="D72" s="37">
        <f>C72*5</f>
        <v>3379.5499999999997</v>
      </c>
      <c r="E72" s="37">
        <f>D72/10</f>
        <v>337.955</v>
      </c>
    </row>
    <row r="73" spans="1:5" ht="15.75">
      <c r="A73" s="41"/>
      <c r="B73" s="45" t="s">
        <v>9</v>
      </c>
      <c r="C73" s="40">
        <f>SUM(C30:C72)</f>
        <v>2032.7600000000002</v>
      </c>
      <c r="D73" s="40">
        <f>SUM(D30:D72)</f>
        <v>10163.799999999997</v>
      </c>
      <c r="E73" s="40">
        <f>SUM(E30:E72)</f>
        <v>1134.17</v>
      </c>
    </row>
    <row r="74" spans="1:5" ht="15.75">
      <c r="A74" s="41"/>
      <c r="B74" s="45" t="s">
        <v>48</v>
      </c>
      <c r="C74" s="40">
        <f>C73+C28</f>
        <v>3764.5</v>
      </c>
      <c r="D74" s="40">
        <f>D73+D28</f>
        <v>19493.999999999996</v>
      </c>
      <c r="E74" s="40">
        <f>E73+E28</f>
        <v>2144.395</v>
      </c>
    </row>
    <row r="75" spans="1:5" ht="15.75">
      <c r="A75" s="52"/>
      <c r="B75" s="53"/>
      <c r="C75" s="63"/>
      <c r="D75" s="63"/>
      <c r="E75" s="63"/>
    </row>
    <row r="76" spans="1:5" ht="15.75">
      <c r="A76" s="139" t="s">
        <v>63</v>
      </c>
      <c r="B76" s="139"/>
      <c r="C76" s="49">
        <v>50</v>
      </c>
      <c r="D76" s="49">
        <v>50</v>
      </c>
      <c r="E76" s="44">
        <v>5</v>
      </c>
    </row>
    <row r="77" spans="1:5" ht="15.75">
      <c r="A77" s="139" t="s">
        <v>64</v>
      </c>
      <c r="B77" s="139"/>
      <c r="C77" s="40">
        <f>C74/C76</f>
        <v>75.29</v>
      </c>
      <c r="D77" s="40">
        <f>D74/D76</f>
        <v>389.87999999999994</v>
      </c>
      <c r="E77" s="113">
        <f>E74/E76</f>
        <v>428.879</v>
      </c>
    </row>
    <row r="78" spans="1:5" ht="15.75">
      <c r="A78" s="54"/>
      <c r="B78" s="54"/>
      <c r="C78" s="54"/>
      <c r="D78" s="54"/>
      <c r="E78" s="56"/>
    </row>
    <row r="79" spans="1:5" ht="15.75">
      <c r="A79" s="140" t="s">
        <v>56</v>
      </c>
      <c r="B79" s="141"/>
      <c r="C79" s="25">
        <v>75.29</v>
      </c>
      <c r="D79" s="106">
        <v>376.45</v>
      </c>
      <c r="E79" s="64"/>
    </row>
    <row r="80" spans="1:5" ht="15.75">
      <c r="A80" s="140" t="s">
        <v>86</v>
      </c>
      <c r="B80" s="141"/>
      <c r="C80" s="25">
        <f>C79*5</f>
        <v>376.45000000000005</v>
      </c>
      <c r="D80" s="106"/>
      <c r="E80" s="64"/>
    </row>
    <row r="81" spans="1:5" ht="15.75">
      <c r="A81" s="26"/>
      <c r="B81" s="26"/>
      <c r="C81" s="26"/>
      <c r="D81" s="26"/>
      <c r="E81" s="26"/>
    </row>
    <row r="82" spans="1:5" ht="15.75">
      <c r="A82" s="26" t="s">
        <v>57</v>
      </c>
      <c r="B82" s="26"/>
      <c r="C82" s="26">
        <f>C80*5</f>
        <v>1882.2500000000002</v>
      </c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9">
    <mergeCell ref="A77:B77"/>
    <mergeCell ref="A79:B79"/>
    <mergeCell ref="A80:B80"/>
    <mergeCell ref="A6:E6"/>
    <mergeCell ref="A7:B7"/>
    <mergeCell ref="A8:B8"/>
    <mergeCell ref="B11:E11"/>
    <mergeCell ref="B12:E12"/>
    <mergeCell ref="A76:B76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00390625" style="3" customWidth="1"/>
    <col min="2" max="2" width="94.57421875" style="3" customWidth="1"/>
    <col min="3" max="4" width="24.00390625" style="3" hidden="1" customWidth="1"/>
    <col min="5" max="5" width="31.8515625" style="3" customWidth="1"/>
  </cols>
  <sheetData>
    <row r="1" spans="1:5" ht="15.75">
      <c r="A1" s="9"/>
      <c r="B1" s="148" t="s">
        <v>53</v>
      </c>
      <c r="C1" s="148"/>
      <c r="D1" s="148"/>
      <c r="E1" s="143"/>
    </row>
    <row r="2" spans="1:5" ht="15.75">
      <c r="A2" s="9"/>
      <c r="B2" s="149" t="s">
        <v>58</v>
      </c>
      <c r="C2" s="149"/>
      <c r="D2" s="149"/>
      <c r="E2" s="150"/>
    </row>
    <row r="3" spans="1:5" ht="15.75">
      <c r="A3" s="9"/>
      <c r="B3" s="19"/>
      <c r="C3" s="19"/>
      <c r="D3" s="19"/>
      <c r="E3" s="120" t="s">
        <v>196</v>
      </c>
    </row>
    <row r="4" spans="1:5" ht="15.75">
      <c r="A4" s="9"/>
      <c r="B4" s="19"/>
      <c r="C4" s="19"/>
      <c r="D4" s="19"/>
      <c r="E4" s="46"/>
    </row>
    <row r="5" spans="1:5" ht="15.75">
      <c r="A5" s="9"/>
      <c r="B5" s="24"/>
      <c r="C5" s="24"/>
      <c r="D5" s="24"/>
      <c r="E5" s="46" t="s">
        <v>197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168</v>
      </c>
      <c r="C12" s="142"/>
      <c r="D12" s="142"/>
      <c r="E12" s="143"/>
    </row>
    <row r="13" spans="1:5" ht="15.75">
      <c r="A13" s="18" t="s">
        <v>2</v>
      </c>
      <c r="B13" s="18" t="str">
        <f>'4.3.1.3.'!B13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6" ht="15.75">
      <c r="A16" s="33"/>
      <c r="B16" s="34" t="s">
        <v>6</v>
      </c>
      <c r="C16" s="34"/>
      <c r="D16" s="34"/>
      <c r="E16" s="35"/>
      <c r="F16" s="68"/>
    </row>
    <row r="17" spans="1:6" ht="15.75">
      <c r="A17" s="36">
        <v>1100</v>
      </c>
      <c r="B17" s="36" t="s">
        <v>91</v>
      </c>
      <c r="C17" s="37">
        <v>784.47</v>
      </c>
      <c r="D17" s="37">
        <f>3906.92+50*10.82</f>
        <v>4447.92</v>
      </c>
      <c r="E17" s="37">
        <v>492.1</v>
      </c>
      <c r="F17" s="68"/>
    </row>
    <row r="18" spans="1:5" ht="31.5">
      <c r="A18" s="36">
        <v>1200</v>
      </c>
      <c r="B18" s="38" t="s">
        <v>92</v>
      </c>
      <c r="C18" s="37">
        <v>185.15</v>
      </c>
      <c r="D18" s="37">
        <f>941.18+50*2.61</f>
        <v>1071.6799999999998</v>
      </c>
      <c r="E18" s="37">
        <v>118.55</v>
      </c>
    </row>
    <row r="19" spans="1:5" ht="15.75">
      <c r="A19" s="36">
        <v>2222</v>
      </c>
      <c r="B19" s="38" t="s">
        <v>43</v>
      </c>
      <c r="C19" s="37">
        <v>58.23</v>
      </c>
      <c r="D19" s="37">
        <f aca="true" t="shared" si="0" ref="D19:D27">C19*5</f>
        <v>291.15</v>
      </c>
      <c r="E19" s="37">
        <f aca="true" t="shared" si="1" ref="E19:E27">D19/10</f>
        <v>29.115</v>
      </c>
    </row>
    <row r="20" spans="1:5" ht="15.75">
      <c r="A20" s="36">
        <v>2223</v>
      </c>
      <c r="B20" s="38" t="s">
        <v>44</v>
      </c>
      <c r="C20" s="37">
        <v>68.11</v>
      </c>
      <c r="D20" s="37">
        <f t="shared" si="0"/>
        <v>340.55</v>
      </c>
      <c r="E20" s="37">
        <f t="shared" si="1"/>
        <v>34.055</v>
      </c>
    </row>
    <row r="21" spans="1:5" ht="15.75">
      <c r="A21" s="36">
        <v>2243</v>
      </c>
      <c r="B21" s="38" t="s">
        <v>15</v>
      </c>
      <c r="C21" s="37">
        <v>14.19</v>
      </c>
      <c r="D21" s="37">
        <f t="shared" si="0"/>
        <v>70.95</v>
      </c>
      <c r="E21" s="37">
        <f t="shared" si="1"/>
        <v>7.095000000000001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.75">
      <c r="A23" s="36">
        <v>2321</v>
      </c>
      <c r="B23" s="38" t="s">
        <v>25</v>
      </c>
      <c r="C23" s="37">
        <v>81.96</v>
      </c>
      <c r="D23" s="37">
        <f t="shared" si="0"/>
        <v>409.79999999999995</v>
      </c>
      <c r="E23" s="37">
        <f t="shared" si="1"/>
        <v>40.98</v>
      </c>
    </row>
    <row r="24" spans="1:5" ht="15.75">
      <c r="A24" s="36">
        <v>2341</v>
      </c>
      <c r="B24" s="38" t="s">
        <v>27</v>
      </c>
      <c r="C24" s="37">
        <v>114.23</v>
      </c>
      <c r="D24" s="37">
        <f t="shared" si="0"/>
        <v>571.15</v>
      </c>
      <c r="E24" s="37">
        <f t="shared" si="1"/>
        <v>57.114999999999995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5" ht="15.75">
      <c r="A26" s="36">
        <v>2363</v>
      </c>
      <c r="B26" s="38" t="s">
        <v>32</v>
      </c>
      <c r="C26" s="37">
        <v>369</v>
      </c>
      <c r="D26" s="37">
        <f t="shared" si="0"/>
        <v>1845</v>
      </c>
      <c r="E26" s="37">
        <v>203</v>
      </c>
    </row>
    <row r="27" spans="1:5" ht="15.75">
      <c r="A27" s="36">
        <v>5232</v>
      </c>
      <c r="B27" s="38" t="s">
        <v>37</v>
      </c>
      <c r="C27" s="37">
        <v>64.77</v>
      </c>
      <c r="D27" s="37">
        <f t="shared" si="0"/>
        <v>323.84999999999997</v>
      </c>
      <c r="E27" s="37">
        <f t="shared" si="1"/>
        <v>32.385</v>
      </c>
    </row>
    <row r="28" spans="1:5" ht="15.75">
      <c r="A28" s="36"/>
      <c r="B28" s="39" t="s">
        <v>7</v>
      </c>
      <c r="C28" s="40">
        <f>SUM(C17:C27)</f>
        <v>1740.11</v>
      </c>
      <c r="D28" s="40">
        <f>SUM(D17:D27)</f>
        <v>9372.050000000001</v>
      </c>
      <c r="E28" s="40">
        <f>SUM(E17:E27)</f>
        <v>1014.395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504.02</v>
      </c>
      <c r="D30" s="37">
        <v>2509.95</v>
      </c>
      <c r="E30" s="37">
        <f aca="true" t="shared" si="2" ref="E30:E72">D30/10</f>
        <v>250.99499999999998</v>
      </c>
    </row>
    <row r="31" spans="1:5" ht="31.5">
      <c r="A31" s="36">
        <v>1200</v>
      </c>
      <c r="B31" s="38" t="s">
        <v>92</v>
      </c>
      <c r="C31" s="37">
        <v>118.9</v>
      </c>
      <c r="D31" s="37">
        <v>604.65</v>
      </c>
      <c r="E31" s="37">
        <f t="shared" si="2"/>
        <v>60.464999999999996</v>
      </c>
    </row>
    <row r="32" spans="1:5" ht="15.75" hidden="1">
      <c r="A32" s="36">
        <v>2100</v>
      </c>
      <c r="B32" s="42" t="s">
        <v>98</v>
      </c>
      <c r="C32" s="37">
        <v>0</v>
      </c>
      <c r="D32" s="37">
        <f aca="true" t="shared" si="3" ref="D32:D72">C32*5</f>
        <v>0</v>
      </c>
      <c r="E32" s="37">
        <f t="shared" si="2"/>
        <v>0</v>
      </c>
    </row>
    <row r="33" spans="1:5" ht="15.75">
      <c r="A33" s="43">
        <v>2210</v>
      </c>
      <c r="B33" s="38" t="s">
        <v>42</v>
      </c>
      <c r="C33" s="37">
        <v>10.6</v>
      </c>
      <c r="D33" s="37">
        <f t="shared" si="3"/>
        <v>53</v>
      </c>
      <c r="E33" s="37">
        <f t="shared" si="2"/>
        <v>5.3</v>
      </c>
    </row>
    <row r="34" spans="1:5" ht="15.75">
      <c r="A34" s="36">
        <v>2222</v>
      </c>
      <c r="B34" s="38" t="s">
        <v>43</v>
      </c>
      <c r="C34" s="37">
        <v>4.95</v>
      </c>
      <c r="D34" s="37">
        <f t="shared" si="3"/>
        <v>24.75</v>
      </c>
      <c r="E34" s="37">
        <f t="shared" si="2"/>
        <v>2.475</v>
      </c>
    </row>
    <row r="35" spans="1:5" ht="15.75">
      <c r="A35" s="36">
        <v>2223</v>
      </c>
      <c r="B35" s="38" t="s">
        <v>44</v>
      </c>
      <c r="C35" s="37">
        <v>66.81</v>
      </c>
      <c r="D35" s="37">
        <f t="shared" si="3"/>
        <v>334.05</v>
      </c>
      <c r="E35" s="37">
        <f t="shared" si="2"/>
        <v>33.405</v>
      </c>
    </row>
    <row r="36" spans="1:5" ht="15.75">
      <c r="A36" s="36">
        <v>2230</v>
      </c>
      <c r="B36" s="38" t="s">
        <v>45</v>
      </c>
      <c r="C36" s="37">
        <v>8.19</v>
      </c>
      <c r="D36" s="37">
        <f t="shared" si="3"/>
        <v>40.949999999999996</v>
      </c>
      <c r="E36" s="37">
        <f t="shared" si="2"/>
        <v>4.095</v>
      </c>
    </row>
    <row r="37" spans="1:5" ht="15.75">
      <c r="A37" s="36">
        <v>2241</v>
      </c>
      <c r="B37" s="38" t="s">
        <v>13</v>
      </c>
      <c r="C37" s="37">
        <v>0.01</v>
      </c>
      <c r="D37" s="37">
        <f t="shared" si="3"/>
        <v>0.05</v>
      </c>
      <c r="E37" s="37">
        <f t="shared" si="2"/>
        <v>0.005</v>
      </c>
    </row>
    <row r="38" spans="1:5" ht="15.75">
      <c r="A38" s="36">
        <v>2242</v>
      </c>
      <c r="B38" s="38" t="s">
        <v>14</v>
      </c>
      <c r="C38" s="37">
        <v>2.44</v>
      </c>
      <c r="D38" s="37">
        <f t="shared" si="3"/>
        <v>12.2</v>
      </c>
      <c r="E38" s="37">
        <f t="shared" si="2"/>
        <v>1.22</v>
      </c>
    </row>
    <row r="39" spans="1:5" ht="15.75">
      <c r="A39" s="36">
        <v>2243</v>
      </c>
      <c r="B39" s="38" t="s">
        <v>15</v>
      </c>
      <c r="C39" s="37">
        <v>7.79</v>
      </c>
      <c r="D39" s="37">
        <f t="shared" si="3"/>
        <v>38.95</v>
      </c>
      <c r="E39" s="37">
        <f t="shared" si="2"/>
        <v>3.8950000000000005</v>
      </c>
    </row>
    <row r="40" spans="1:5" ht="15.75">
      <c r="A40" s="36">
        <v>2244</v>
      </c>
      <c r="B40" s="38" t="s">
        <v>16</v>
      </c>
      <c r="C40" s="37">
        <v>112.48</v>
      </c>
      <c r="D40" s="37">
        <f t="shared" si="3"/>
        <v>562.4</v>
      </c>
      <c r="E40" s="37">
        <v>128.55</v>
      </c>
    </row>
    <row r="41" spans="1:5" ht="15.75">
      <c r="A41" s="36">
        <v>2247</v>
      </c>
      <c r="B41" s="34" t="s">
        <v>93</v>
      </c>
      <c r="C41" s="37">
        <v>0.65</v>
      </c>
      <c r="D41" s="37">
        <f t="shared" si="3"/>
        <v>3.25</v>
      </c>
      <c r="E41" s="37">
        <f t="shared" si="2"/>
        <v>0.325</v>
      </c>
    </row>
    <row r="42" spans="1:5" ht="15.75">
      <c r="A42" s="36">
        <v>2249</v>
      </c>
      <c r="B42" s="38" t="s">
        <v>17</v>
      </c>
      <c r="C42" s="37">
        <v>2.81</v>
      </c>
      <c r="D42" s="37">
        <f t="shared" si="3"/>
        <v>14.05</v>
      </c>
      <c r="E42" s="37">
        <f t="shared" si="2"/>
        <v>1.405</v>
      </c>
    </row>
    <row r="43" spans="1:5" ht="15.75">
      <c r="A43" s="36">
        <v>2251</v>
      </c>
      <c r="B43" s="38" t="s">
        <v>94</v>
      </c>
      <c r="C43" s="37">
        <v>16.53</v>
      </c>
      <c r="D43" s="37">
        <f t="shared" si="3"/>
        <v>82.65</v>
      </c>
      <c r="E43" s="37">
        <f t="shared" si="2"/>
        <v>8.265</v>
      </c>
    </row>
    <row r="44" spans="1:5" ht="15.75">
      <c r="A44" s="36">
        <v>2252</v>
      </c>
      <c r="B44" s="38" t="s">
        <v>96</v>
      </c>
      <c r="C44" s="37">
        <v>0.35</v>
      </c>
      <c r="D44" s="37">
        <f t="shared" si="3"/>
        <v>1.75</v>
      </c>
      <c r="E44" s="37">
        <f t="shared" si="2"/>
        <v>0.175</v>
      </c>
    </row>
    <row r="45" spans="1:5" ht="15.75">
      <c r="A45" s="36">
        <v>2259</v>
      </c>
      <c r="B45" s="38" t="s">
        <v>95</v>
      </c>
      <c r="C45" s="37">
        <v>0.05</v>
      </c>
      <c r="D45" s="37">
        <f t="shared" si="3"/>
        <v>0.25</v>
      </c>
      <c r="E45" s="37">
        <f t="shared" si="2"/>
        <v>0.025</v>
      </c>
    </row>
    <row r="46" spans="1:5" ht="15.75">
      <c r="A46" s="36">
        <v>2261</v>
      </c>
      <c r="B46" s="38" t="s">
        <v>18</v>
      </c>
      <c r="C46" s="37">
        <v>1.99</v>
      </c>
      <c r="D46" s="37">
        <f t="shared" si="3"/>
        <v>9.95</v>
      </c>
      <c r="E46" s="37">
        <f t="shared" si="2"/>
        <v>0.9949999999999999</v>
      </c>
    </row>
    <row r="47" spans="1:5" ht="15.75">
      <c r="A47" s="36">
        <v>2262</v>
      </c>
      <c r="B47" s="38" t="s">
        <v>19</v>
      </c>
      <c r="C47" s="37">
        <v>7.14</v>
      </c>
      <c r="D47" s="37">
        <f t="shared" si="3"/>
        <v>35.699999999999996</v>
      </c>
      <c r="E47" s="37">
        <f t="shared" si="2"/>
        <v>3.5699999999999994</v>
      </c>
    </row>
    <row r="48" spans="1:5" ht="15.75">
      <c r="A48" s="36">
        <v>2263</v>
      </c>
      <c r="B48" s="38" t="s">
        <v>20</v>
      </c>
      <c r="C48" s="37">
        <v>26.32</v>
      </c>
      <c r="D48" s="37">
        <f t="shared" si="3"/>
        <v>131.6</v>
      </c>
      <c r="E48" s="37">
        <f t="shared" si="2"/>
        <v>13.16</v>
      </c>
    </row>
    <row r="49" spans="1:5" ht="15.75">
      <c r="A49" s="36">
        <v>2264</v>
      </c>
      <c r="B49" s="38" t="s">
        <v>21</v>
      </c>
      <c r="C49" s="37">
        <v>0.13</v>
      </c>
      <c r="D49" s="37">
        <f t="shared" si="3"/>
        <v>0.65</v>
      </c>
      <c r="E49" s="37">
        <f t="shared" si="2"/>
        <v>0.065</v>
      </c>
    </row>
    <row r="50" spans="1:5" ht="15.75">
      <c r="A50" s="36">
        <v>2279</v>
      </c>
      <c r="B50" s="38" t="s">
        <v>22</v>
      </c>
      <c r="C50" s="37">
        <v>29.4</v>
      </c>
      <c r="D50" s="37">
        <f t="shared" si="3"/>
        <v>147</v>
      </c>
      <c r="E50" s="37">
        <f t="shared" si="2"/>
        <v>14.7</v>
      </c>
    </row>
    <row r="51" spans="1:5" ht="15.75">
      <c r="A51" s="36">
        <v>2311</v>
      </c>
      <c r="B51" s="38" t="s">
        <v>23</v>
      </c>
      <c r="C51" s="37">
        <v>9.45</v>
      </c>
      <c r="D51" s="37">
        <f t="shared" si="3"/>
        <v>47.25</v>
      </c>
      <c r="E51" s="37">
        <f t="shared" si="2"/>
        <v>4.725</v>
      </c>
    </row>
    <row r="52" spans="1:5" ht="15.75">
      <c r="A52" s="36">
        <v>2312</v>
      </c>
      <c r="B52" s="38" t="s">
        <v>24</v>
      </c>
      <c r="C52" s="37">
        <v>5.12</v>
      </c>
      <c r="D52" s="37">
        <f t="shared" si="3"/>
        <v>25.6</v>
      </c>
      <c r="E52" s="37">
        <f t="shared" si="2"/>
        <v>2.56</v>
      </c>
    </row>
    <row r="53" spans="1:5" ht="15.75">
      <c r="A53" s="36">
        <v>2321</v>
      </c>
      <c r="B53" s="38" t="s">
        <v>25</v>
      </c>
      <c r="C53" s="37">
        <v>109.6</v>
      </c>
      <c r="D53" s="37">
        <f t="shared" si="3"/>
        <v>548</v>
      </c>
      <c r="E53" s="37">
        <f t="shared" si="2"/>
        <v>54.8</v>
      </c>
    </row>
    <row r="54" spans="1:5" ht="15.75">
      <c r="A54" s="36">
        <v>2322</v>
      </c>
      <c r="B54" s="38" t="s">
        <v>26</v>
      </c>
      <c r="C54" s="37">
        <v>18.95</v>
      </c>
      <c r="D54" s="37">
        <f t="shared" si="3"/>
        <v>94.75</v>
      </c>
      <c r="E54" s="37">
        <f t="shared" si="2"/>
        <v>9.475</v>
      </c>
    </row>
    <row r="55" spans="1:5" ht="15.75">
      <c r="A55" s="36">
        <v>2341</v>
      </c>
      <c r="B55" s="38" t="s">
        <v>27</v>
      </c>
      <c r="C55" s="37">
        <v>2.58</v>
      </c>
      <c r="D55" s="37">
        <f t="shared" si="3"/>
        <v>12.9</v>
      </c>
      <c r="E55" s="37">
        <f t="shared" si="2"/>
        <v>1.29</v>
      </c>
    </row>
    <row r="56" spans="1:5" ht="15.75">
      <c r="A56" s="36">
        <v>2344</v>
      </c>
      <c r="B56" s="38" t="s">
        <v>28</v>
      </c>
      <c r="C56" s="37">
        <v>0.04</v>
      </c>
      <c r="D56" s="37">
        <f t="shared" si="3"/>
        <v>0.2</v>
      </c>
      <c r="E56" s="37">
        <f t="shared" si="2"/>
        <v>0.02</v>
      </c>
    </row>
    <row r="57" spans="1:5" ht="15.75">
      <c r="A57" s="36">
        <v>2350</v>
      </c>
      <c r="B57" s="38" t="s">
        <v>29</v>
      </c>
      <c r="C57" s="37">
        <v>36.29</v>
      </c>
      <c r="D57" s="37">
        <f t="shared" si="3"/>
        <v>181.45</v>
      </c>
      <c r="E57" s="37">
        <f t="shared" si="2"/>
        <v>18.145</v>
      </c>
    </row>
    <row r="58" spans="1:5" ht="15.75">
      <c r="A58" s="36">
        <v>2361</v>
      </c>
      <c r="B58" s="38" t="s">
        <v>30</v>
      </c>
      <c r="C58" s="37">
        <v>10.61</v>
      </c>
      <c r="D58" s="37">
        <f t="shared" si="3"/>
        <v>53.05</v>
      </c>
      <c r="E58" s="37">
        <f t="shared" si="2"/>
        <v>5.305</v>
      </c>
    </row>
    <row r="59" spans="1:5" ht="15.75">
      <c r="A59" s="36">
        <v>2362</v>
      </c>
      <c r="B59" s="38" t="s">
        <v>31</v>
      </c>
      <c r="C59" s="37">
        <v>5.63</v>
      </c>
      <c r="D59" s="37">
        <f t="shared" si="3"/>
        <v>28.15</v>
      </c>
      <c r="E59" s="37">
        <f t="shared" si="2"/>
        <v>2.815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3"/>
        <v>0</v>
      </c>
      <c r="E60" s="37">
        <f t="shared" si="2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3"/>
        <v>0</v>
      </c>
      <c r="E61" s="37">
        <f t="shared" si="2"/>
        <v>0</v>
      </c>
    </row>
    <row r="62" spans="1:5" ht="15.75">
      <c r="A62" s="36">
        <v>2400</v>
      </c>
      <c r="B62" s="38" t="s">
        <v>47</v>
      </c>
      <c r="C62" s="37">
        <v>1.14</v>
      </c>
      <c r="D62" s="37">
        <f t="shared" si="3"/>
        <v>5.699999999999999</v>
      </c>
      <c r="E62" s="37">
        <f t="shared" si="2"/>
        <v>0.57</v>
      </c>
    </row>
    <row r="63" spans="1:5" ht="15.75">
      <c r="A63" s="36">
        <v>2513</v>
      </c>
      <c r="B63" s="38" t="s">
        <v>35</v>
      </c>
      <c r="C63" s="37">
        <v>17.81</v>
      </c>
      <c r="D63" s="37">
        <f t="shared" si="3"/>
        <v>89.05</v>
      </c>
      <c r="E63" s="37">
        <f t="shared" si="2"/>
        <v>8.905</v>
      </c>
    </row>
    <row r="64" spans="1:5" ht="15.75">
      <c r="A64" s="36">
        <v>2515</v>
      </c>
      <c r="B64" s="38" t="s">
        <v>97</v>
      </c>
      <c r="C64" s="37">
        <v>0.79</v>
      </c>
      <c r="D64" s="37">
        <f t="shared" si="3"/>
        <v>3.95</v>
      </c>
      <c r="E64" s="37">
        <f t="shared" si="2"/>
        <v>0.395</v>
      </c>
    </row>
    <row r="65" spans="1:5" ht="15.75">
      <c r="A65" s="36">
        <v>2519</v>
      </c>
      <c r="B65" s="38" t="s">
        <v>38</v>
      </c>
      <c r="C65" s="37">
        <v>4.16</v>
      </c>
      <c r="D65" s="37">
        <f t="shared" si="3"/>
        <v>20.8</v>
      </c>
      <c r="E65" s="37">
        <f t="shared" si="2"/>
        <v>2.08</v>
      </c>
    </row>
    <row r="66" spans="1:5" ht="15.75" hidden="1">
      <c r="A66" s="36">
        <v>6240</v>
      </c>
      <c r="B66" s="38" t="s">
        <v>99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3"/>
        <v>0</v>
      </c>
      <c r="E67" s="37">
        <f t="shared" si="2"/>
        <v>0</v>
      </c>
    </row>
    <row r="68" spans="1:5" ht="15.75">
      <c r="A68" s="36">
        <v>5121</v>
      </c>
      <c r="B68" s="38" t="s">
        <v>36</v>
      </c>
      <c r="C68" s="37">
        <v>3.36</v>
      </c>
      <c r="D68" s="37">
        <f t="shared" si="3"/>
        <v>16.8</v>
      </c>
      <c r="E68" s="37">
        <f t="shared" si="2"/>
        <v>1.6800000000000002</v>
      </c>
    </row>
    <row r="69" spans="1:5" ht="15.75">
      <c r="A69" s="36">
        <v>5232</v>
      </c>
      <c r="B69" s="38" t="s">
        <v>37</v>
      </c>
      <c r="C69" s="37">
        <v>22.68</v>
      </c>
      <c r="D69" s="37">
        <f t="shared" si="3"/>
        <v>113.4</v>
      </c>
      <c r="E69" s="37">
        <f t="shared" si="2"/>
        <v>11.34</v>
      </c>
    </row>
    <row r="70" spans="1:5" ht="15.75">
      <c r="A70" s="36">
        <v>5238</v>
      </c>
      <c r="B70" s="38" t="s">
        <v>39</v>
      </c>
      <c r="C70" s="37">
        <v>37.64</v>
      </c>
      <c r="D70" s="37">
        <f t="shared" si="3"/>
        <v>188.2</v>
      </c>
      <c r="E70" s="37">
        <f t="shared" si="2"/>
        <v>18.82</v>
      </c>
    </row>
    <row r="71" spans="1:5" ht="15.75" hidden="1">
      <c r="A71" s="36">
        <v>5240</v>
      </c>
      <c r="B71" s="38" t="s">
        <v>40</v>
      </c>
      <c r="C71" s="37">
        <v>0</v>
      </c>
      <c r="D71" s="37">
        <f t="shared" si="3"/>
        <v>0</v>
      </c>
      <c r="E71" s="37">
        <f t="shared" si="2"/>
        <v>0</v>
      </c>
    </row>
    <row r="72" spans="1:5" ht="15.75">
      <c r="A72" s="36">
        <v>5250</v>
      </c>
      <c r="B72" s="38" t="s">
        <v>41</v>
      </c>
      <c r="C72" s="37">
        <v>116.98</v>
      </c>
      <c r="D72" s="37">
        <f t="shared" si="3"/>
        <v>584.9</v>
      </c>
      <c r="E72" s="37">
        <f t="shared" si="2"/>
        <v>58.489999999999995</v>
      </c>
    </row>
    <row r="73" spans="1:5" ht="15.75">
      <c r="A73" s="41"/>
      <c r="B73" s="45" t="s">
        <v>9</v>
      </c>
      <c r="C73" s="40">
        <f>SUM(C30:C72)</f>
        <v>1324.39</v>
      </c>
      <c r="D73" s="40">
        <f>SUM(D30:D72)</f>
        <v>6621.949999999998</v>
      </c>
      <c r="E73" s="40">
        <f>SUM(E30:E72)</f>
        <v>734.505</v>
      </c>
    </row>
    <row r="74" spans="1:5" ht="15.75">
      <c r="A74" s="41"/>
      <c r="B74" s="45" t="s">
        <v>48</v>
      </c>
      <c r="C74" s="40">
        <f>C73+C28</f>
        <v>3064.5</v>
      </c>
      <c r="D74" s="40">
        <f>D73+D28</f>
        <v>15994</v>
      </c>
      <c r="E74" s="40">
        <f>E73+E28</f>
        <v>1748.9</v>
      </c>
    </row>
    <row r="75" spans="1:5" ht="15.75">
      <c r="A75" s="46"/>
      <c r="B75" s="29"/>
      <c r="C75" s="14"/>
      <c r="D75" s="14"/>
      <c r="E75" s="14"/>
    </row>
    <row r="76" spans="1:5" ht="15.75">
      <c r="A76" s="142" t="s">
        <v>63</v>
      </c>
      <c r="B76" s="142"/>
      <c r="C76" s="30">
        <v>50</v>
      </c>
      <c r="D76" s="30">
        <v>50</v>
      </c>
      <c r="E76" s="116">
        <v>5</v>
      </c>
    </row>
    <row r="77" spans="1:5" ht="15.75">
      <c r="A77" s="142" t="s">
        <v>64</v>
      </c>
      <c r="B77" s="142"/>
      <c r="C77" s="48">
        <f>C74/C76</f>
        <v>61.29</v>
      </c>
      <c r="D77" s="48">
        <f>D74/D76</f>
        <v>319.88</v>
      </c>
      <c r="E77" s="117">
        <f>E74/E76</f>
        <v>349.78000000000003</v>
      </c>
    </row>
    <row r="78" spans="1:5" ht="10.5" customHeight="1">
      <c r="A78" s="18"/>
      <c r="B78" s="18"/>
      <c r="C78" s="18"/>
      <c r="D78" s="18"/>
      <c r="E78" s="47"/>
    </row>
    <row r="79" spans="1:5" ht="15.75">
      <c r="A79" s="146" t="s">
        <v>56</v>
      </c>
      <c r="B79" s="147"/>
      <c r="C79" s="25">
        <v>61.29</v>
      </c>
      <c r="D79" s="25">
        <v>306.45</v>
      </c>
      <c r="E79" s="50"/>
    </row>
    <row r="80" spans="1:5" ht="15.75">
      <c r="A80" s="146" t="s">
        <v>85</v>
      </c>
      <c r="B80" s="147"/>
      <c r="C80" s="25">
        <f>C79*5</f>
        <v>306.45</v>
      </c>
      <c r="D80" s="25"/>
      <c r="E80" s="50"/>
    </row>
    <row r="81" spans="1:5" ht="9" customHeight="1">
      <c r="A81" s="26"/>
      <c r="B81" s="26"/>
      <c r="C81" s="26"/>
      <c r="D81" s="26"/>
      <c r="E81" s="26"/>
    </row>
    <row r="82" spans="1:5" ht="15.75">
      <c r="A82" s="26" t="s">
        <v>57</v>
      </c>
      <c r="B82" s="26"/>
      <c r="C82" s="26">
        <f>C80*5</f>
        <v>1532.25</v>
      </c>
      <c r="D82" s="26"/>
      <c r="E82" s="26"/>
    </row>
    <row r="83" spans="1:5" ht="11.25" customHeight="1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11">
    <mergeCell ref="B11:E11"/>
    <mergeCell ref="B12:E12"/>
    <mergeCell ref="A76:B76"/>
    <mergeCell ref="A77:B77"/>
    <mergeCell ref="A79:B79"/>
    <mergeCell ref="A80:B80"/>
    <mergeCell ref="B1:E1"/>
    <mergeCell ref="B2:E2"/>
    <mergeCell ref="A6:E6"/>
    <mergeCell ref="A7:B7"/>
    <mergeCell ref="A8:B8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85"/>
  <sheetViews>
    <sheetView view="pageLayout" zoomScale="90" zoomScalePageLayoutView="90" workbookViewId="0" topLeftCell="A50">
      <selection activeCell="A3" sqref="A3:J3"/>
    </sheetView>
  </sheetViews>
  <sheetFormatPr defaultColWidth="9.140625" defaultRowHeight="12.75"/>
  <cols>
    <col min="1" max="1" width="11.57421875" style="3" customWidth="1"/>
    <col min="2" max="2" width="94.28125" style="3" customWidth="1"/>
    <col min="3" max="4" width="27.140625" style="3" hidden="1" customWidth="1"/>
    <col min="5" max="5" width="31.421875" style="3" customWidth="1"/>
  </cols>
  <sheetData>
    <row r="1" spans="1:5" ht="15.75">
      <c r="A1" s="9"/>
      <c r="B1" s="66"/>
      <c r="C1" s="66"/>
      <c r="D1" s="66"/>
      <c r="E1" s="46" t="s">
        <v>53</v>
      </c>
    </row>
    <row r="2" spans="1:5" ht="15.75">
      <c r="A2" s="9"/>
      <c r="B2" s="66"/>
      <c r="C2" s="66"/>
      <c r="D2" s="66"/>
      <c r="E2" s="46" t="s">
        <v>58</v>
      </c>
    </row>
    <row r="3" spans="1:5" ht="15.75">
      <c r="A3" s="9"/>
      <c r="B3" s="66"/>
      <c r="C3" s="66"/>
      <c r="D3" s="66"/>
      <c r="E3" s="120" t="s">
        <v>196</v>
      </c>
    </row>
    <row r="4" spans="1:5" ht="15.75">
      <c r="A4" s="9"/>
      <c r="B4" s="66"/>
      <c r="C4" s="66"/>
      <c r="D4" s="66"/>
      <c r="E4" s="120"/>
    </row>
    <row r="5" spans="1:5" ht="15.75">
      <c r="A5" s="9"/>
      <c r="B5" s="1"/>
      <c r="C5" s="1"/>
      <c r="D5" s="1"/>
      <c r="E5" s="46" t="s">
        <v>197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156</v>
      </c>
      <c r="C12" s="142"/>
      <c r="D12" s="142"/>
      <c r="E12" s="143"/>
    </row>
    <row r="13" spans="1:5" ht="15.75">
      <c r="A13" s="18" t="s">
        <v>2</v>
      </c>
      <c r="B13" s="18" t="str">
        <f>'4.3.1.4.'!B13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v>642.82</v>
      </c>
      <c r="D17" s="37">
        <f>4481.6+30*27.18</f>
        <v>5297</v>
      </c>
      <c r="E17" s="37">
        <v>912.3</v>
      </c>
    </row>
    <row r="18" spans="1:5" ht="15.75" customHeight="1">
      <c r="A18" s="36">
        <v>1200</v>
      </c>
      <c r="B18" s="38" t="s">
        <v>92</v>
      </c>
      <c r="C18" s="37">
        <v>151.64</v>
      </c>
      <c r="D18" s="37">
        <f>1079.62+30*6.55</f>
        <v>1276.12</v>
      </c>
      <c r="E18" s="37">
        <v>219.77</v>
      </c>
    </row>
    <row r="19" spans="1:5" ht="15.75">
      <c r="A19" s="36">
        <v>2222</v>
      </c>
      <c r="B19" s="38" t="s">
        <v>43</v>
      </c>
      <c r="C19" s="37">
        <v>49.11</v>
      </c>
      <c r="D19" s="37">
        <f aca="true" t="shared" si="0" ref="D19:D27">C19*7</f>
        <v>343.77</v>
      </c>
      <c r="E19" s="37">
        <f aca="true" t="shared" si="1" ref="E19:E27">D19/6</f>
        <v>57.294999999999995</v>
      </c>
    </row>
    <row r="20" spans="1:5" ht="15.75">
      <c r="A20" s="36">
        <v>2223</v>
      </c>
      <c r="B20" s="38" t="s">
        <v>44</v>
      </c>
      <c r="C20" s="37">
        <v>53.32</v>
      </c>
      <c r="D20" s="37">
        <f t="shared" si="0"/>
        <v>373.24</v>
      </c>
      <c r="E20" s="37">
        <f t="shared" si="1"/>
        <v>62.20666666666667</v>
      </c>
    </row>
    <row r="21" spans="1:5" ht="15.75">
      <c r="A21" s="36">
        <v>2243</v>
      </c>
      <c r="B21" s="38" t="s">
        <v>15</v>
      </c>
      <c r="C21" s="37">
        <v>11.92</v>
      </c>
      <c r="D21" s="37">
        <f t="shared" si="0"/>
        <v>83.44</v>
      </c>
      <c r="E21" s="37">
        <f t="shared" si="1"/>
        <v>13.906666666666666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.75">
      <c r="A23" s="36">
        <v>2321</v>
      </c>
      <c r="B23" s="38" t="s">
        <v>25</v>
      </c>
      <c r="C23" s="37">
        <v>63.84</v>
      </c>
      <c r="D23" s="37">
        <f t="shared" si="0"/>
        <v>446.88</v>
      </c>
      <c r="E23" s="37">
        <f t="shared" si="1"/>
        <v>74.48</v>
      </c>
    </row>
    <row r="24" spans="1:5" ht="15.75">
      <c r="A24" s="36">
        <v>2341</v>
      </c>
      <c r="B24" s="38" t="s">
        <v>27</v>
      </c>
      <c r="C24" s="37">
        <v>94.98</v>
      </c>
      <c r="D24" s="37">
        <f t="shared" si="0"/>
        <v>664.86</v>
      </c>
      <c r="E24" s="37">
        <f t="shared" si="1"/>
        <v>110.81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5" ht="15.75">
      <c r="A26" s="36">
        <v>2363</v>
      </c>
      <c r="B26" s="38" t="s">
        <v>32</v>
      </c>
      <c r="C26" s="37">
        <v>221.4</v>
      </c>
      <c r="D26" s="37">
        <f t="shared" si="0"/>
        <v>1549.8</v>
      </c>
      <c r="E26" s="37">
        <v>284.2</v>
      </c>
    </row>
    <row r="27" spans="1:5" ht="15.75">
      <c r="A27" s="36">
        <v>5232</v>
      </c>
      <c r="B27" s="38" t="s">
        <v>37</v>
      </c>
      <c r="C27" s="37">
        <v>52.58</v>
      </c>
      <c r="D27" s="37">
        <f t="shared" si="0"/>
        <v>368.06</v>
      </c>
      <c r="E27" s="37">
        <f t="shared" si="1"/>
        <v>61.343333333333334</v>
      </c>
    </row>
    <row r="28" spans="1:5" ht="15.75">
      <c r="A28" s="36"/>
      <c r="B28" s="39" t="s">
        <v>7</v>
      </c>
      <c r="C28" s="40">
        <f>SUM(C17:C27)</f>
        <v>1341.6100000000001</v>
      </c>
      <c r="D28" s="40">
        <f>SUM(D17:D27)</f>
        <v>10403.169999999998</v>
      </c>
      <c r="E28" s="40">
        <f>SUM(E17:E27)</f>
        <v>1796.3116666666667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402.35</v>
      </c>
      <c r="D30" s="37">
        <v>2805.08</v>
      </c>
      <c r="E30" s="37">
        <f aca="true" t="shared" si="2" ref="E30:E71">D30/6</f>
        <v>467.5133333333333</v>
      </c>
    </row>
    <row r="31" spans="1:5" ht="31.5">
      <c r="A31" s="36">
        <v>1200</v>
      </c>
      <c r="B31" s="38" t="s">
        <v>92</v>
      </c>
      <c r="C31" s="37">
        <v>94.91</v>
      </c>
      <c r="D31" s="37">
        <f>675.74</f>
        <v>675.74</v>
      </c>
      <c r="E31" s="37">
        <f t="shared" si="2"/>
        <v>112.62333333333333</v>
      </c>
    </row>
    <row r="32" spans="1:5" ht="15.75" hidden="1">
      <c r="A32" s="36">
        <v>2100</v>
      </c>
      <c r="B32" s="42" t="s">
        <v>46</v>
      </c>
      <c r="C32" s="37">
        <v>0</v>
      </c>
      <c r="D32" s="37">
        <f aca="true" t="shared" si="3" ref="D32:D71">C32*7</f>
        <v>0</v>
      </c>
      <c r="E32" s="37">
        <f t="shared" si="2"/>
        <v>0</v>
      </c>
    </row>
    <row r="33" spans="1:5" ht="15.75">
      <c r="A33" s="43">
        <v>2210</v>
      </c>
      <c r="B33" s="38" t="s">
        <v>42</v>
      </c>
      <c r="C33" s="37">
        <v>8.9</v>
      </c>
      <c r="D33" s="37">
        <f t="shared" si="3"/>
        <v>62.300000000000004</v>
      </c>
      <c r="E33" s="37">
        <f t="shared" si="2"/>
        <v>10.383333333333335</v>
      </c>
    </row>
    <row r="34" spans="1:5" ht="15.75">
      <c r="A34" s="36">
        <v>2222</v>
      </c>
      <c r="B34" s="38" t="s">
        <v>43</v>
      </c>
      <c r="C34" s="37">
        <v>62.97</v>
      </c>
      <c r="D34" s="37">
        <f t="shared" si="3"/>
        <v>440.78999999999996</v>
      </c>
      <c r="E34" s="37">
        <f t="shared" si="2"/>
        <v>73.46499999999999</v>
      </c>
    </row>
    <row r="35" spans="1:5" ht="15.75">
      <c r="A35" s="36">
        <v>2223</v>
      </c>
      <c r="B35" s="38" t="s">
        <v>44</v>
      </c>
      <c r="C35" s="37">
        <v>56.12</v>
      </c>
      <c r="D35" s="37">
        <f t="shared" si="3"/>
        <v>392.84</v>
      </c>
      <c r="E35" s="37">
        <f t="shared" si="2"/>
        <v>65.47333333333333</v>
      </c>
    </row>
    <row r="36" spans="1:5" ht="15.75">
      <c r="A36" s="36">
        <v>2230</v>
      </c>
      <c r="B36" s="38" t="s">
        <v>45</v>
      </c>
      <c r="C36" s="37">
        <v>6.88</v>
      </c>
      <c r="D36" s="37">
        <f t="shared" si="3"/>
        <v>48.16</v>
      </c>
      <c r="E36" s="37">
        <f t="shared" si="2"/>
        <v>8.026666666666666</v>
      </c>
    </row>
    <row r="37" spans="1:5" ht="15.75" hidden="1">
      <c r="A37" s="36">
        <v>2241</v>
      </c>
      <c r="B37" s="38" t="s">
        <v>13</v>
      </c>
      <c r="C37" s="37"/>
      <c r="D37" s="37">
        <f t="shared" si="3"/>
        <v>0</v>
      </c>
      <c r="E37" s="37">
        <f t="shared" si="2"/>
        <v>0</v>
      </c>
    </row>
    <row r="38" spans="1:5" ht="15.75">
      <c r="A38" s="36">
        <v>2242</v>
      </c>
      <c r="B38" s="38" t="s">
        <v>14</v>
      </c>
      <c r="C38" s="37">
        <v>2.05</v>
      </c>
      <c r="D38" s="37">
        <f t="shared" si="3"/>
        <v>14.349999999999998</v>
      </c>
      <c r="E38" s="37">
        <f t="shared" si="2"/>
        <v>2.391666666666666</v>
      </c>
    </row>
    <row r="39" spans="1:5" ht="15.75">
      <c r="A39" s="36">
        <v>2243</v>
      </c>
      <c r="B39" s="38" t="s">
        <v>15</v>
      </c>
      <c r="C39" s="37">
        <v>6.54</v>
      </c>
      <c r="D39" s="37">
        <f t="shared" si="3"/>
        <v>45.78</v>
      </c>
      <c r="E39" s="37">
        <f t="shared" si="2"/>
        <v>7.63</v>
      </c>
    </row>
    <row r="40" spans="1:5" ht="15.75">
      <c r="A40" s="36">
        <v>2244</v>
      </c>
      <c r="B40" s="38" t="s">
        <v>16</v>
      </c>
      <c r="C40" s="37">
        <v>126.23</v>
      </c>
      <c r="D40" s="37">
        <f t="shared" si="3"/>
        <v>883.61</v>
      </c>
      <c r="E40" s="37">
        <v>201.57</v>
      </c>
    </row>
    <row r="41" spans="1:5" ht="15.75">
      <c r="A41" s="36">
        <v>2247</v>
      </c>
      <c r="B41" s="34" t="s">
        <v>93</v>
      </c>
      <c r="C41" s="37">
        <v>0.54</v>
      </c>
      <c r="D41" s="37">
        <f t="shared" si="3"/>
        <v>3.7800000000000002</v>
      </c>
      <c r="E41" s="37">
        <f t="shared" si="2"/>
        <v>0.63</v>
      </c>
    </row>
    <row r="42" spans="1:5" ht="15.75">
      <c r="A42" s="36">
        <v>2249</v>
      </c>
      <c r="B42" s="38" t="s">
        <v>17</v>
      </c>
      <c r="C42" s="37">
        <v>2.36</v>
      </c>
      <c r="D42" s="37">
        <f t="shared" si="3"/>
        <v>16.52</v>
      </c>
      <c r="E42" s="37">
        <f t="shared" si="2"/>
        <v>2.7533333333333334</v>
      </c>
    </row>
    <row r="43" spans="1:5" ht="15.75">
      <c r="A43" s="36">
        <v>2251</v>
      </c>
      <c r="B43" s="38" t="s">
        <v>94</v>
      </c>
      <c r="C43" s="37">
        <v>34.85</v>
      </c>
      <c r="D43" s="37">
        <f t="shared" si="3"/>
        <v>243.95000000000002</v>
      </c>
      <c r="E43" s="37">
        <f t="shared" si="2"/>
        <v>40.65833333333334</v>
      </c>
    </row>
    <row r="44" spans="1:5" ht="15.75">
      <c r="A44" s="36">
        <v>2252</v>
      </c>
      <c r="B44" s="38" t="s">
        <v>96</v>
      </c>
      <c r="C44" s="37">
        <v>0.3</v>
      </c>
      <c r="D44" s="37">
        <f t="shared" si="3"/>
        <v>2.1</v>
      </c>
      <c r="E44" s="37">
        <f t="shared" si="2"/>
        <v>0.35000000000000003</v>
      </c>
    </row>
    <row r="45" spans="1:5" ht="15.75">
      <c r="A45" s="36">
        <v>2259</v>
      </c>
      <c r="B45" s="38" t="s">
        <v>95</v>
      </c>
      <c r="C45" s="37">
        <v>0.05</v>
      </c>
      <c r="D45" s="37">
        <f t="shared" si="3"/>
        <v>0.35000000000000003</v>
      </c>
      <c r="E45" s="37">
        <f t="shared" si="2"/>
        <v>0.05833333333333334</v>
      </c>
    </row>
    <row r="46" spans="1:5" ht="15.75" hidden="1">
      <c r="A46" s="36">
        <v>2261</v>
      </c>
      <c r="B46" s="38" t="s">
        <v>18</v>
      </c>
      <c r="C46" s="37"/>
      <c r="D46" s="37">
        <f t="shared" si="3"/>
        <v>0</v>
      </c>
      <c r="E46" s="37">
        <f t="shared" si="2"/>
        <v>0</v>
      </c>
    </row>
    <row r="47" spans="1:5" ht="15.75">
      <c r="A47" s="36">
        <v>2262</v>
      </c>
      <c r="B47" s="38" t="s">
        <v>19</v>
      </c>
      <c r="C47" s="37">
        <v>5.99</v>
      </c>
      <c r="D47" s="37">
        <f t="shared" si="3"/>
        <v>41.93</v>
      </c>
      <c r="E47" s="37">
        <f t="shared" si="2"/>
        <v>6.988333333333333</v>
      </c>
    </row>
    <row r="48" spans="1:5" ht="15.75">
      <c r="A48" s="36">
        <v>2263</v>
      </c>
      <c r="B48" s="38" t="s">
        <v>20</v>
      </c>
      <c r="C48" s="37">
        <v>22.11</v>
      </c>
      <c r="D48" s="37">
        <f t="shared" si="3"/>
        <v>154.76999999999998</v>
      </c>
      <c r="E48" s="37">
        <f t="shared" si="2"/>
        <v>25.794999999999998</v>
      </c>
    </row>
    <row r="49" spans="1:5" ht="15.75">
      <c r="A49" s="36">
        <v>2264</v>
      </c>
      <c r="B49" s="38" t="s">
        <v>21</v>
      </c>
      <c r="C49" s="37">
        <v>0.11</v>
      </c>
      <c r="D49" s="37">
        <f t="shared" si="3"/>
        <v>0.77</v>
      </c>
      <c r="E49" s="37">
        <f t="shared" si="2"/>
        <v>0.12833333333333333</v>
      </c>
    </row>
    <row r="50" spans="1:5" ht="15.75">
      <c r="A50" s="36">
        <v>2279</v>
      </c>
      <c r="B50" s="38" t="s">
        <v>22</v>
      </c>
      <c r="C50" s="37">
        <v>24.7</v>
      </c>
      <c r="D50" s="37">
        <f t="shared" si="3"/>
        <v>172.9</v>
      </c>
      <c r="E50" s="37">
        <f t="shared" si="2"/>
        <v>28.816666666666666</v>
      </c>
    </row>
    <row r="51" spans="1:5" ht="15.75">
      <c r="A51" s="36">
        <v>2311</v>
      </c>
      <c r="B51" s="38" t="s">
        <v>23</v>
      </c>
      <c r="C51" s="37">
        <v>11.48</v>
      </c>
      <c r="D51" s="37">
        <f t="shared" si="3"/>
        <v>80.36</v>
      </c>
      <c r="E51" s="37">
        <f t="shared" si="2"/>
        <v>13.393333333333333</v>
      </c>
    </row>
    <row r="52" spans="1:5" ht="15.75">
      <c r="A52" s="36">
        <v>2312</v>
      </c>
      <c r="B52" s="38" t="s">
        <v>24</v>
      </c>
      <c r="C52" s="37">
        <v>4.3</v>
      </c>
      <c r="D52" s="37">
        <f t="shared" si="3"/>
        <v>30.099999999999998</v>
      </c>
      <c r="E52" s="37">
        <f t="shared" si="2"/>
        <v>5.016666666666667</v>
      </c>
    </row>
    <row r="53" spans="1:5" ht="15.75">
      <c r="A53" s="36">
        <v>2321</v>
      </c>
      <c r="B53" s="38" t="s">
        <v>25</v>
      </c>
      <c r="C53" s="37">
        <v>92.3</v>
      </c>
      <c r="D53" s="37">
        <f t="shared" si="3"/>
        <v>646.1</v>
      </c>
      <c r="E53" s="37">
        <f t="shared" si="2"/>
        <v>107.68333333333334</v>
      </c>
    </row>
    <row r="54" spans="1:5" ht="15.75">
      <c r="A54" s="36">
        <v>2322</v>
      </c>
      <c r="B54" s="38" t="s">
        <v>26</v>
      </c>
      <c r="C54" s="37">
        <v>16.16</v>
      </c>
      <c r="D54" s="37">
        <f t="shared" si="3"/>
        <v>113.12</v>
      </c>
      <c r="E54" s="37">
        <f t="shared" si="2"/>
        <v>18.853333333333335</v>
      </c>
    </row>
    <row r="55" spans="1:5" ht="15.75">
      <c r="A55" s="36">
        <v>2341</v>
      </c>
      <c r="B55" s="38" t="s">
        <v>27</v>
      </c>
      <c r="C55" s="37">
        <v>2.17</v>
      </c>
      <c r="D55" s="37">
        <f t="shared" si="3"/>
        <v>15.19</v>
      </c>
      <c r="E55" s="37">
        <f t="shared" si="2"/>
        <v>2.5316666666666667</v>
      </c>
    </row>
    <row r="56" spans="1:5" ht="15.75">
      <c r="A56" s="36">
        <v>2344</v>
      </c>
      <c r="B56" s="38" t="s">
        <v>28</v>
      </c>
      <c r="C56" s="37">
        <v>0.03</v>
      </c>
      <c r="D56" s="37">
        <f t="shared" si="3"/>
        <v>0.21</v>
      </c>
      <c r="E56" s="37">
        <f t="shared" si="2"/>
        <v>0.034999999999999996</v>
      </c>
    </row>
    <row r="57" spans="1:5" ht="15.75">
      <c r="A57" s="36">
        <v>2350</v>
      </c>
      <c r="B57" s="38" t="s">
        <v>29</v>
      </c>
      <c r="C57" s="37">
        <v>38.91</v>
      </c>
      <c r="D57" s="37">
        <f t="shared" si="3"/>
        <v>272.37</v>
      </c>
      <c r="E57" s="37">
        <f t="shared" si="2"/>
        <v>45.395</v>
      </c>
    </row>
    <row r="58" spans="1:5" ht="15.75">
      <c r="A58" s="36">
        <v>2361</v>
      </c>
      <c r="B58" s="38" t="s">
        <v>30</v>
      </c>
      <c r="C58" s="37">
        <v>8.89</v>
      </c>
      <c r="D58" s="37">
        <f t="shared" si="3"/>
        <v>62.230000000000004</v>
      </c>
      <c r="E58" s="37">
        <f t="shared" si="2"/>
        <v>10.371666666666668</v>
      </c>
    </row>
    <row r="59" spans="1:5" ht="15.75">
      <c r="A59" s="36">
        <v>2362</v>
      </c>
      <c r="B59" s="38" t="s">
        <v>31</v>
      </c>
      <c r="C59" s="37">
        <v>5.26</v>
      </c>
      <c r="D59" s="37">
        <f t="shared" si="3"/>
        <v>36.82</v>
      </c>
      <c r="E59" s="37">
        <f t="shared" si="2"/>
        <v>6.136666666666667</v>
      </c>
    </row>
    <row r="60" spans="1:5" ht="15.75">
      <c r="A60" s="36">
        <v>2363</v>
      </c>
      <c r="B60" s="38" t="s">
        <v>32</v>
      </c>
      <c r="C60" s="37">
        <v>42.86</v>
      </c>
      <c r="D60" s="37">
        <f t="shared" si="3"/>
        <v>300.02</v>
      </c>
      <c r="E60" s="37">
        <f t="shared" si="2"/>
        <v>50.00333333333333</v>
      </c>
    </row>
    <row r="61" spans="1:5" ht="15.75">
      <c r="A61" s="36">
        <v>2400</v>
      </c>
      <c r="B61" s="38" t="s">
        <v>47</v>
      </c>
      <c r="C61" s="37">
        <v>0.96</v>
      </c>
      <c r="D61" s="37">
        <f t="shared" si="3"/>
        <v>6.72</v>
      </c>
      <c r="E61" s="37">
        <f t="shared" si="2"/>
        <v>1.1199999999999999</v>
      </c>
    </row>
    <row r="62" spans="1:5" ht="15.75">
      <c r="A62" s="36">
        <v>2513</v>
      </c>
      <c r="B62" s="38" t="s">
        <v>35</v>
      </c>
      <c r="C62" s="37">
        <v>14.97</v>
      </c>
      <c r="D62" s="37">
        <f t="shared" si="3"/>
        <v>104.79</v>
      </c>
      <c r="E62" s="37">
        <f t="shared" si="2"/>
        <v>17.465</v>
      </c>
    </row>
    <row r="63" spans="1:5" ht="15.75">
      <c r="A63" s="36">
        <v>2515</v>
      </c>
      <c r="B63" s="38" t="s">
        <v>97</v>
      </c>
      <c r="C63" s="37">
        <v>0.66</v>
      </c>
      <c r="D63" s="37">
        <f t="shared" si="3"/>
        <v>4.62</v>
      </c>
      <c r="E63" s="37">
        <f t="shared" si="2"/>
        <v>0.77</v>
      </c>
    </row>
    <row r="64" spans="1:5" ht="15.75">
      <c r="A64" s="36">
        <v>2519</v>
      </c>
      <c r="B64" s="38" t="s">
        <v>38</v>
      </c>
      <c r="C64" s="37">
        <v>3.49</v>
      </c>
      <c r="D64" s="37">
        <f t="shared" si="3"/>
        <v>24.43</v>
      </c>
      <c r="E64" s="37">
        <f t="shared" si="2"/>
        <v>4.071666666666666</v>
      </c>
    </row>
    <row r="65" spans="1:5" ht="15.75" hidden="1">
      <c r="A65" s="36">
        <v>6240</v>
      </c>
      <c r="B65" s="38" t="s">
        <v>50</v>
      </c>
      <c r="C65" s="37">
        <v>0</v>
      </c>
      <c r="D65" s="37">
        <f t="shared" si="3"/>
        <v>0</v>
      </c>
      <c r="E65" s="37">
        <f t="shared" si="2"/>
        <v>0</v>
      </c>
    </row>
    <row r="66" spans="1:5" ht="15.75" hidden="1">
      <c r="A66" s="36">
        <v>6290</v>
      </c>
      <c r="B66" s="38" t="s">
        <v>51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>
      <c r="A67" s="36">
        <v>5121</v>
      </c>
      <c r="B67" s="38" t="s">
        <v>36</v>
      </c>
      <c r="C67" s="37">
        <v>2.82</v>
      </c>
      <c r="D67" s="37">
        <f t="shared" si="3"/>
        <v>19.74</v>
      </c>
      <c r="E67" s="37">
        <f t="shared" si="2"/>
        <v>3.2899999999999996</v>
      </c>
    </row>
    <row r="68" spans="1:5" ht="15.75">
      <c r="A68" s="36">
        <v>5232</v>
      </c>
      <c r="B68" s="38" t="s">
        <v>37</v>
      </c>
      <c r="C68" s="37">
        <v>20.19</v>
      </c>
      <c r="D68" s="37">
        <f t="shared" si="3"/>
        <v>141.33</v>
      </c>
      <c r="E68" s="37">
        <f t="shared" si="2"/>
        <v>23.555000000000003</v>
      </c>
    </row>
    <row r="69" spans="1:5" ht="15.75">
      <c r="A69" s="36">
        <v>5238</v>
      </c>
      <c r="B69" s="38" t="s">
        <v>39</v>
      </c>
      <c r="C69" s="37">
        <v>31.33</v>
      </c>
      <c r="D69" s="37">
        <f t="shared" si="3"/>
        <v>219.31</v>
      </c>
      <c r="E69" s="37">
        <f t="shared" si="2"/>
        <v>36.55166666666667</v>
      </c>
    </row>
    <row r="70" spans="1:5" ht="15.75" hidden="1">
      <c r="A70" s="36">
        <v>5240</v>
      </c>
      <c r="B70" s="38" t="s">
        <v>40</v>
      </c>
      <c r="C70" s="37"/>
      <c r="D70" s="37">
        <f t="shared" si="3"/>
        <v>0</v>
      </c>
      <c r="E70" s="37">
        <f t="shared" si="2"/>
        <v>0</v>
      </c>
    </row>
    <row r="71" spans="1:5" ht="15.75">
      <c r="A71" s="36">
        <v>5250</v>
      </c>
      <c r="B71" s="38" t="s">
        <v>41</v>
      </c>
      <c r="C71" s="37">
        <v>550.75</v>
      </c>
      <c r="D71" s="37">
        <f t="shared" si="3"/>
        <v>3855.25</v>
      </c>
      <c r="E71" s="37">
        <f t="shared" si="2"/>
        <v>642.5416666666666</v>
      </c>
    </row>
    <row r="72" spans="1:5" ht="15.75">
      <c r="A72" s="41"/>
      <c r="B72" s="45" t="s">
        <v>9</v>
      </c>
      <c r="C72" s="40">
        <f>SUM(C30:C71)</f>
        <v>1705.4899999999998</v>
      </c>
      <c r="D72" s="40">
        <f>SUM(D30:D71)</f>
        <v>11938.43</v>
      </c>
      <c r="E72" s="40">
        <f>SUM(E30:E71)</f>
        <v>2044.04</v>
      </c>
    </row>
    <row r="73" spans="1:5" ht="15.75">
      <c r="A73" s="41"/>
      <c r="B73" s="45" t="s">
        <v>48</v>
      </c>
      <c r="C73" s="40">
        <f>C72+C28</f>
        <v>3047.1</v>
      </c>
      <c r="D73" s="40">
        <f>D72+D28</f>
        <v>22341.6</v>
      </c>
      <c r="E73" s="40">
        <f>E72+E28</f>
        <v>3840.3516666666665</v>
      </c>
    </row>
    <row r="74" spans="1:5" ht="15.75">
      <c r="A74" s="52"/>
      <c r="B74" s="53"/>
      <c r="C74" s="63"/>
      <c r="D74" s="63"/>
      <c r="E74" s="63"/>
    </row>
    <row r="75" spans="1:5" ht="15.75">
      <c r="A75" s="139" t="s">
        <v>63</v>
      </c>
      <c r="B75" s="139"/>
      <c r="C75" s="49">
        <v>30</v>
      </c>
      <c r="D75" s="49">
        <v>30</v>
      </c>
      <c r="E75" s="44">
        <v>5</v>
      </c>
    </row>
    <row r="76" spans="1:5" ht="15.75">
      <c r="A76" s="139" t="s">
        <v>64</v>
      </c>
      <c r="B76" s="139"/>
      <c r="C76" s="40">
        <f>C73/C75</f>
        <v>101.57</v>
      </c>
      <c r="D76" s="40">
        <f>D73/D75</f>
        <v>744.7199999999999</v>
      </c>
      <c r="E76" s="113">
        <f>E73/E75</f>
        <v>768.0703333333333</v>
      </c>
    </row>
    <row r="77" spans="1:5" ht="15.75">
      <c r="A77" s="54"/>
      <c r="B77" s="54"/>
      <c r="C77" s="54"/>
      <c r="D77" s="54"/>
      <c r="E77" s="56"/>
    </row>
    <row r="78" spans="1:5" ht="15.75">
      <c r="A78" s="140" t="s">
        <v>56</v>
      </c>
      <c r="B78" s="141"/>
      <c r="C78" s="25">
        <v>101.57</v>
      </c>
      <c r="D78" s="106">
        <v>710.99</v>
      </c>
      <c r="E78" s="64"/>
    </row>
    <row r="79" spans="1:5" ht="15.75">
      <c r="A79" s="140" t="s">
        <v>86</v>
      </c>
      <c r="B79" s="141"/>
      <c r="C79" s="25">
        <f>C78*7</f>
        <v>710.99</v>
      </c>
      <c r="D79" s="106"/>
      <c r="E79" s="64"/>
    </row>
    <row r="80" spans="1:5" ht="15.75">
      <c r="A80" s="26"/>
      <c r="B80" s="26"/>
      <c r="C80" s="26">
        <f>C79*5</f>
        <v>3554.95</v>
      </c>
      <c r="D80" s="26"/>
      <c r="E80" s="26"/>
    </row>
    <row r="81" spans="1:5" ht="15.75">
      <c r="A81" s="26" t="s">
        <v>57</v>
      </c>
      <c r="B81" s="26"/>
      <c r="C81" s="26"/>
      <c r="D81" s="26"/>
      <c r="E81" s="26"/>
    </row>
    <row r="82" spans="1:5" ht="15.75">
      <c r="A82" s="26"/>
      <c r="B82" s="26"/>
      <c r="C82" s="26"/>
      <c r="D82" s="26"/>
      <c r="E82" s="26"/>
    </row>
    <row r="83" spans="1:5" ht="15.75">
      <c r="A83" s="26" t="s">
        <v>78</v>
      </c>
      <c r="B83" s="27"/>
      <c r="C83" s="27"/>
      <c r="D83" s="27"/>
      <c r="E83" s="27"/>
    </row>
    <row r="84" spans="1:5" ht="15.75">
      <c r="A84" s="26"/>
      <c r="B84" s="28"/>
      <c r="C84" s="28"/>
      <c r="D84" s="28"/>
      <c r="E84" s="26"/>
    </row>
    <row r="85" spans="1:5" ht="15">
      <c r="A85" s="7"/>
      <c r="B85" s="8"/>
      <c r="C85" s="8"/>
      <c r="D85" s="8"/>
      <c r="E85" s="7"/>
    </row>
  </sheetData>
  <sheetProtection/>
  <mergeCells count="9">
    <mergeCell ref="A76:B76"/>
    <mergeCell ref="A78:B78"/>
    <mergeCell ref="A79:B79"/>
    <mergeCell ref="A6:E6"/>
    <mergeCell ref="A7:B7"/>
    <mergeCell ref="A8:B8"/>
    <mergeCell ref="B11:E11"/>
    <mergeCell ref="B12:E12"/>
    <mergeCell ref="A75:B75"/>
  </mergeCells>
  <printOptions/>
  <pageMargins left="0.7086614173228347" right="0.4724409448818898" top="0.984251968503937" bottom="0.7480314960629921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1.8515625" style="3" customWidth="1"/>
    <col min="2" max="2" width="98.00390625" style="3" customWidth="1"/>
    <col min="3" max="3" width="39.140625" style="3" hidden="1" customWidth="1"/>
    <col min="4" max="4" width="32.8515625" style="3" customWidth="1"/>
  </cols>
  <sheetData>
    <row r="1" spans="1:4" ht="15.75" customHeight="1">
      <c r="A1" s="9"/>
      <c r="B1" s="66"/>
      <c r="C1" s="66"/>
      <c r="D1" s="46" t="s">
        <v>53</v>
      </c>
    </row>
    <row r="2" spans="1:4" ht="15.75">
      <c r="A2" s="9"/>
      <c r="B2" s="66"/>
      <c r="C2" s="66"/>
      <c r="D2" s="46" t="s">
        <v>58</v>
      </c>
    </row>
    <row r="3" spans="1:4" ht="15.75">
      <c r="A3" s="9"/>
      <c r="B3" s="66"/>
      <c r="C3" s="66"/>
      <c r="D3" s="120" t="s">
        <v>196</v>
      </c>
    </row>
    <row r="4" spans="1:4" ht="15.75">
      <c r="A4" s="9"/>
      <c r="B4" s="66"/>
      <c r="C4" s="66"/>
      <c r="D4" s="46"/>
    </row>
    <row r="5" spans="1:4" ht="15.75">
      <c r="A5" s="9"/>
      <c r="B5" s="1"/>
      <c r="C5" s="1"/>
      <c r="D5" s="46" t="s">
        <v>197</v>
      </c>
    </row>
    <row r="6" spans="1:4" ht="18.75">
      <c r="A6" s="138" t="s">
        <v>10</v>
      </c>
      <c r="B6" s="138"/>
      <c r="C6" s="138"/>
      <c r="D6" s="138"/>
    </row>
    <row r="7" spans="1:4" ht="15" customHeight="1">
      <c r="A7" s="142" t="s">
        <v>1</v>
      </c>
      <c r="B7" s="142"/>
      <c r="C7" s="18"/>
      <c r="D7" s="14"/>
    </row>
    <row r="8" spans="1:4" ht="15" customHeight="1">
      <c r="A8" s="142" t="s">
        <v>0</v>
      </c>
      <c r="B8" s="142"/>
      <c r="C8" s="107"/>
      <c r="D8" s="14"/>
    </row>
    <row r="9" spans="1:4" ht="15" customHeight="1">
      <c r="A9" s="18"/>
      <c r="B9" s="18" t="s">
        <v>49</v>
      </c>
      <c r="C9" s="107"/>
      <c r="D9" s="14"/>
    </row>
    <row r="10" spans="1:4" ht="15" customHeight="1">
      <c r="A10" s="18"/>
      <c r="B10" s="18" t="s">
        <v>75</v>
      </c>
      <c r="C10" s="107"/>
      <c r="D10" s="23"/>
    </row>
    <row r="11" spans="1:4" ht="15" customHeight="1">
      <c r="A11" s="18"/>
      <c r="B11" s="142" t="s">
        <v>76</v>
      </c>
      <c r="C11" s="142"/>
      <c r="D11" s="143"/>
    </row>
    <row r="12" spans="1:4" ht="15" customHeight="1">
      <c r="A12" s="18"/>
      <c r="B12" s="142" t="s">
        <v>169</v>
      </c>
      <c r="C12" s="142"/>
      <c r="D12" s="143"/>
    </row>
    <row r="13" spans="1:4" ht="15" customHeight="1">
      <c r="A13" s="18" t="s">
        <v>2</v>
      </c>
      <c r="B13" s="18" t="s">
        <v>194</v>
      </c>
      <c r="C13" s="18"/>
      <c r="D13" s="14"/>
    </row>
    <row r="14" spans="1:4" ht="67.5" customHeight="1">
      <c r="A14" s="65" t="s">
        <v>3</v>
      </c>
      <c r="B14" s="65" t="s">
        <v>4</v>
      </c>
      <c r="C14" s="65"/>
      <c r="D14" s="65" t="s">
        <v>83</v>
      </c>
    </row>
    <row r="15" spans="1:4" ht="15" customHeight="1">
      <c r="A15" s="31">
        <v>1</v>
      </c>
      <c r="B15" s="32">
        <v>2</v>
      </c>
      <c r="C15" s="32"/>
      <c r="D15" s="32">
        <v>3</v>
      </c>
    </row>
    <row r="16" spans="1:5" ht="15.75">
      <c r="A16" s="33"/>
      <c r="B16" s="34" t="s">
        <v>6</v>
      </c>
      <c r="C16" s="34"/>
      <c r="D16" s="35"/>
      <c r="E16" s="126"/>
    </row>
    <row r="17" spans="1:6" ht="15" customHeight="1">
      <c r="A17" s="36">
        <v>1100</v>
      </c>
      <c r="B17" s="36" t="s">
        <v>91</v>
      </c>
      <c r="C17" s="37">
        <f>3048.73+2.72*200</f>
        <v>3592.73</v>
      </c>
      <c r="D17" s="37">
        <v>1080.5</v>
      </c>
      <c r="F17" s="126"/>
    </row>
    <row r="18" spans="1:4" ht="15.75">
      <c r="A18" s="36">
        <v>1200</v>
      </c>
      <c r="B18" s="38" t="s">
        <v>92</v>
      </c>
      <c r="C18" s="37">
        <f>734.44+0.66*200</f>
        <v>866.44</v>
      </c>
      <c r="D18" s="37">
        <v>260.29</v>
      </c>
    </row>
    <row r="19" spans="1:4" ht="15" customHeight="1">
      <c r="A19" s="36">
        <v>2222</v>
      </c>
      <c r="B19" s="38" t="s">
        <v>43</v>
      </c>
      <c r="C19" s="37">
        <v>233.86</v>
      </c>
      <c r="D19" s="37">
        <f aca="true" t="shared" si="0" ref="D19:D27">C19/4</f>
        <v>58.465</v>
      </c>
    </row>
    <row r="20" spans="1:4" ht="15" customHeight="1">
      <c r="A20" s="36">
        <v>2223</v>
      </c>
      <c r="B20" s="38" t="s">
        <v>44</v>
      </c>
      <c r="C20" s="37">
        <v>253.9</v>
      </c>
      <c r="D20" s="37">
        <f t="shared" si="0"/>
        <v>63.475</v>
      </c>
    </row>
    <row r="21" spans="1:4" ht="15.75">
      <c r="A21" s="36">
        <v>2243</v>
      </c>
      <c r="B21" s="38" t="s">
        <v>15</v>
      </c>
      <c r="C21" s="37">
        <v>56.78</v>
      </c>
      <c r="D21" s="37">
        <f t="shared" si="0"/>
        <v>14.195</v>
      </c>
    </row>
    <row r="22" spans="1:4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</row>
    <row r="23" spans="1:4" ht="15.75">
      <c r="A23" s="36">
        <v>2321</v>
      </c>
      <c r="B23" s="38" t="s">
        <v>25</v>
      </c>
      <c r="C23" s="37">
        <v>304</v>
      </c>
      <c r="D23" s="37">
        <f t="shared" si="0"/>
        <v>76</v>
      </c>
    </row>
    <row r="24" spans="1:4" ht="15" customHeight="1">
      <c r="A24" s="36">
        <v>2341</v>
      </c>
      <c r="B24" s="38" t="s">
        <v>27</v>
      </c>
      <c r="C24" s="37">
        <v>452.3</v>
      </c>
      <c r="D24" s="37">
        <f t="shared" si="0"/>
        <v>113.075</v>
      </c>
    </row>
    <row r="25" spans="1:4" ht="15" customHeight="1" hidden="1">
      <c r="A25" s="36">
        <v>2350</v>
      </c>
      <c r="B25" s="38" t="s">
        <v>29</v>
      </c>
      <c r="C25" s="37">
        <v>0</v>
      </c>
      <c r="D25" s="37">
        <f t="shared" si="0"/>
        <v>0</v>
      </c>
    </row>
    <row r="26" spans="1:4" ht="15" customHeight="1">
      <c r="A26" s="36">
        <v>2363</v>
      </c>
      <c r="B26" s="38" t="s">
        <v>32</v>
      </c>
      <c r="C26" s="37">
        <v>1476</v>
      </c>
      <c r="D26" s="37">
        <v>406</v>
      </c>
    </row>
    <row r="27" spans="1:4" ht="15" customHeight="1">
      <c r="A27" s="36">
        <v>5232</v>
      </c>
      <c r="B27" s="38" t="s">
        <v>37</v>
      </c>
      <c r="C27" s="37">
        <v>250.4</v>
      </c>
      <c r="D27" s="37">
        <f t="shared" si="0"/>
        <v>62.6</v>
      </c>
    </row>
    <row r="28" spans="1:4" ht="15" customHeight="1">
      <c r="A28" s="36"/>
      <c r="B28" s="39" t="s">
        <v>7</v>
      </c>
      <c r="C28" s="40">
        <f>SUM(C17:C27)</f>
        <v>7486.409999999999</v>
      </c>
      <c r="D28" s="40">
        <f>SUM(D17:D27)</f>
        <v>2134.6</v>
      </c>
    </row>
    <row r="29" spans="1:4" ht="15" customHeight="1">
      <c r="A29" s="41"/>
      <c r="B29" s="36" t="s">
        <v>8</v>
      </c>
      <c r="C29" s="35"/>
      <c r="D29" s="35"/>
    </row>
    <row r="30" spans="1:4" ht="15" customHeight="1">
      <c r="A30" s="36">
        <v>1100</v>
      </c>
      <c r="B30" s="36" t="s">
        <v>91</v>
      </c>
      <c r="C30" s="37">
        <v>1995.99</v>
      </c>
      <c r="D30" s="37">
        <f aca="true" t="shared" si="1" ref="D30:D72">C30/4</f>
        <v>498.9975</v>
      </c>
    </row>
    <row r="31" spans="1:4" ht="15" customHeight="1">
      <c r="A31" s="36">
        <v>1200</v>
      </c>
      <c r="B31" s="38" t="s">
        <v>92</v>
      </c>
      <c r="C31" s="37">
        <v>480.84</v>
      </c>
      <c r="D31" s="37">
        <f t="shared" si="1"/>
        <v>120.21</v>
      </c>
    </row>
    <row r="32" spans="1:4" ht="15" customHeight="1" hidden="1">
      <c r="A32" s="36">
        <v>2100</v>
      </c>
      <c r="B32" s="42" t="s">
        <v>46</v>
      </c>
      <c r="C32" s="37">
        <v>0</v>
      </c>
      <c r="D32" s="37">
        <f t="shared" si="1"/>
        <v>0</v>
      </c>
    </row>
    <row r="33" spans="1:4" ht="15" customHeight="1">
      <c r="A33" s="43">
        <v>2210</v>
      </c>
      <c r="B33" s="38" t="s">
        <v>42</v>
      </c>
      <c r="C33" s="37">
        <v>42.39</v>
      </c>
      <c r="D33" s="37">
        <f t="shared" si="1"/>
        <v>10.5975</v>
      </c>
    </row>
    <row r="34" spans="1:4" ht="15" customHeight="1">
      <c r="A34" s="36">
        <v>2222</v>
      </c>
      <c r="B34" s="38" t="s">
        <v>43</v>
      </c>
      <c r="C34" s="37">
        <v>299.87</v>
      </c>
      <c r="D34" s="37">
        <f t="shared" si="1"/>
        <v>74.9675</v>
      </c>
    </row>
    <row r="35" spans="1:4" ht="15" customHeight="1">
      <c r="A35" s="36">
        <v>2223</v>
      </c>
      <c r="B35" s="38" t="s">
        <v>44</v>
      </c>
      <c r="C35" s="37">
        <v>267.25</v>
      </c>
      <c r="D35" s="37">
        <f t="shared" si="1"/>
        <v>66.8125</v>
      </c>
    </row>
    <row r="36" spans="1:4" ht="15.75">
      <c r="A36" s="36">
        <v>2230</v>
      </c>
      <c r="B36" s="38" t="s">
        <v>45</v>
      </c>
      <c r="C36" s="37">
        <v>32.74</v>
      </c>
      <c r="D36" s="37">
        <f t="shared" si="1"/>
        <v>8.185</v>
      </c>
    </row>
    <row r="37" spans="1:4" ht="15.75" hidden="1">
      <c r="A37" s="36">
        <v>2241</v>
      </c>
      <c r="B37" s="38" t="s">
        <v>13</v>
      </c>
      <c r="C37" s="37"/>
      <c r="D37" s="37">
        <f t="shared" si="1"/>
        <v>0</v>
      </c>
    </row>
    <row r="38" spans="1:4" ht="15.75">
      <c r="A38" s="36">
        <v>2242</v>
      </c>
      <c r="B38" s="38" t="s">
        <v>14</v>
      </c>
      <c r="C38" s="37">
        <v>9.76</v>
      </c>
      <c r="D38" s="37">
        <f t="shared" si="1"/>
        <v>2.44</v>
      </c>
    </row>
    <row r="39" spans="1:4" ht="15" customHeight="1">
      <c r="A39" s="36">
        <v>2243</v>
      </c>
      <c r="B39" s="38" t="s">
        <v>15</v>
      </c>
      <c r="C39" s="37">
        <v>31.15</v>
      </c>
      <c r="D39" s="37">
        <f t="shared" si="1"/>
        <v>7.7875</v>
      </c>
    </row>
    <row r="40" spans="1:6" ht="15.75">
      <c r="A40" s="36">
        <v>2244</v>
      </c>
      <c r="B40" s="38" t="s">
        <v>16</v>
      </c>
      <c r="C40" s="37">
        <v>601.11</v>
      </c>
      <c r="D40" s="37">
        <v>402.78</v>
      </c>
      <c r="F40" s="126"/>
    </row>
    <row r="41" spans="1:4" ht="15.75">
      <c r="A41" s="36">
        <v>2247</v>
      </c>
      <c r="B41" s="34" t="s">
        <v>93</v>
      </c>
      <c r="C41" s="37">
        <v>2.59</v>
      </c>
      <c r="D41" s="37">
        <f t="shared" si="1"/>
        <v>0.6475</v>
      </c>
    </row>
    <row r="42" spans="1:4" ht="15" customHeight="1">
      <c r="A42" s="36">
        <v>2249</v>
      </c>
      <c r="B42" s="38" t="s">
        <v>17</v>
      </c>
      <c r="C42" s="37">
        <v>11.24</v>
      </c>
      <c r="D42" s="37">
        <f t="shared" si="1"/>
        <v>2.81</v>
      </c>
    </row>
    <row r="43" spans="1:4" ht="15" customHeight="1">
      <c r="A43" s="36">
        <v>2251</v>
      </c>
      <c r="B43" s="38" t="s">
        <v>94</v>
      </c>
      <c r="C43" s="37">
        <v>165.96</v>
      </c>
      <c r="D43" s="37">
        <f t="shared" si="1"/>
        <v>41.49</v>
      </c>
    </row>
    <row r="44" spans="1:4" ht="15" customHeight="1">
      <c r="A44" s="36">
        <v>2252</v>
      </c>
      <c r="B44" s="38" t="s">
        <v>96</v>
      </c>
      <c r="C44" s="37">
        <v>1.41</v>
      </c>
      <c r="D44" s="37">
        <f t="shared" si="1"/>
        <v>0.3525</v>
      </c>
    </row>
    <row r="45" spans="1:4" ht="15" customHeight="1">
      <c r="A45" s="36">
        <v>2259</v>
      </c>
      <c r="B45" s="38" t="s">
        <v>95</v>
      </c>
      <c r="C45" s="37">
        <v>0.22</v>
      </c>
      <c r="D45" s="37">
        <f t="shared" si="1"/>
        <v>0.055</v>
      </c>
    </row>
    <row r="46" spans="1:4" ht="15" customHeight="1" hidden="1">
      <c r="A46" s="36">
        <v>2261</v>
      </c>
      <c r="B46" s="38" t="s">
        <v>18</v>
      </c>
      <c r="C46" s="37"/>
      <c r="D46" s="37">
        <f t="shared" si="1"/>
        <v>0</v>
      </c>
    </row>
    <row r="47" spans="1:4" ht="15" customHeight="1">
      <c r="A47" s="36">
        <v>2262</v>
      </c>
      <c r="B47" s="38" t="s">
        <v>19</v>
      </c>
      <c r="C47" s="37">
        <v>28.54</v>
      </c>
      <c r="D47" s="37">
        <f t="shared" si="1"/>
        <v>7.135</v>
      </c>
    </row>
    <row r="48" spans="1:4" ht="15.75">
      <c r="A48" s="36">
        <v>2263</v>
      </c>
      <c r="B48" s="38" t="s">
        <v>20</v>
      </c>
      <c r="C48" s="37">
        <v>105.29</v>
      </c>
      <c r="D48" s="37">
        <f t="shared" si="1"/>
        <v>26.3225</v>
      </c>
    </row>
    <row r="49" spans="1:4" ht="15.75">
      <c r="A49" s="36">
        <v>2264</v>
      </c>
      <c r="B49" s="38" t="s">
        <v>21</v>
      </c>
      <c r="C49" s="37">
        <v>0.53</v>
      </c>
      <c r="D49" s="37">
        <f t="shared" si="1"/>
        <v>0.1325</v>
      </c>
    </row>
    <row r="50" spans="1:4" ht="15" customHeight="1">
      <c r="A50" s="36">
        <v>2279</v>
      </c>
      <c r="B50" s="38" t="s">
        <v>22</v>
      </c>
      <c r="C50" s="37">
        <v>117.6</v>
      </c>
      <c r="D50" s="37">
        <f t="shared" si="1"/>
        <v>29.4</v>
      </c>
    </row>
    <row r="51" spans="1:4" ht="15" customHeight="1">
      <c r="A51" s="36">
        <v>2311</v>
      </c>
      <c r="B51" s="38" t="s">
        <v>23</v>
      </c>
      <c r="C51" s="37">
        <v>54.66</v>
      </c>
      <c r="D51" s="37">
        <f t="shared" si="1"/>
        <v>13.665</v>
      </c>
    </row>
    <row r="52" spans="1:4" ht="15" customHeight="1">
      <c r="A52" s="36">
        <v>2312</v>
      </c>
      <c r="B52" s="38" t="s">
        <v>24</v>
      </c>
      <c r="C52" s="37">
        <v>20.46</v>
      </c>
      <c r="D52" s="37">
        <f t="shared" si="1"/>
        <v>5.115</v>
      </c>
    </row>
    <row r="53" spans="1:4" ht="15" customHeight="1">
      <c r="A53" s="36">
        <v>2321</v>
      </c>
      <c r="B53" s="38" t="s">
        <v>25</v>
      </c>
      <c r="C53" s="37">
        <v>439.5</v>
      </c>
      <c r="D53" s="37">
        <f t="shared" si="1"/>
        <v>109.875</v>
      </c>
    </row>
    <row r="54" spans="1:4" ht="15" customHeight="1">
      <c r="A54" s="36">
        <v>2322</v>
      </c>
      <c r="B54" s="38" t="s">
        <v>26</v>
      </c>
      <c r="C54" s="37">
        <v>76.94</v>
      </c>
      <c r="D54" s="37">
        <f t="shared" si="1"/>
        <v>19.235</v>
      </c>
    </row>
    <row r="55" spans="1:4" ht="15" customHeight="1">
      <c r="A55" s="36">
        <v>2341</v>
      </c>
      <c r="B55" s="38" t="s">
        <v>27</v>
      </c>
      <c r="C55" s="37">
        <v>10.33</v>
      </c>
      <c r="D55" s="37">
        <f t="shared" si="1"/>
        <v>2.5825</v>
      </c>
    </row>
    <row r="56" spans="1:4" ht="15" customHeight="1">
      <c r="A56" s="36">
        <v>2344</v>
      </c>
      <c r="B56" s="38" t="s">
        <v>28</v>
      </c>
      <c r="C56" s="37">
        <v>0.15</v>
      </c>
      <c r="D56" s="37">
        <f t="shared" si="1"/>
        <v>0.0375</v>
      </c>
    </row>
    <row r="57" spans="1:4" ht="15" customHeight="1">
      <c r="A57" s="36">
        <v>2350</v>
      </c>
      <c r="B57" s="38" t="s">
        <v>29</v>
      </c>
      <c r="C57" s="37">
        <v>185.3</v>
      </c>
      <c r="D57" s="37">
        <f t="shared" si="1"/>
        <v>46.325</v>
      </c>
    </row>
    <row r="58" spans="1:4" ht="15" customHeight="1">
      <c r="A58" s="36">
        <v>2361</v>
      </c>
      <c r="B58" s="38" t="s">
        <v>30</v>
      </c>
      <c r="C58" s="37">
        <v>42.34</v>
      </c>
      <c r="D58" s="37">
        <f t="shared" si="1"/>
        <v>10.585</v>
      </c>
    </row>
    <row r="59" spans="1:4" ht="15" customHeight="1">
      <c r="A59" s="36">
        <v>2362</v>
      </c>
      <c r="B59" s="38" t="s">
        <v>31</v>
      </c>
      <c r="C59" s="37">
        <v>25.06</v>
      </c>
      <c r="D59" s="37">
        <f t="shared" si="1"/>
        <v>6.265</v>
      </c>
    </row>
    <row r="60" spans="1:4" ht="15" customHeight="1" hidden="1">
      <c r="A60" s="36">
        <v>2363</v>
      </c>
      <c r="B60" s="38" t="s">
        <v>32</v>
      </c>
      <c r="C60" s="37">
        <v>0</v>
      </c>
      <c r="D60" s="37">
        <f t="shared" si="1"/>
        <v>0</v>
      </c>
    </row>
    <row r="61" spans="1:4" ht="15.75" hidden="1">
      <c r="A61" s="36">
        <v>2370</v>
      </c>
      <c r="B61" s="38" t="s">
        <v>33</v>
      </c>
      <c r="C61" s="37">
        <v>0</v>
      </c>
      <c r="D61" s="37">
        <f t="shared" si="1"/>
        <v>0</v>
      </c>
    </row>
    <row r="62" spans="1:4" ht="15.75">
      <c r="A62" s="36">
        <v>2400</v>
      </c>
      <c r="B62" s="38" t="s">
        <v>47</v>
      </c>
      <c r="C62" s="37">
        <v>4.56</v>
      </c>
      <c r="D62" s="37">
        <f t="shared" si="1"/>
        <v>1.14</v>
      </c>
    </row>
    <row r="63" spans="1:4" ht="15" customHeight="1">
      <c r="A63" s="36">
        <v>2513</v>
      </c>
      <c r="B63" s="38" t="s">
        <v>35</v>
      </c>
      <c r="C63" s="37">
        <v>71.29</v>
      </c>
      <c r="D63" s="37">
        <f t="shared" si="1"/>
        <v>17.8225</v>
      </c>
    </row>
    <row r="64" spans="1:4" ht="15.75" customHeight="1">
      <c r="A64" s="36">
        <v>2515</v>
      </c>
      <c r="B64" s="38" t="s">
        <v>97</v>
      </c>
      <c r="C64" s="37">
        <v>3.16</v>
      </c>
      <c r="D64" s="37">
        <f t="shared" si="1"/>
        <v>0.79</v>
      </c>
    </row>
    <row r="65" spans="1:4" ht="15.75">
      <c r="A65" s="36">
        <v>2519</v>
      </c>
      <c r="B65" s="38" t="s">
        <v>38</v>
      </c>
      <c r="C65" s="37">
        <v>16.62</v>
      </c>
      <c r="D65" s="37">
        <f t="shared" si="1"/>
        <v>4.155</v>
      </c>
    </row>
    <row r="66" spans="1:4" ht="15.75" hidden="1">
      <c r="A66" s="36">
        <v>6240</v>
      </c>
      <c r="B66" s="38" t="s">
        <v>50</v>
      </c>
      <c r="C66" s="37">
        <v>0</v>
      </c>
      <c r="D66" s="37">
        <f t="shared" si="1"/>
        <v>0</v>
      </c>
    </row>
    <row r="67" spans="1:4" ht="15.75" hidden="1">
      <c r="A67" s="36">
        <v>6290</v>
      </c>
      <c r="B67" s="38" t="s">
        <v>51</v>
      </c>
      <c r="C67" s="37">
        <v>0</v>
      </c>
      <c r="D67" s="37">
        <f t="shared" si="1"/>
        <v>0</v>
      </c>
    </row>
    <row r="68" spans="1:4" ht="15.75">
      <c r="A68" s="36">
        <v>5121</v>
      </c>
      <c r="B68" s="38" t="s">
        <v>36</v>
      </c>
      <c r="C68" s="37">
        <v>13.44</v>
      </c>
      <c r="D68" s="37">
        <f t="shared" si="1"/>
        <v>3.36</v>
      </c>
    </row>
    <row r="69" spans="1:4" ht="15.75">
      <c r="A69" s="36">
        <v>5232</v>
      </c>
      <c r="B69" s="38" t="s">
        <v>37</v>
      </c>
      <c r="C69" s="37">
        <v>96.12</v>
      </c>
      <c r="D69" s="37">
        <f t="shared" si="1"/>
        <v>24.03</v>
      </c>
    </row>
    <row r="70" spans="1:4" ht="15" customHeight="1">
      <c r="A70" s="36">
        <v>5238</v>
      </c>
      <c r="B70" s="38" t="s">
        <v>39</v>
      </c>
      <c r="C70" s="37">
        <v>149.18</v>
      </c>
      <c r="D70" s="37">
        <f t="shared" si="1"/>
        <v>37.295</v>
      </c>
    </row>
    <row r="71" spans="1:4" ht="15" customHeight="1" hidden="1">
      <c r="A71" s="36">
        <v>5240</v>
      </c>
      <c r="B71" s="38" t="s">
        <v>40</v>
      </c>
      <c r="C71" s="37"/>
      <c r="D71" s="37">
        <f t="shared" si="1"/>
        <v>0</v>
      </c>
    </row>
    <row r="72" spans="1:4" ht="15" customHeight="1">
      <c r="A72" s="36">
        <v>5250</v>
      </c>
      <c r="B72" s="38" t="s">
        <v>41</v>
      </c>
      <c r="C72" s="37">
        <v>2704</v>
      </c>
      <c r="D72" s="37">
        <f t="shared" si="1"/>
        <v>676</v>
      </c>
    </row>
    <row r="73" spans="1:4" ht="15" customHeight="1">
      <c r="A73" s="41"/>
      <c r="B73" s="45" t="s">
        <v>9</v>
      </c>
      <c r="C73" s="40">
        <f>SUM(C30:C72)</f>
        <v>8107.589999999999</v>
      </c>
      <c r="D73" s="40">
        <f>SUM(D30:D72)</f>
        <v>2279.3999999999996</v>
      </c>
    </row>
    <row r="74" spans="1:4" ht="15.75">
      <c r="A74" s="41"/>
      <c r="B74" s="45" t="s">
        <v>48</v>
      </c>
      <c r="C74" s="40">
        <f>C73+C28</f>
        <v>15593.999999999998</v>
      </c>
      <c r="D74" s="40">
        <f>D73+D28</f>
        <v>4414</v>
      </c>
    </row>
    <row r="75" spans="1:4" ht="12.75" customHeight="1">
      <c r="A75" s="52"/>
      <c r="B75" s="53"/>
      <c r="C75" s="63"/>
      <c r="D75" s="63"/>
    </row>
    <row r="76" spans="1:4" ht="15" customHeight="1">
      <c r="A76" s="139" t="s">
        <v>63</v>
      </c>
      <c r="B76" s="139"/>
      <c r="C76" s="49">
        <v>200</v>
      </c>
      <c r="D76" s="44">
        <v>50</v>
      </c>
    </row>
    <row r="77" spans="1:5" ht="15.75">
      <c r="A77" s="139" t="s">
        <v>64</v>
      </c>
      <c r="B77" s="139"/>
      <c r="C77" s="40">
        <f>C74/C76</f>
        <v>77.96999999999998</v>
      </c>
      <c r="D77" s="113">
        <f>D74/D76</f>
        <v>88.28</v>
      </c>
      <c r="E77" s="68"/>
    </row>
    <row r="78" spans="1:4" ht="15.75">
      <c r="A78" s="54"/>
      <c r="B78" s="54"/>
      <c r="C78" s="56"/>
      <c r="D78" s="56"/>
    </row>
    <row r="79" spans="1:4" s="7" customFormat="1" ht="15.75">
      <c r="A79" s="140" t="s">
        <v>56</v>
      </c>
      <c r="B79" s="141"/>
      <c r="C79" s="64">
        <v>74.59</v>
      </c>
      <c r="D79" s="64"/>
    </row>
    <row r="80" spans="1:4" s="7" customFormat="1" ht="15.75">
      <c r="A80" s="140" t="s">
        <v>86</v>
      </c>
      <c r="B80" s="141"/>
      <c r="C80" s="64"/>
      <c r="D80" s="64"/>
    </row>
    <row r="81" spans="1:4" s="7" customFormat="1" ht="15.75">
      <c r="A81" s="26"/>
      <c r="B81" s="26"/>
      <c r="C81" s="26"/>
      <c r="D81" s="26"/>
    </row>
    <row r="82" spans="1:4" s="7" customFormat="1" ht="15.75">
      <c r="A82" s="26" t="s">
        <v>57</v>
      </c>
      <c r="B82" s="26"/>
      <c r="C82" s="26"/>
      <c r="D82" s="26"/>
    </row>
    <row r="83" spans="1:4" s="7" customFormat="1" ht="15.75">
      <c r="A83" s="26"/>
      <c r="B83" s="26"/>
      <c r="C83" s="26"/>
      <c r="D83" s="26"/>
    </row>
    <row r="84" spans="1:4" s="7" customFormat="1" ht="15.75">
      <c r="A84" s="26" t="s">
        <v>78</v>
      </c>
      <c r="B84" s="27"/>
      <c r="C84" s="27"/>
      <c r="D84" s="27"/>
    </row>
    <row r="85" spans="1:4" s="7" customFormat="1" ht="13.5" customHeight="1">
      <c r="A85" s="26"/>
      <c r="B85" s="28"/>
      <c r="C85" s="28"/>
      <c r="D85" s="26"/>
    </row>
    <row r="86" spans="2:3" s="7" customFormat="1" ht="13.5" customHeight="1">
      <c r="B86" s="8"/>
      <c r="C86" s="8"/>
    </row>
    <row r="87" s="3" customFormat="1" ht="14.25"/>
  </sheetData>
  <sheetProtection/>
  <mergeCells count="9">
    <mergeCell ref="A77:B77"/>
    <mergeCell ref="A79:B79"/>
    <mergeCell ref="A80:B80"/>
    <mergeCell ref="A7:B7"/>
    <mergeCell ref="A8:B8"/>
    <mergeCell ref="A6:D6"/>
    <mergeCell ref="B11:D11"/>
    <mergeCell ref="B12:D12"/>
    <mergeCell ref="A76:B76"/>
  </mergeCells>
  <printOptions/>
  <pageMargins left="0.25" right="0.25" top="0.75" bottom="0.75" header="0.3" footer="0.3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57">
      <selection activeCell="A3" sqref="A3:J3"/>
    </sheetView>
  </sheetViews>
  <sheetFormatPr defaultColWidth="9.140625" defaultRowHeight="12.75"/>
  <cols>
    <col min="1" max="1" width="12.421875" style="3" customWidth="1"/>
    <col min="2" max="2" width="95.8515625" style="3" customWidth="1"/>
    <col min="3" max="4" width="24.00390625" style="3" hidden="1" customWidth="1"/>
    <col min="5" max="5" width="32.00390625" style="3" customWidth="1"/>
  </cols>
  <sheetData>
    <row r="1" spans="1:5" ht="15.75">
      <c r="A1" s="9"/>
      <c r="B1" s="148" t="s">
        <v>53</v>
      </c>
      <c r="C1" s="148"/>
      <c r="D1" s="148"/>
      <c r="E1" s="143"/>
    </row>
    <row r="2" spans="1:5" ht="15.75">
      <c r="A2" s="9"/>
      <c r="B2" s="149" t="s">
        <v>58</v>
      </c>
      <c r="C2" s="149"/>
      <c r="D2" s="149"/>
      <c r="E2" s="150"/>
    </row>
    <row r="3" spans="1:5" ht="15.75">
      <c r="A3" s="9"/>
      <c r="B3" s="19"/>
      <c r="C3" s="19"/>
      <c r="D3" s="19"/>
      <c r="E3" s="120" t="s">
        <v>196</v>
      </c>
    </row>
    <row r="4" spans="1:5" ht="15.75">
      <c r="A4" s="9"/>
      <c r="B4" s="19"/>
      <c r="C4" s="19"/>
      <c r="D4" s="19"/>
      <c r="E4" s="46"/>
    </row>
    <row r="5" spans="1:5" ht="15.75">
      <c r="A5" s="9"/>
      <c r="B5" s="24"/>
      <c r="C5" s="24"/>
      <c r="D5" s="24"/>
      <c r="E5" s="46" t="s">
        <v>197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157</v>
      </c>
      <c r="C12" s="142"/>
      <c r="D12" s="142"/>
      <c r="E12" s="143"/>
    </row>
    <row r="13" spans="1:5" ht="15.75">
      <c r="A13" s="18" t="s">
        <v>2</v>
      </c>
      <c r="B13" s="18" t="str">
        <f>'4.3.1.5.'!B13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v>708.5</v>
      </c>
      <c r="D17" s="37">
        <f>4939.49+30*27.18</f>
        <v>5754.889999999999</v>
      </c>
      <c r="E17" s="37">
        <v>912.3</v>
      </c>
    </row>
    <row r="18" spans="1:5" ht="31.5">
      <c r="A18" s="36">
        <v>1200</v>
      </c>
      <c r="B18" s="38" t="s">
        <v>92</v>
      </c>
      <c r="C18" s="37">
        <v>167.13</v>
      </c>
      <c r="D18" s="37">
        <f>1189.92+30*6.55</f>
        <v>1386.42</v>
      </c>
      <c r="E18" s="37">
        <v>219.77</v>
      </c>
    </row>
    <row r="19" spans="1:5" ht="15.75">
      <c r="A19" s="36">
        <v>2222</v>
      </c>
      <c r="B19" s="38" t="s">
        <v>43</v>
      </c>
      <c r="C19" s="37">
        <v>48.39</v>
      </c>
      <c r="D19" s="37">
        <f aca="true" t="shared" si="0" ref="D19:D27">C19*7</f>
        <v>338.73</v>
      </c>
      <c r="E19" s="37">
        <f aca="true" t="shared" si="1" ref="E19:E27">D19/6</f>
        <v>56.455000000000005</v>
      </c>
    </row>
    <row r="20" spans="1:5" ht="15.75">
      <c r="A20" s="36">
        <v>2223</v>
      </c>
      <c r="B20" s="38" t="s">
        <v>44</v>
      </c>
      <c r="C20" s="37">
        <v>57.66</v>
      </c>
      <c r="D20" s="37">
        <f t="shared" si="0"/>
        <v>403.62</v>
      </c>
      <c r="E20" s="37">
        <f t="shared" si="1"/>
        <v>67.27</v>
      </c>
    </row>
    <row r="21" spans="1:5" ht="15.75">
      <c r="A21" s="36">
        <v>2243</v>
      </c>
      <c r="B21" s="38" t="s">
        <v>15</v>
      </c>
      <c r="C21" s="37">
        <v>12.35</v>
      </c>
      <c r="D21" s="37">
        <f t="shared" si="0"/>
        <v>86.45</v>
      </c>
      <c r="E21" s="37">
        <f t="shared" si="1"/>
        <v>14.408333333333333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.75">
      <c r="A23" s="36">
        <v>2321</v>
      </c>
      <c r="B23" s="38" t="s">
        <v>25</v>
      </c>
      <c r="C23" s="37">
        <v>67.97</v>
      </c>
      <c r="D23" s="37">
        <f t="shared" si="0"/>
        <v>475.78999999999996</v>
      </c>
      <c r="E23" s="37">
        <f t="shared" si="1"/>
        <v>79.29833333333333</v>
      </c>
    </row>
    <row r="24" spans="1:5" ht="15.75">
      <c r="A24" s="36">
        <v>2341</v>
      </c>
      <c r="B24" s="38" t="s">
        <v>27</v>
      </c>
      <c r="C24" s="37">
        <v>98.27</v>
      </c>
      <c r="D24" s="37">
        <f t="shared" si="0"/>
        <v>687.89</v>
      </c>
      <c r="E24" s="37">
        <f t="shared" si="1"/>
        <v>114.64833333333333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5" ht="15.75">
      <c r="A26" s="36">
        <v>2363</v>
      </c>
      <c r="B26" s="38" t="s">
        <v>32</v>
      </c>
      <c r="C26" s="37">
        <v>221.4</v>
      </c>
      <c r="D26" s="37">
        <f t="shared" si="0"/>
        <v>1549.8</v>
      </c>
      <c r="E26" s="37">
        <v>284.2</v>
      </c>
    </row>
    <row r="27" spans="1:5" ht="15.75">
      <c r="A27" s="36">
        <v>5232</v>
      </c>
      <c r="B27" s="38" t="s">
        <v>37</v>
      </c>
      <c r="C27" s="37">
        <v>55.82</v>
      </c>
      <c r="D27" s="37">
        <f t="shared" si="0"/>
        <v>390.74</v>
      </c>
      <c r="E27" s="37">
        <f t="shared" si="1"/>
        <v>65.12333333333333</v>
      </c>
    </row>
    <row r="28" spans="1:5" ht="15.75">
      <c r="A28" s="36"/>
      <c r="B28" s="39" t="s">
        <v>7</v>
      </c>
      <c r="C28" s="40">
        <f>SUM(C17:C27)</f>
        <v>1437.49</v>
      </c>
      <c r="D28" s="40">
        <f>SUM(D17:D27)</f>
        <v>11074.329999999996</v>
      </c>
      <c r="E28" s="40">
        <f>SUM(E17:E27)</f>
        <v>1813.4733333333334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435.89</v>
      </c>
      <c r="D30" s="37">
        <v>3038.96</v>
      </c>
      <c r="E30" s="37">
        <f aca="true" t="shared" si="2" ref="E30:E72">D30/6</f>
        <v>506.49333333333334</v>
      </c>
    </row>
    <row r="31" spans="1:5" ht="31.5">
      <c r="A31" s="36">
        <v>1200</v>
      </c>
      <c r="B31" s="38" t="s">
        <v>92</v>
      </c>
      <c r="C31" s="37">
        <v>102.83</v>
      </c>
      <c r="D31" s="37">
        <f>732.08</f>
        <v>732.08</v>
      </c>
      <c r="E31" s="37">
        <f t="shared" si="2"/>
        <v>122.01333333333334</v>
      </c>
    </row>
    <row r="32" spans="1:5" ht="15.75" hidden="1">
      <c r="A32" s="36">
        <v>2100</v>
      </c>
      <c r="B32" s="42" t="s">
        <v>98</v>
      </c>
      <c r="C32" s="37">
        <v>0</v>
      </c>
      <c r="D32" s="37">
        <f aca="true" t="shared" si="3" ref="D32:D72">C32*7</f>
        <v>0</v>
      </c>
      <c r="E32" s="37">
        <f t="shared" si="2"/>
        <v>0</v>
      </c>
    </row>
    <row r="33" spans="1:5" ht="15.75">
      <c r="A33" s="43">
        <v>2210</v>
      </c>
      <c r="B33" s="38" t="s">
        <v>42</v>
      </c>
      <c r="C33" s="37">
        <v>9.22</v>
      </c>
      <c r="D33" s="37">
        <f t="shared" si="3"/>
        <v>64.54</v>
      </c>
      <c r="E33" s="37">
        <f t="shared" si="2"/>
        <v>10.756666666666668</v>
      </c>
    </row>
    <row r="34" spans="1:5" ht="15.75">
      <c r="A34" s="36">
        <v>2222</v>
      </c>
      <c r="B34" s="38" t="s">
        <v>43</v>
      </c>
      <c r="C34" s="37">
        <v>4.31</v>
      </c>
      <c r="D34" s="37">
        <f t="shared" si="3"/>
        <v>30.169999999999998</v>
      </c>
      <c r="E34" s="37">
        <f t="shared" si="2"/>
        <v>5.028333333333333</v>
      </c>
    </row>
    <row r="35" spans="1:5" ht="15.75">
      <c r="A35" s="36">
        <v>2223</v>
      </c>
      <c r="B35" s="38" t="s">
        <v>44</v>
      </c>
      <c r="C35" s="37">
        <v>58.13</v>
      </c>
      <c r="D35" s="37">
        <f t="shared" si="3"/>
        <v>406.91</v>
      </c>
      <c r="E35" s="37">
        <f t="shared" si="2"/>
        <v>67.81833333333334</v>
      </c>
    </row>
    <row r="36" spans="1:5" ht="15.75">
      <c r="A36" s="36">
        <v>2230</v>
      </c>
      <c r="B36" s="38" t="s">
        <v>45</v>
      </c>
      <c r="C36" s="37">
        <v>7.12</v>
      </c>
      <c r="D36" s="37">
        <f t="shared" si="3"/>
        <v>49.84</v>
      </c>
      <c r="E36" s="37">
        <f t="shared" si="2"/>
        <v>8.306666666666667</v>
      </c>
    </row>
    <row r="37" spans="1:5" ht="15.75">
      <c r="A37" s="36">
        <v>2241</v>
      </c>
      <c r="B37" s="38" t="s">
        <v>13</v>
      </c>
      <c r="C37" s="37">
        <v>0.01</v>
      </c>
      <c r="D37" s="37">
        <f t="shared" si="3"/>
        <v>0.07</v>
      </c>
      <c r="E37" s="37">
        <f t="shared" si="2"/>
        <v>0.011666666666666667</v>
      </c>
    </row>
    <row r="38" spans="1:5" ht="15.75">
      <c r="A38" s="36">
        <v>2242</v>
      </c>
      <c r="B38" s="38" t="s">
        <v>14</v>
      </c>
      <c r="C38" s="37">
        <v>1.68</v>
      </c>
      <c r="D38" s="37">
        <f t="shared" si="3"/>
        <v>11.76</v>
      </c>
      <c r="E38" s="37">
        <f t="shared" si="2"/>
        <v>1.96</v>
      </c>
    </row>
    <row r="39" spans="1:5" ht="15.75">
      <c r="A39" s="36">
        <v>2243</v>
      </c>
      <c r="B39" s="38" t="s">
        <v>15</v>
      </c>
      <c r="C39" s="37">
        <v>6.78</v>
      </c>
      <c r="D39" s="37">
        <f t="shared" si="3"/>
        <v>47.46</v>
      </c>
      <c r="E39" s="37">
        <f t="shared" si="2"/>
        <v>7.91</v>
      </c>
    </row>
    <row r="40" spans="1:5" ht="15.75">
      <c r="A40" s="36">
        <v>2244</v>
      </c>
      <c r="B40" s="38" t="s">
        <v>16</v>
      </c>
      <c r="C40" s="37">
        <v>97.86</v>
      </c>
      <c r="D40" s="37">
        <f t="shared" si="3"/>
        <v>685.02</v>
      </c>
      <c r="E40" s="37">
        <v>199.47</v>
      </c>
    </row>
    <row r="41" spans="1:5" ht="15.75">
      <c r="A41" s="36">
        <v>2247</v>
      </c>
      <c r="B41" s="34" t="s">
        <v>93</v>
      </c>
      <c r="C41" s="37">
        <v>0.56</v>
      </c>
      <c r="D41" s="37">
        <f t="shared" si="3"/>
        <v>3.9200000000000004</v>
      </c>
      <c r="E41" s="37">
        <f t="shared" si="2"/>
        <v>0.6533333333333334</v>
      </c>
    </row>
    <row r="42" spans="1:5" ht="15.75">
      <c r="A42" s="36">
        <v>2249</v>
      </c>
      <c r="B42" s="38" t="s">
        <v>17</v>
      </c>
      <c r="C42" s="37">
        <v>2.44</v>
      </c>
      <c r="D42" s="37">
        <f t="shared" si="3"/>
        <v>17.08</v>
      </c>
      <c r="E42" s="37">
        <f t="shared" si="2"/>
        <v>2.8466666666666662</v>
      </c>
    </row>
    <row r="43" spans="1:5" ht="15.75">
      <c r="A43" s="36">
        <v>2251</v>
      </c>
      <c r="B43" s="38" t="s">
        <v>94</v>
      </c>
      <c r="C43" s="37">
        <v>14.32</v>
      </c>
      <c r="D43" s="37">
        <f t="shared" si="3"/>
        <v>100.24000000000001</v>
      </c>
      <c r="E43" s="37">
        <f t="shared" si="2"/>
        <v>16.706666666666667</v>
      </c>
    </row>
    <row r="44" spans="1:5" ht="15.75">
      <c r="A44" s="36">
        <v>2252</v>
      </c>
      <c r="B44" s="38" t="s">
        <v>96</v>
      </c>
      <c r="C44" s="37">
        <v>0.31</v>
      </c>
      <c r="D44" s="37">
        <f t="shared" si="3"/>
        <v>2.17</v>
      </c>
      <c r="E44" s="37">
        <f t="shared" si="2"/>
        <v>0.36166666666666664</v>
      </c>
    </row>
    <row r="45" spans="1:5" ht="15.75">
      <c r="A45" s="36">
        <v>2259</v>
      </c>
      <c r="B45" s="38" t="s">
        <v>95</v>
      </c>
      <c r="C45" s="37">
        <v>0.05</v>
      </c>
      <c r="D45" s="37">
        <f t="shared" si="3"/>
        <v>0.35000000000000003</v>
      </c>
      <c r="E45" s="37">
        <f t="shared" si="2"/>
        <v>0.05833333333333334</v>
      </c>
    </row>
    <row r="46" spans="1:5" ht="15.75">
      <c r="A46" s="36">
        <v>2261</v>
      </c>
      <c r="B46" s="38" t="s">
        <v>18</v>
      </c>
      <c r="C46" s="37">
        <v>1.73</v>
      </c>
      <c r="D46" s="37">
        <f t="shared" si="3"/>
        <v>12.11</v>
      </c>
      <c r="E46" s="37">
        <f t="shared" si="2"/>
        <v>2.018333333333333</v>
      </c>
    </row>
    <row r="47" spans="1:5" ht="15.75">
      <c r="A47" s="36">
        <v>2262</v>
      </c>
      <c r="B47" s="38" t="s">
        <v>19</v>
      </c>
      <c r="C47" s="37">
        <v>6.21</v>
      </c>
      <c r="D47" s="37">
        <f t="shared" si="3"/>
        <v>43.47</v>
      </c>
      <c r="E47" s="37">
        <f t="shared" si="2"/>
        <v>7.245</v>
      </c>
    </row>
    <row r="48" spans="1:5" ht="15.75">
      <c r="A48" s="36">
        <v>2263</v>
      </c>
      <c r="B48" s="38" t="s">
        <v>20</v>
      </c>
      <c r="C48" s="37">
        <v>22.9</v>
      </c>
      <c r="D48" s="37">
        <f t="shared" si="3"/>
        <v>160.29999999999998</v>
      </c>
      <c r="E48" s="37">
        <f t="shared" si="2"/>
        <v>26.716666666666665</v>
      </c>
    </row>
    <row r="49" spans="1:5" ht="15.75">
      <c r="A49" s="36">
        <v>2264</v>
      </c>
      <c r="B49" s="38" t="s">
        <v>21</v>
      </c>
      <c r="C49" s="37">
        <v>0.12</v>
      </c>
      <c r="D49" s="37">
        <f t="shared" si="3"/>
        <v>0.84</v>
      </c>
      <c r="E49" s="37">
        <f t="shared" si="2"/>
        <v>0.13999999999999999</v>
      </c>
    </row>
    <row r="50" spans="1:5" ht="15.75">
      <c r="A50" s="36">
        <v>2279</v>
      </c>
      <c r="B50" s="38" t="s">
        <v>22</v>
      </c>
      <c r="C50" s="37">
        <v>25.58</v>
      </c>
      <c r="D50" s="37">
        <f t="shared" si="3"/>
        <v>179.06</v>
      </c>
      <c r="E50" s="37">
        <f t="shared" si="2"/>
        <v>29.843333333333334</v>
      </c>
    </row>
    <row r="51" spans="1:5" ht="15.75">
      <c r="A51" s="36">
        <v>2311</v>
      </c>
      <c r="B51" s="38" t="s">
        <v>23</v>
      </c>
      <c r="C51" s="37">
        <v>8.22</v>
      </c>
      <c r="D51" s="37">
        <f t="shared" si="3"/>
        <v>57.540000000000006</v>
      </c>
      <c r="E51" s="37">
        <f t="shared" si="2"/>
        <v>9.590000000000002</v>
      </c>
    </row>
    <row r="52" spans="1:5" ht="15.75">
      <c r="A52" s="36">
        <v>2312</v>
      </c>
      <c r="B52" s="38" t="s">
        <v>24</v>
      </c>
      <c r="C52" s="37">
        <v>4.45</v>
      </c>
      <c r="D52" s="37">
        <f t="shared" si="3"/>
        <v>31.150000000000002</v>
      </c>
      <c r="E52" s="37">
        <f t="shared" si="2"/>
        <v>5.191666666666667</v>
      </c>
    </row>
    <row r="53" spans="1:5" ht="15.75">
      <c r="A53" s="36">
        <v>2321</v>
      </c>
      <c r="B53" s="38" t="s">
        <v>25</v>
      </c>
      <c r="C53" s="37">
        <v>95.35</v>
      </c>
      <c r="D53" s="37">
        <f t="shared" si="3"/>
        <v>667.4499999999999</v>
      </c>
      <c r="E53" s="37">
        <f t="shared" si="2"/>
        <v>111.24166666666666</v>
      </c>
    </row>
    <row r="54" spans="1:5" ht="15.75">
      <c r="A54" s="36">
        <v>2322</v>
      </c>
      <c r="B54" s="38" t="s">
        <v>26</v>
      </c>
      <c r="C54" s="37">
        <v>16.48</v>
      </c>
      <c r="D54" s="37">
        <f t="shared" si="3"/>
        <v>115.36</v>
      </c>
      <c r="E54" s="37">
        <f t="shared" si="2"/>
        <v>19.226666666666667</v>
      </c>
    </row>
    <row r="55" spans="1:5" ht="15.75">
      <c r="A55" s="36">
        <v>2341</v>
      </c>
      <c r="B55" s="38" t="s">
        <v>27</v>
      </c>
      <c r="C55" s="37">
        <v>2.25</v>
      </c>
      <c r="D55" s="37">
        <f t="shared" si="3"/>
        <v>15.75</v>
      </c>
      <c r="E55" s="37">
        <f t="shared" si="2"/>
        <v>2.625</v>
      </c>
    </row>
    <row r="56" spans="1:5" ht="15.75">
      <c r="A56" s="36">
        <v>2344</v>
      </c>
      <c r="B56" s="38" t="s">
        <v>28</v>
      </c>
      <c r="C56" s="37">
        <v>0.03</v>
      </c>
      <c r="D56" s="37">
        <f t="shared" si="3"/>
        <v>0.21</v>
      </c>
      <c r="E56" s="37">
        <f t="shared" si="2"/>
        <v>0.034999999999999996</v>
      </c>
    </row>
    <row r="57" spans="1:5" ht="15.75">
      <c r="A57" s="36">
        <v>2350</v>
      </c>
      <c r="B57" s="38" t="s">
        <v>29</v>
      </c>
      <c r="C57" s="37">
        <v>30.48</v>
      </c>
      <c r="D57" s="37">
        <f t="shared" si="3"/>
        <v>213.36</v>
      </c>
      <c r="E57" s="37">
        <f t="shared" si="2"/>
        <v>35.56</v>
      </c>
    </row>
    <row r="58" spans="1:5" ht="15.75">
      <c r="A58" s="36">
        <v>2361</v>
      </c>
      <c r="B58" s="38" t="s">
        <v>30</v>
      </c>
      <c r="C58" s="37">
        <v>9.23</v>
      </c>
      <c r="D58" s="37">
        <f t="shared" si="3"/>
        <v>64.61</v>
      </c>
      <c r="E58" s="37">
        <f t="shared" si="2"/>
        <v>10.768333333333333</v>
      </c>
    </row>
    <row r="59" spans="1:5" ht="15.75">
      <c r="A59" s="36">
        <v>2362</v>
      </c>
      <c r="B59" s="38" t="s">
        <v>31</v>
      </c>
      <c r="C59" s="37">
        <v>4.9</v>
      </c>
      <c r="D59" s="37">
        <f t="shared" si="3"/>
        <v>34.300000000000004</v>
      </c>
      <c r="E59" s="37">
        <f t="shared" si="2"/>
        <v>5.716666666666668</v>
      </c>
    </row>
    <row r="60" spans="1:5" ht="15.75">
      <c r="A60" s="36">
        <v>2363</v>
      </c>
      <c r="B60" s="38" t="s">
        <v>32</v>
      </c>
      <c r="C60" s="37">
        <v>42.86</v>
      </c>
      <c r="D60" s="37">
        <f t="shared" si="3"/>
        <v>300.02</v>
      </c>
      <c r="E60" s="37">
        <f t="shared" si="2"/>
        <v>50.00333333333333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3"/>
        <v>0</v>
      </c>
      <c r="E61" s="37">
        <f t="shared" si="2"/>
        <v>0</v>
      </c>
    </row>
    <row r="62" spans="1:5" ht="15.75">
      <c r="A62" s="36">
        <v>2400</v>
      </c>
      <c r="B62" s="38" t="s">
        <v>47</v>
      </c>
      <c r="C62" s="37">
        <v>0.99</v>
      </c>
      <c r="D62" s="37">
        <f t="shared" si="3"/>
        <v>6.93</v>
      </c>
      <c r="E62" s="37">
        <f t="shared" si="2"/>
        <v>1.155</v>
      </c>
    </row>
    <row r="63" spans="1:5" ht="15.75">
      <c r="A63" s="36">
        <v>2513</v>
      </c>
      <c r="B63" s="38" t="s">
        <v>35</v>
      </c>
      <c r="C63" s="37">
        <v>15.5</v>
      </c>
      <c r="D63" s="37">
        <f t="shared" si="3"/>
        <v>108.5</v>
      </c>
      <c r="E63" s="37">
        <f t="shared" si="2"/>
        <v>18.083333333333332</v>
      </c>
    </row>
    <row r="64" spans="1:5" ht="15.75">
      <c r="A64" s="36">
        <v>2515</v>
      </c>
      <c r="B64" s="38" t="s">
        <v>97</v>
      </c>
      <c r="C64" s="37">
        <v>0.69</v>
      </c>
      <c r="D64" s="37">
        <f t="shared" si="3"/>
        <v>4.83</v>
      </c>
      <c r="E64" s="37">
        <f t="shared" si="2"/>
        <v>0.805</v>
      </c>
    </row>
    <row r="65" spans="1:5" ht="15.75">
      <c r="A65" s="36">
        <v>2519</v>
      </c>
      <c r="B65" s="38" t="s">
        <v>38</v>
      </c>
      <c r="C65" s="37">
        <v>3.61</v>
      </c>
      <c r="D65" s="37">
        <f t="shared" si="3"/>
        <v>25.27</v>
      </c>
      <c r="E65" s="37">
        <f t="shared" si="2"/>
        <v>4.211666666666667</v>
      </c>
    </row>
    <row r="66" spans="1:5" ht="15.75" hidden="1">
      <c r="A66" s="36">
        <v>6240</v>
      </c>
      <c r="B66" s="38" t="s">
        <v>99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3"/>
        <v>0</v>
      </c>
      <c r="E67" s="37">
        <f t="shared" si="2"/>
        <v>0</v>
      </c>
    </row>
    <row r="68" spans="1:5" ht="15.75">
      <c r="A68" s="36">
        <v>5121</v>
      </c>
      <c r="B68" s="38" t="s">
        <v>36</v>
      </c>
      <c r="C68" s="37">
        <v>2.92</v>
      </c>
      <c r="D68" s="37">
        <f t="shared" si="3"/>
        <v>20.439999999999998</v>
      </c>
      <c r="E68" s="37">
        <f t="shared" si="2"/>
        <v>3.4066666666666663</v>
      </c>
    </row>
    <row r="69" spans="1:5" ht="15.75">
      <c r="A69" s="36">
        <v>5232</v>
      </c>
      <c r="B69" s="38" t="s">
        <v>37</v>
      </c>
      <c r="C69" s="37">
        <v>19.29</v>
      </c>
      <c r="D69" s="37">
        <f t="shared" si="3"/>
        <v>135.03</v>
      </c>
      <c r="E69" s="37">
        <f t="shared" si="2"/>
        <v>22.505</v>
      </c>
    </row>
    <row r="70" spans="1:5" ht="15.75">
      <c r="A70" s="36">
        <v>5238</v>
      </c>
      <c r="B70" s="38" t="s">
        <v>39</v>
      </c>
      <c r="C70" s="37">
        <v>32.44</v>
      </c>
      <c r="D70" s="37">
        <f t="shared" si="3"/>
        <v>227.07999999999998</v>
      </c>
      <c r="E70" s="37">
        <f t="shared" si="2"/>
        <v>37.846666666666664</v>
      </c>
    </row>
    <row r="71" spans="1:5" ht="15.75" hidden="1">
      <c r="A71" s="36">
        <v>5240</v>
      </c>
      <c r="B71" s="38" t="s">
        <v>40</v>
      </c>
      <c r="C71" s="37">
        <v>0</v>
      </c>
      <c r="D71" s="37">
        <f t="shared" si="3"/>
        <v>0</v>
      </c>
      <c r="E71" s="37">
        <f t="shared" si="2"/>
        <v>0</v>
      </c>
    </row>
    <row r="72" spans="1:5" ht="15.75">
      <c r="A72" s="36">
        <v>5250</v>
      </c>
      <c r="B72" s="38" t="s">
        <v>41</v>
      </c>
      <c r="C72" s="37">
        <v>101.87</v>
      </c>
      <c r="D72" s="37">
        <f t="shared" si="3"/>
        <v>713.09</v>
      </c>
      <c r="E72" s="37">
        <f t="shared" si="2"/>
        <v>118.84833333333334</v>
      </c>
    </row>
    <row r="73" spans="1:5" ht="15.75">
      <c r="A73" s="41"/>
      <c r="B73" s="45" t="s">
        <v>9</v>
      </c>
      <c r="C73" s="40">
        <f>SUM(C30:C72)</f>
        <v>1189.6100000000001</v>
      </c>
      <c r="D73" s="40">
        <f>SUM(D30:D72)</f>
        <v>8327.269999999999</v>
      </c>
      <c r="E73" s="40">
        <f>SUM(E30:E72)</f>
        <v>1473.1783333333333</v>
      </c>
    </row>
    <row r="74" spans="1:5" ht="15.75">
      <c r="A74" s="41"/>
      <c r="B74" s="45" t="s">
        <v>48</v>
      </c>
      <c r="C74" s="40">
        <f>C73+C28</f>
        <v>2627.1000000000004</v>
      </c>
      <c r="D74" s="40">
        <f>D73+D28</f>
        <v>19401.599999999995</v>
      </c>
      <c r="E74" s="40">
        <f>E73+E28</f>
        <v>3286.6516666666666</v>
      </c>
    </row>
    <row r="75" spans="1:5" ht="15.75">
      <c r="A75" s="46"/>
      <c r="B75" s="29"/>
      <c r="C75" s="14"/>
      <c r="D75" s="14"/>
      <c r="E75" s="14"/>
    </row>
    <row r="76" spans="1:5" ht="15.75">
      <c r="A76" s="142" t="s">
        <v>63</v>
      </c>
      <c r="B76" s="142"/>
      <c r="C76" s="30">
        <v>30</v>
      </c>
      <c r="D76" s="30">
        <v>30</v>
      </c>
      <c r="E76" s="116">
        <v>5</v>
      </c>
    </row>
    <row r="77" spans="1:5" ht="15.75">
      <c r="A77" s="142" t="s">
        <v>64</v>
      </c>
      <c r="B77" s="142"/>
      <c r="C77" s="48">
        <f>C74/C76</f>
        <v>87.57000000000001</v>
      </c>
      <c r="D77" s="48">
        <f>D74/D76</f>
        <v>646.7199999999998</v>
      </c>
      <c r="E77" s="117">
        <f>E74/E76</f>
        <v>657.3303333333333</v>
      </c>
    </row>
    <row r="78" spans="1:5" ht="15.75">
      <c r="A78" s="18"/>
      <c r="B78" s="18"/>
      <c r="C78" s="18"/>
      <c r="D78" s="18"/>
      <c r="E78" s="47"/>
    </row>
    <row r="79" spans="1:5" ht="15.75">
      <c r="A79" s="146" t="s">
        <v>56</v>
      </c>
      <c r="B79" s="147"/>
      <c r="C79" s="25">
        <v>87.57</v>
      </c>
      <c r="D79" s="25">
        <v>612.99</v>
      </c>
      <c r="E79" s="50"/>
    </row>
    <row r="80" spans="1:5" ht="15.75">
      <c r="A80" s="146" t="s">
        <v>85</v>
      </c>
      <c r="B80" s="147"/>
      <c r="C80" s="25">
        <f>C79*7</f>
        <v>612.99</v>
      </c>
      <c r="D80" s="25"/>
      <c r="E80" s="50"/>
    </row>
    <row r="81" spans="1:5" ht="15.75">
      <c r="A81" s="26"/>
      <c r="B81" s="26"/>
      <c r="C81" s="26">
        <f>C80*5</f>
        <v>3064.95</v>
      </c>
      <c r="D81" s="26"/>
      <c r="E81" s="26"/>
    </row>
    <row r="82" spans="1:5" ht="15.75">
      <c r="A82" s="26" t="s">
        <v>57</v>
      </c>
      <c r="B82" s="26"/>
      <c r="C82" s="26"/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11">
    <mergeCell ref="B11:E11"/>
    <mergeCell ref="B12:E12"/>
    <mergeCell ref="A76:B76"/>
    <mergeCell ref="A77:B77"/>
    <mergeCell ref="A79:B79"/>
    <mergeCell ref="A80:B80"/>
    <mergeCell ref="B1:E1"/>
    <mergeCell ref="B2:E2"/>
    <mergeCell ref="A6:E6"/>
    <mergeCell ref="A7:B7"/>
    <mergeCell ref="A8:B8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1.8515625" style="3" customWidth="1"/>
    <col min="2" max="2" width="93.7109375" style="3" customWidth="1"/>
    <col min="3" max="4" width="31.7109375" style="3" hidden="1" customWidth="1"/>
    <col min="5" max="5" width="31.57421875" style="3" customWidth="1"/>
  </cols>
  <sheetData>
    <row r="1" spans="1:5" ht="15.75">
      <c r="A1" s="9"/>
      <c r="B1" s="66"/>
      <c r="C1" s="66"/>
      <c r="D1" s="66"/>
      <c r="E1" s="46" t="s">
        <v>53</v>
      </c>
    </row>
    <row r="2" spans="1:5" ht="15.75">
      <c r="A2" s="9"/>
      <c r="B2" s="66"/>
      <c r="C2" s="66"/>
      <c r="D2" s="66"/>
      <c r="E2" s="46" t="s">
        <v>58</v>
      </c>
    </row>
    <row r="3" spans="1:5" ht="15.75">
      <c r="A3" s="9"/>
      <c r="B3" s="66"/>
      <c r="C3" s="66"/>
      <c r="D3" s="66"/>
      <c r="E3" s="120" t="s">
        <v>196</v>
      </c>
    </row>
    <row r="4" spans="1:5" ht="15.75">
      <c r="A4" s="9"/>
      <c r="B4" s="66"/>
      <c r="C4" s="66"/>
      <c r="D4" s="66"/>
      <c r="E4" s="46"/>
    </row>
    <row r="5" spans="1:5" ht="15.75">
      <c r="A5" s="9"/>
      <c r="B5" s="1"/>
      <c r="C5" s="1"/>
      <c r="D5" s="1"/>
      <c r="E5" s="46" t="str">
        <f>'4.3.1.6.'!E5</f>
        <v>2019. gada 15. martā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182</v>
      </c>
      <c r="C12" s="142"/>
      <c r="D12" s="142"/>
      <c r="E12" s="143"/>
    </row>
    <row r="13" spans="1:5" ht="15.75">
      <c r="A13" s="18" t="s">
        <v>2</v>
      </c>
      <c r="B13" s="18" t="str">
        <f>'4.3.1.6.'!B13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" customHeight="1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" customHeight="1">
      <c r="A17" s="36">
        <v>1100</v>
      </c>
      <c r="B17" s="36" t="s">
        <v>91</v>
      </c>
      <c r="C17" s="37">
        <v>514.26</v>
      </c>
      <c r="D17" s="37">
        <f>5121.85+24.79*30</f>
        <v>5865.55</v>
      </c>
      <c r="E17" s="37">
        <v>1061.28</v>
      </c>
    </row>
    <row r="18" spans="1:5" ht="15.75" customHeight="1">
      <c r="A18" s="36">
        <v>1200</v>
      </c>
      <c r="B18" s="38" t="s">
        <v>92</v>
      </c>
      <c r="C18" s="37">
        <v>121.31</v>
      </c>
      <c r="D18" s="37">
        <f>1233.85+5.97*30</f>
        <v>1412.9499999999998</v>
      </c>
      <c r="E18" s="37">
        <v>255.66</v>
      </c>
    </row>
    <row r="19" spans="1:5" ht="15" customHeight="1">
      <c r="A19" s="36">
        <v>2222</v>
      </c>
      <c r="B19" s="38" t="s">
        <v>43</v>
      </c>
      <c r="C19" s="37">
        <v>39.29</v>
      </c>
      <c r="D19" s="37">
        <f aca="true" t="shared" si="0" ref="D19:D27">C19*10</f>
        <v>392.9</v>
      </c>
      <c r="E19" s="37">
        <f aca="true" t="shared" si="1" ref="E19:E27">D19/30*4</f>
        <v>52.38666666666666</v>
      </c>
    </row>
    <row r="20" spans="1:5" ht="15" customHeight="1">
      <c r="A20" s="36">
        <v>2223</v>
      </c>
      <c r="B20" s="38" t="s">
        <v>44</v>
      </c>
      <c r="C20" s="37">
        <v>42.66</v>
      </c>
      <c r="D20" s="37">
        <f t="shared" si="0"/>
        <v>426.59999999999997</v>
      </c>
      <c r="E20" s="37">
        <f t="shared" si="1"/>
        <v>56.879999999999995</v>
      </c>
    </row>
    <row r="21" spans="1:5" ht="15" customHeight="1">
      <c r="A21" s="36">
        <v>2243</v>
      </c>
      <c r="B21" s="38" t="s">
        <v>15</v>
      </c>
      <c r="C21" s="37">
        <v>9.54</v>
      </c>
      <c r="D21" s="37">
        <f t="shared" si="0"/>
        <v>95.39999999999999</v>
      </c>
      <c r="E21" s="37">
        <f t="shared" si="1"/>
        <v>12.719999999999999</v>
      </c>
    </row>
    <row r="22" spans="1:5" ht="15" customHeight="1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" customHeight="1">
      <c r="A23" s="36">
        <v>2321</v>
      </c>
      <c r="B23" s="38" t="s">
        <v>25</v>
      </c>
      <c r="C23" s="37">
        <v>51.07</v>
      </c>
      <c r="D23" s="37">
        <f t="shared" si="0"/>
        <v>510.7</v>
      </c>
      <c r="E23" s="37">
        <f t="shared" si="1"/>
        <v>68.09333333333333</v>
      </c>
    </row>
    <row r="24" spans="1:5" ht="15" customHeight="1">
      <c r="A24" s="36">
        <v>2341</v>
      </c>
      <c r="B24" s="38" t="s">
        <v>27</v>
      </c>
      <c r="C24" s="37">
        <v>75.99</v>
      </c>
      <c r="D24" s="37">
        <f t="shared" si="0"/>
        <v>759.9</v>
      </c>
      <c r="E24" s="37">
        <f t="shared" si="1"/>
        <v>101.32</v>
      </c>
    </row>
    <row r="25" spans="1:5" ht="15" customHeight="1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5" ht="15" customHeight="1">
      <c r="A26" s="36">
        <v>2363</v>
      </c>
      <c r="B26" s="38" t="s">
        <v>32</v>
      </c>
      <c r="C26" s="37">
        <v>221.4</v>
      </c>
      <c r="D26" s="37">
        <f t="shared" si="0"/>
        <v>2214</v>
      </c>
      <c r="E26" s="37">
        <v>324.8</v>
      </c>
    </row>
    <row r="27" spans="1:5" ht="15" customHeight="1">
      <c r="A27" s="36">
        <v>5232</v>
      </c>
      <c r="B27" s="38" t="s">
        <v>37</v>
      </c>
      <c r="C27" s="37">
        <v>42.07</v>
      </c>
      <c r="D27" s="37">
        <f t="shared" si="0"/>
        <v>420.7</v>
      </c>
      <c r="E27" s="37">
        <f t="shared" si="1"/>
        <v>56.093333333333334</v>
      </c>
    </row>
    <row r="28" spans="1:5" ht="15" customHeight="1">
      <c r="A28" s="36"/>
      <c r="B28" s="39" t="s">
        <v>7</v>
      </c>
      <c r="C28" s="40">
        <f>SUM(C17:C27)</f>
        <v>1117.59</v>
      </c>
      <c r="D28" s="40">
        <f>SUM(D17:D27)</f>
        <v>12098.7</v>
      </c>
      <c r="E28" s="40">
        <f>SUM(E17:E27)</f>
        <v>1989.2333333333333</v>
      </c>
    </row>
    <row r="29" spans="1:5" ht="15" customHeight="1">
      <c r="A29" s="41"/>
      <c r="B29" s="36" t="s">
        <v>8</v>
      </c>
      <c r="C29" s="35"/>
      <c r="D29" s="35"/>
      <c r="E29" s="35"/>
    </row>
    <row r="30" spans="1:5" ht="15" customHeight="1">
      <c r="A30" s="36">
        <v>1100</v>
      </c>
      <c r="B30" s="36" t="s">
        <v>91</v>
      </c>
      <c r="C30" s="37">
        <v>338.38</v>
      </c>
      <c r="D30" s="37">
        <v>3370.13</v>
      </c>
      <c r="E30" s="37">
        <f aca="true" t="shared" si="2" ref="E30:E72">D30/30*4</f>
        <v>449.35066666666665</v>
      </c>
    </row>
    <row r="31" spans="1:5" ht="15" customHeight="1">
      <c r="A31" s="36">
        <v>1200</v>
      </c>
      <c r="B31" s="38" t="s">
        <v>92</v>
      </c>
      <c r="C31" s="37">
        <v>79.82</v>
      </c>
      <c r="D31" s="37">
        <v>811.87</v>
      </c>
      <c r="E31" s="37">
        <f t="shared" si="2"/>
        <v>108.24933333333334</v>
      </c>
    </row>
    <row r="32" spans="1:5" ht="15" customHeight="1" hidden="1">
      <c r="A32" s="36">
        <v>2100</v>
      </c>
      <c r="B32" s="42" t="s">
        <v>46</v>
      </c>
      <c r="C32" s="37">
        <v>0</v>
      </c>
      <c r="D32" s="37">
        <f aca="true" t="shared" si="3" ref="D32:D72">C32*10</f>
        <v>0</v>
      </c>
      <c r="E32" s="37">
        <f t="shared" si="2"/>
        <v>0</v>
      </c>
    </row>
    <row r="33" spans="1:5" ht="15" customHeight="1">
      <c r="A33" s="43">
        <v>2210</v>
      </c>
      <c r="B33" s="38" t="s">
        <v>42</v>
      </c>
      <c r="C33" s="37">
        <v>7.12</v>
      </c>
      <c r="D33" s="37">
        <f t="shared" si="3"/>
        <v>71.2</v>
      </c>
      <c r="E33" s="37">
        <f t="shared" si="2"/>
        <v>9.493333333333334</v>
      </c>
    </row>
    <row r="34" spans="1:5" ht="15" customHeight="1">
      <c r="A34" s="36">
        <v>2222</v>
      </c>
      <c r="B34" s="38" t="s">
        <v>43</v>
      </c>
      <c r="C34" s="37">
        <v>50.38</v>
      </c>
      <c r="D34" s="37">
        <f t="shared" si="3"/>
        <v>503.8</v>
      </c>
      <c r="E34" s="37">
        <f t="shared" si="2"/>
        <v>67.17333333333333</v>
      </c>
    </row>
    <row r="35" spans="1:5" ht="15" customHeight="1">
      <c r="A35" s="36">
        <v>2223</v>
      </c>
      <c r="B35" s="38" t="s">
        <v>44</v>
      </c>
      <c r="C35" s="37">
        <v>44.9</v>
      </c>
      <c r="D35" s="37">
        <f t="shared" si="3"/>
        <v>449</v>
      </c>
      <c r="E35" s="37">
        <f t="shared" si="2"/>
        <v>59.86666666666667</v>
      </c>
    </row>
    <row r="36" spans="1:5" ht="14.25" customHeight="1">
      <c r="A36" s="36">
        <v>2230</v>
      </c>
      <c r="B36" s="38" t="s">
        <v>45</v>
      </c>
      <c r="C36" s="37">
        <v>5.5</v>
      </c>
      <c r="D36" s="37">
        <f t="shared" si="3"/>
        <v>55</v>
      </c>
      <c r="E36" s="37">
        <f t="shared" si="2"/>
        <v>7.333333333333333</v>
      </c>
    </row>
    <row r="37" spans="1:5" ht="15" customHeight="1" hidden="1">
      <c r="A37" s="36">
        <v>2241</v>
      </c>
      <c r="B37" s="38" t="s">
        <v>13</v>
      </c>
      <c r="C37" s="37"/>
      <c r="D37" s="37">
        <f t="shared" si="3"/>
        <v>0</v>
      </c>
      <c r="E37" s="37">
        <f t="shared" si="2"/>
        <v>0</v>
      </c>
    </row>
    <row r="38" spans="1:5" ht="15" customHeight="1">
      <c r="A38" s="36">
        <v>2242</v>
      </c>
      <c r="B38" s="38" t="s">
        <v>14</v>
      </c>
      <c r="C38" s="37">
        <v>1.64</v>
      </c>
      <c r="D38" s="37">
        <f t="shared" si="3"/>
        <v>16.4</v>
      </c>
      <c r="E38" s="37">
        <f t="shared" si="2"/>
        <v>2.1866666666666665</v>
      </c>
    </row>
    <row r="39" spans="1:5" ht="15" customHeight="1">
      <c r="A39" s="36">
        <v>2243</v>
      </c>
      <c r="B39" s="38" t="s">
        <v>15</v>
      </c>
      <c r="C39" s="37">
        <v>5.23</v>
      </c>
      <c r="D39" s="37">
        <f t="shared" si="3"/>
        <v>52.300000000000004</v>
      </c>
      <c r="E39" s="37">
        <f t="shared" si="2"/>
        <v>6.973333333333334</v>
      </c>
    </row>
    <row r="40" spans="1:5" ht="15.75">
      <c r="A40" s="36">
        <v>2244</v>
      </c>
      <c r="B40" s="38" t="s">
        <v>16</v>
      </c>
      <c r="C40" s="37">
        <v>100.99</v>
      </c>
      <c r="D40" s="37">
        <f t="shared" si="3"/>
        <v>1009.9</v>
      </c>
      <c r="E40" s="37">
        <v>291.29</v>
      </c>
    </row>
    <row r="41" spans="1:5" ht="15.75">
      <c r="A41" s="36">
        <v>2247</v>
      </c>
      <c r="B41" s="34" t="s">
        <v>93</v>
      </c>
      <c r="C41" s="37">
        <v>0.44</v>
      </c>
      <c r="D41" s="37">
        <f t="shared" si="3"/>
        <v>4.4</v>
      </c>
      <c r="E41" s="37">
        <f t="shared" si="2"/>
        <v>0.5866666666666667</v>
      </c>
    </row>
    <row r="42" spans="1:5" ht="15" customHeight="1">
      <c r="A42" s="36">
        <v>2249</v>
      </c>
      <c r="B42" s="38" t="s">
        <v>17</v>
      </c>
      <c r="C42" s="37">
        <v>1.89</v>
      </c>
      <c r="D42" s="37">
        <f t="shared" si="3"/>
        <v>18.9</v>
      </c>
      <c r="E42" s="37">
        <v>2.53</v>
      </c>
    </row>
    <row r="43" spans="1:5" ht="15" customHeight="1">
      <c r="A43" s="36">
        <v>2251</v>
      </c>
      <c r="B43" s="38" t="s">
        <v>94</v>
      </c>
      <c r="C43" s="37">
        <v>27.88</v>
      </c>
      <c r="D43" s="37">
        <f t="shared" si="3"/>
        <v>278.8</v>
      </c>
      <c r="E43" s="37">
        <f t="shared" si="2"/>
        <v>37.17333333333333</v>
      </c>
    </row>
    <row r="44" spans="1:5" ht="15" customHeight="1">
      <c r="A44" s="36">
        <v>2252</v>
      </c>
      <c r="B44" s="38" t="s">
        <v>96</v>
      </c>
      <c r="C44" s="37">
        <v>0.24</v>
      </c>
      <c r="D44" s="37">
        <f t="shared" si="3"/>
        <v>2.4</v>
      </c>
      <c r="E44" s="37">
        <f t="shared" si="2"/>
        <v>0.32</v>
      </c>
    </row>
    <row r="45" spans="1:5" ht="15" customHeight="1">
      <c r="A45" s="36">
        <v>2259</v>
      </c>
      <c r="B45" s="38" t="s">
        <v>95</v>
      </c>
      <c r="C45" s="37">
        <v>0.04</v>
      </c>
      <c r="D45" s="37">
        <f t="shared" si="3"/>
        <v>0.4</v>
      </c>
      <c r="E45" s="37">
        <f t="shared" si="2"/>
        <v>0.05333333333333334</v>
      </c>
    </row>
    <row r="46" spans="1:5" ht="15" customHeight="1" hidden="1">
      <c r="A46" s="36">
        <v>2261</v>
      </c>
      <c r="B46" s="38" t="s">
        <v>18</v>
      </c>
      <c r="C46" s="37"/>
      <c r="D46" s="37">
        <f t="shared" si="3"/>
        <v>0</v>
      </c>
      <c r="E46" s="37">
        <f t="shared" si="2"/>
        <v>0</v>
      </c>
    </row>
    <row r="47" spans="1:5" ht="15" customHeight="1">
      <c r="A47" s="36">
        <v>2262</v>
      </c>
      <c r="B47" s="38" t="s">
        <v>19</v>
      </c>
      <c r="C47" s="37">
        <v>4.79</v>
      </c>
      <c r="D47" s="37">
        <f t="shared" si="3"/>
        <v>47.9</v>
      </c>
      <c r="E47" s="37">
        <f t="shared" si="2"/>
        <v>6.386666666666667</v>
      </c>
    </row>
    <row r="48" spans="1:5" ht="15.75">
      <c r="A48" s="36">
        <v>2263</v>
      </c>
      <c r="B48" s="38" t="s">
        <v>20</v>
      </c>
      <c r="C48" s="37">
        <v>17.69</v>
      </c>
      <c r="D48" s="37">
        <f t="shared" si="3"/>
        <v>176.9</v>
      </c>
      <c r="E48" s="37">
        <f t="shared" si="2"/>
        <v>23.586666666666666</v>
      </c>
    </row>
    <row r="49" spans="1:5" ht="15.75">
      <c r="A49" s="36">
        <v>2264</v>
      </c>
      <c r="B49" s="38" t="s">
        <v>21</v>
      </c>
      <c r="C49" s="37">
        <v>0.09</v>
      </c>
      <c r="D49" s="37">
        <f t="shared" si="3"/>
        <v>0.8999999999999999</v>
      </c>
      <c r="E49" s="37">
        <f t="shared" si="2"/>
        <v>0.11999999999999998</v>
      </c>
    </row>
    <row r="50" spans="1:5" ht="15" customHeight="1">
      <c r="A50" s="36">
        <v>2279</v>
      </c>
      <c r="B50" s="38" t="s">
        <v>22</v>
      </c>
      <c r="C50" s="37">
        <v>19.76</v>
      </c>
      <c r="D50" s="37">
        <f t="shared" si="3"/>
        <v>197.60000000000002</v>
      </c>
      <c r="E50" s="37">
        <f t="shared" si="2"/>
        <v>26.34666666666667</v>
      </c>
    </row>
    <row r="51" spans="1:5" ht="15" customHeight="1">
      <c r="A51" s="36">
        <v>2311</v>
      </c>
      <c r="B51" s="38" t="s">
        <v>23</v>
      </c>
      <c r="C51" s="37">
        <v>9.18</v>
      </c>
      <c r="D51" s="37">
        <f t="shared" si="3"/>
        <v>91.8</v>
      </c>
      <c r="E51" s="37">
        <f t="shared" si="2"/>
        <v>12.24</v>
      </c>
    </row>
    <row r="52" spans="1:5" ht="15" customHeight="1">
      <c r="A52" s="36">
        <v>2312</v>
      </c>
      <c r="B52" s="38" t="s">
        <v>24</v>
      </c>
      <c r="C52" s="37">
        <v>3.44</v>
      </c>
      <c r="D52" s="37">
        <f t="shared" si="3"/>
        <v>34.4</v>
      </c>
      <c r="E52" s="37">
        <f t="shared" si="2"/>
        <v>4.586666666666667</v>
      </c>
    </row>
    <row r="53" spans="1:5" ht="15" customHeight="1">
      <c r="A53" s="36">
        <v>2321</v>
      </c>
      <c r="B53" s="38" t="s">
        <v>25</v>
      </c>
      <c r="C53" s="37">
        <v>73.84</v>
      </c>
      <c r="D53" s="37">
        <f t="shared" si="3"/>
        <v>738.4000000000001</v>
      </c>
      <c r="E53" s="37">
        <f t="shared" si="2"/>
        <v>98.45333333333335</v>
      </c>
    </row>
    <row r="54" spans="1:5" ht="15" customHeight="1">
      <c r="A54" s="36">
        <v>2322</v>
      </c>
      <c r="B54" s="38" t="s">
        <v>26</v>
      </c>
      <c r="C54" s="37">
        <v>12.93</v>
      </c>
      <c r="D54" s="37">
        <f t="shared" si="3"/>
        <v>129.3</v>
      </c>
      <c r="E54" s="37">
        <f t="shared" si="2"/>
        <v>17.240000000000002</v>
      </c>
    </row>
    <row r="55" spans="1:5" ht="15" customHeight="1">
      <c r="A55" s="36">
        <v>2341</v>
      </c>
      <c r="B55" s="38" t="s">
        <v>27</v>
      </c>
      <c r="C55" s="37">
        <v>1.74</v>
      </c>
      <c r="D55" s="37">
        <f t="shared" si="3"/>
        <v>17.4</v>
      </c>
      <c r="E55" s="37">
        <f t="shared" si="2"/>
        <v>2.32</v>
      </c>
    </row>
    <row r="56" spans="1:5" ht="15" customHeight="1">
      <c r="A56" s="36">
        <v>2344</v>
      </c>
      <c r="B56" s="38" t="s">
        <v>28</v>
      </c>
      <c r="C56" s="37">
        <v>0.03</v>
      </c>
      <c r="D56" s="37">
        <f t="shared" si="3"/>
        <v>0.3</v>
      </c>
      <c r="E56" s="37">
        <f t="shared" si="2"/>
        <v>0.04</v>
      </c>
    </row>
    <row r="57" spans="1:5" ht="15" customHeight="1">
      <c r="A57" s="36">
        <v>2350</v>
      </c>
      <c r="B57" s="38" t="s">
        <v>29</v>
      </c>
      <c r="C57" s="37">
        <v>31.13</v>
      </c>
      <c r="D57" s="37">
        <f t="shared" si="3"/>
        <v>311.3</v>
      </c>
      <c r="E57" s="37">
        <f t="shared" si="2"/>
        <v>41.50666666666667</v>
      </c>
    </row>
    <row r="58" spans="1:5" ht="15" customHeight="1">
      <c r="A58" s="36">
        <v>2361</v>
      </c>
      <c r="B58" s="38" t="s">
        <v>30</v>
      </c>
      <c r="C58" s="37">
        <v>7.11</v>
      </c>
      <c r="D58" s="37">
        <f t="shared" si="3"/>
        <v>71.10000000000001</v>
      </c>
      <c r="E58" s="37">
        <f t="shared" si="2"/>
        <v>9.48</v>
      </c>
    </row>
    <row r="59" spans="1:5" ht="15" customHeight="1">
      <c r="A59" s="36">
        <v>2362</v>
      </c>
      <c r="B59" s="38" t="s">
        <v>31</v>
      </c>
      <c r="C59" s="37">
        <v>4.21</v>
      </c>
      <c r="D59" s="37">
        <f t="shared" si="3"/>
        <v>42.1</v>
      </c>
      <c r="E59" s="37">
        <f t="shared" si="2"/>
        <v>5.613333333333333</v>
      </c>
    </row>
    <row r="60" spans="1:5" ht="15" customHeight="1" hidden="1">
      <c r="A60" s="36">
        <v>2363</v>
      </c>
      <c r="B60" s="38" t="s">
        <v>32</v>
      </c>
      <c r="C60" s="37">
        <v>0</v>
      </c>
      <c r="D60" s="37">
        <f t="shared" si="3"/>
        <v>0</v>
      </c>
      <c r="E60" s="37">
        <f t="shared" si="2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3"/>
        <v>0</v>
      </c>
      <c r="E61" s="37">
        <f t="shared" si="2"/>
        <v>0</v>
      </c>
    </row>
    <row r="62" spans="1:5" ht="15.75">
      <c r="A62" s="36">
        <v>2400</v>
      </c>
      <c r="B62" s="38" t="s">
        <v>47</v>
      </c>
      <c r="C62" s="37">
        <v>0.77</v>
      </c>
      <c r="D62" s="37">
        <f t="shared" si="3"/>
        <v>7.7</v>
      </c>
      <c r="E62" s="37">
        <f t="shared" si="2"/>
        <v>1.0266666666666666</v>
      </c>
    </row>
    <row r="63" spans="1:5" ht="15" customHeight="1">
      <c r="A63" s="36">
        <v>2513</v>
      </c>
      <c r="B63" s="38" t="s">
        <v>35</v>
      </c>
      <c r="C63" s="37">
        <v>11.98</v>
      </c>
      <c r="D63" s="37">
        <f t="shared" si="3"/>
        <v>119.80000000000001</v>
      </c>
      <c r="E63" s="37">
        <f t="shared" si="2"/>
        <v>15.973333333333334</v>
      </c>
    </row>
    <row r="64" spans="1:5" ht="15.75" customHeight="1">
      <c r="A64" s="36">
        <v>2515</v>
      </c>
      <c r="B64" s="38" t="s">
        <v>97</v>
      </c>
      <c r="C64" s="37">
        <v>0.53</v>
      </c>
      <c r="D64" s="37">
        <f t="shared" si="3"/>
        <v>5.300000000000001</v>
      </c>
      <c r="E64" s="37">
        <f t="shared" si="2"/>
        <v>0.7066666666666668</v>
      </c>
    </row>
    <row r="65" spans="1:5" ht="15" customHeight="1">
      <c r="A65" s="36">
        <v>2519</v>
      </c>
      <c r="B65" s="38" t="s">
        <v>38</v>
      </c>
      <c r="C65" s="37">
        <v>2.79</v>
      </c>
      <c r="D65" s="37">
        <f t="shared" si="3"/>
        <v>27.9</v>
      </c>
      <c r="E65" s="37">
        <f t="shared" si="2"/>
        <v>3.7199999999999998</v>
      </c>
    </row>
    <row r="66" spans="1:5" ht="15.75" customHeight="1" hidden="1">
      <c r="A66" s="36">
        <v>6240</v>
      </c>
      <c r="B66" s="38" t="s">
        <v>50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 customHeight="1" hidden="1">
      <c r="A67" s="36">
        <v>6290</v>
      </c>
      <c r="B67" s="38" t="s">
        <v>51</v>
      </c>
      <c r="C67" s="37">
        <v>0</v>
      </c>
      <c r="D67" s="37">
        <f t="shared" si="3"/>
        <v>0</v>
      </c>
      <c r="E67" s="37">
        <f t="shared" si="2"/>
        <v>0</v>
      </c>
    </row>
    <row r="68" spans="1:5" ht="15.75">
      <c r="A68" s="36">
        <v>5121</v>
      </c>
      <c r="B68" s="38" t="s">
        <v>36</v>
      </c>
      <c r="C68" s="37">
        <v>2.26</v>
      </c>
      <c r="D68" s="37">
        <f t="shared" si="3"/>
        <v>22.599999999999998</v>
      </c>
      <c r="E68" s="37">
        <f t="shared" si="2"/>
        <v>3.013333333333333</v>
      </c>
    </row>
    <row r="69" spans="1:5" ht="15.75">
      <c r="A69" s="36">
        <v>5232</v>
      </c>
      <c r="B69" s="38" t="s">
        <v>37</v>
      </c>
      <c r="C69" s="37">
        <v>16.15</v>
      </c>
      <c r="D69" s="37">
        <f t="shared" si="3"/>
        <v>161.5</v>
      </c>
      <c r="E69" s="37">
        <f t="shared" si="2"/>
        <v>21.533333333333335</v>
      </c>
    </row>
    <row r="70" spans="1:5" ht="15" customHeight="1">
      <c r="A70" s="36">
        <v>5238</v>
      </c>
      <c r="B70" s="38" t="s">
        <v>39</v>
      </c>
      <c r="C70" s="37">
        <v>25.06</v>
      </c>
      <c r="D70" s="37">
        <f t="shared" si="3"/>
        <v>250.6</v>
      </c>
      <c r="E70" s="37">
        <f t="shared" si="2"/>
        <v>33.413333333333334</v>
      </c>
    </row>
    <row r="71" spans="1:5" ht="15" customHeight="1" hidden="1">
      <c r="A71" s="36">
        <v>5240</v>
      </c>
      <c r="B71" s="38" t="s">
        <v>40</v>
      </c>
      <c r="C71" s="37"/>
      <c r="D71" s="37">
        <f t="shared" si="3"/>
        <v>0</v>
      </c>
      <c r="E71" s="37">
        <f t="shared" si="2"/>
        <v>0</v>
      </c>
    </row>
    <row r="72" spans="1:5" ht="15" customHeight="1">
      <c r="A72" s="36">
        <v>5250</v>
      </c>
      <c r="B72" s="38" t="s">
        <v>41</v>
      </c>
      <c r="C72" s="37">
        <v>452.28</v>
      </c>
      <c r="D72" s="37">
        <f t="shared" si="3"/>
        <v>4522.799999999999</v>
      </c>
      <c r="E72" s="37">
        <f t="shared" si="2"/>
        <v>603.0399999999998</v>
      </c>
    </row>
    <row r="73" spans="1:5" ht="15" customHeight="1">
      <c r="A73" s="41"/>
      <c r="B73" s="45" t="s">
        <v>9</v>
      </c>
      <c r="C73" s="40">
        <f>SUM(C30:C72)</f>
        <v>1362.21</v>
      </c>
      <c r="D73" s="40">
        <f>SUM(D30:D72)</f>
        <v>13622.099999999997</v>
      </c>
      <c r="E73" s="40">
        <f>SUM(E30:E72)</f>
        <v>1972.9266666666663</v>
      </c>
    </row>
    <row r="74" spans="1:5" ht="15.75">
      <c r="A74" s="41"/>
      <c r="B74" s="45" t="s">
        <v>48</v>
      </c>
      <c r="C74" s="40">
        <f>C73+C28</f>
        <v>2479.8</v>
      </c>
      <c r="D74" s="40">
        <f>D73+D28</f>
        <v>25720.799999999996</v>
      </c>
      <c r="E74" s="40">
        <f>E73+E28</f>
        <v>3962.16</v>
      </c>
    </row>
    <row r="75" spans="1:5" ht="12.75" customHeight="1">
      <c r="A75" s="52"/>
      <c r="B75" s="53"/>
      <c r="C75" s="63"/>
      <c r="D75" s="63"/>
      <c r="E75" s="63"/>
    </row>
    <row r="76" spans="1:5" ht="15" customHeight="1">
      <c r="A76" s="139" t="s">
        <v>63</v>
      </c>
      <c r="B76" s="139"/>
      <c r="C76" s="49">
        <v>30</v>
      </c>
      <c r="D76" s="49">
        <v>30</v>
      </c>
      <c r="E76" s="44">
        <v>4</v>
      </c>
    </row>
    <row r="77" spans="1:5" ht="15.75">
      <c r="A77" s="139" t="s">
        <v>64</v>
      </c>
      <c r="B77" s="139"/>
      <c r="C77" s="40">
        <f>C74/C76</f>
        <v>82.66000000000001</v>
      </c>
      <c r="D77" s="40">
        <f>D74/D76</f>
        <v>857.3599999999999</v>
      </c>
      <c r="E77" s="113">
        <f>E74/E76</f>
        <v>990.54</v>
      </c>
    </row>
    <row r="78" spans="1:5" ht="15.75">
      <c r="A78" s="54"/>
      <c r="B78" s="54"/>
      <c r="C78" s="54"/>
      <c r="D78" s="54"/>
      <c r="E78" s="56"/>
    </row>
    <row r="79" spans="1:5" s="7" customFormat="1" ht="15.75">
      <c r="A79" s="140" t="s">
        <v>56</v>
      </c>
      <c r="B79" s="141"/>
      <c r="C79" s="25">
        <v>82.66</v>
      </c>
      <c r="D79" s="106">
        <v>826.6</v>
      </c>
      <c r="E79" s="64"/>
    </row>
    <row r="80" spans="1:5" s="7" customFormat="1" ht="15.75">
      <c r="A80" s="140" t="s">
        <v>86</v>
      </c>
      <c r="B80" s="141"/>
      <c r="C80" s="25">
        <f>C79*10</f>
        <v>826.5999999999999</v>
      </c>
      <c r="D80" s="106"/>
      <c r="E80" s="64"/>
    </row>
    <row r="81" spans="1:5" s="7" customFormat="1" ht="15.75">
      <c r="A81" s="26"/>
      <c r="B81" s="26"/>
      <c r="C81" s="26">
        <f>C80*5</f>
        <v>4133</v>
      </c>
      <c r="D81" s="26"/>
      <c r="E81" s="26"/>
    </row>
    <row r="82" spans="1:5" s="7" customFormat="1" ht="15.75">
      <c r="A82" s="26" t="s">
        <v>57</v>
      </c>
      <c r="B82" s="26"/>
      <c r="C82" s="26"/>
      <c r="D82" s="26"/>
      <c r="E82" s="26"/>
    </row>
    <row r="83" spans="1:5" s="7" customFormat="1" ht="15.75">
      <c r="A83" s="26"/>
      <c r="B83" s="26"/>
      <c r="C83" s="26"/>
      <c r="D83" s="26"/>
      <c r="E83" s="26"/>
    </row>
    <row r="84" spans="1:5" s="7" customFormat="1" ht="15.75">
      <c r="A84" s="26" t="s">
        <v>78</v>
      </c>
      <c r="B84" s="27"/>
      <c r="C84" s="27"/>
      <c r="D84" s="27"/>
      <c r="E84" s="27"/>
    </row>
    <row r="85" spans="1:5" s="7" customFormat="1" ht="13.5" customHeight="1">
      <c r="A85" s="26"/>
      <c r="B85" s="28"/>
      <c r="C85" s="28"/>
      <c r="D85" s="28"/>
      <c r="E85" s="26"/>
    </row>
    <row r="86" spans="2:4" s="7" customFormat="1" ht="13.5" customHeight="1">
      <c r="B86" s="8"/>
      <c r="C86" s="8"/>
      <c r="D86" s="8"/>
    </row>
    <row r="87" s="3" customFormat="1" ht="14.25"/>
  </sheetData>
  <sheetProtection/>
  <mergeCells count="9">
    <mergeCell ref="A77:B77"/>
    <mergeCell ref="A79:B79"/>
    <mergeCell ref="A80:B80"/>
    <mergeCell ref="A6:E6"/>
    <mergeCell ref="A7:B7"/>
    <mergeCell ref="A8:B8"/>
    <mergeCell ref="B11:E11"/>
    <mergeCell ref="B12:E12"/>
    <mergeCell ref="A76:B76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1.57421875" style="3" customWidth="1"/>
    <col min="2" max="2" width="94.57421875" style="3" customWidth="1"/>
    <col min="3" max="4" width="22.140625" style="3" hidden="1" customWidth="1"/>
    <col min="5" max="5" width="32.140625" style="3" customWidth="1"/>
  </cols>
  <sheetData>
    <row r="1" spans="1:5" ht="15.75">
      <c r="A1" s="9"/>
      <c r="B1" s="148" t="s">
        <v>53</v>
      </c>
      <c r="C1" s="148"/>
      <c r="D1" s="148"/>
      <c r="E1" s="143"/>
    </row>
    <row r="2" spans="1:5" ht="15.75">
      <c r="A2" s="9"/>
      <c r="B2" s="149" t="s">
        <v>58</v>
      </c>
      <c r="C2" s="149"/>
      <c r="D2" s="149"/>
      <c r="E2" s="150"/>
    </row>
    <row r="3" spans="1:5" ht="15.75">
      <c r="A3" s="9"/>
      <c r="B3" s="19"/>
      <c r="C3" s="19"/>
      <c r="D3" s="19"/>
      <c r="E3" s="120" t="s">
        <v>196</v>
      </c>
    </row>
    <row r="4" spans="1:5" ht="15.75">
      <c r="A4" s="9"/>
      <c r="B4" s="19"/>
      <c r="C4" s="19"/>
      <c r="D4" s="19"/>
      <c r="E4" s="46"/>
    </row>
    <row r="5" spans="1:5" ht="15.75">
      <c r="A5" s="9"/>
      <c r="B5" s="24"/>
      <c r="C5" s="24"/>
      <c r="D5" s="24"/>
      <c r="E5" s="46" t="str">
        <f>'4.3.1.7.'!E5</f>
        <v>2019. gada 15. martā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05"/>
      <c r="B10" s="18" t="s">
        <v>102</v>
      </c>
      <c r="C10" s="18"/>
      <c r="D10" s="18"/>
      <c r="E10" s="23"/>
    </row>
    <row r="11" spans="1:5" ht="15.75">
      <c r="A11" s="105"/>
      <c r="B11" s="142" t="s">
        <v>103</v>
      </c>
      <c r="C11" s="142"/>
      <c r="D11" s="142"/>
      <c r="E11" s="143"/>
    </row>
    <row r="12" spans="1:5" ht="15.75">
      <c r="A12" s="18"/>
      <c r="B12" s="142" t="s">
        <v>183</v>
      </c>
      <c r="C12" s="142"/>
      <c r="D12" s="142"/>
      <c r="E12" s="143"/>
    </row>
    <row r="13" spans="1:5" ht="15.75">
      <c r="A13" s="18" t="s">
        <v>2</v>
      </c>
      <c r="B13" s="18" t="str">
        <f>'4.3.1.7.'!B13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v>530.7</v>
      </c>
      <c r="D17" s="37">
        <f>5286.08+30*24.79</f>
        <v>6029.78</v>
      </c>
      <c r="E17" s="37">
        <v>1083.17</v>
      </c>
    </row>
    <row r="18" spans="1:5" ht="31.5">
      <c r="A18" s="36">
        <v>1200</v>
      </c>
      <c r="B18" s="38" t="s">
        <v>92</v>
      </c>
      <c r="C18" s="37">
        <v>125.25</v>
      </c>
      <c r="D18" s="37">
        <f>1273.42+30*5.97</f>
        <v>1452.52</v>
      </c>
      <c r="E18" s="37">
        <v>260.94</v>
      </c>
    </row>
    <row r="19" spans="1:5" ht="15.75">
      <c r="A19" s="36">
        <v>2222</v>
      </c>
      <c r="B19" s="38" t="s">
        <v>43</v>
      </c>
      <c r="C19" s="37">
        <v>38.38</v>
      </c>
      <c r="D19" s="37">
        <f aca="true" t="shared" si="0" ref="D19:D27">C19*10</f>
        <v>383.8</v>
      </c>
      <c r="E19" s="37">
        <f aca="true" t="shared" si="1" ref="E19:E27">D19/30*4</f>
        <v>51.17333333333333</v>
      </c>
    </row>
    <row r="20" spans="1:5" ht="15.75">
      <c r="A20" s="36">
        <v>2223</v>
      </c>
      <c r="B20" s="38" t="s">
        <v>44</v>
      </c>
      <c r="C20" s="37">
        <v>45.73</v>
      </c>
      <c r="D20" s="37">
        <f t="shared" si="0"/>
        <v>457.29999999999995</v>
      </c>
      <c r="E20" s="37">
        <f t="shared" si="1"/>
        <v>60.97333333333333</v>
      </c>
    </row>
    <row r="21" spans="1:5" ht="15.75">
      <c r="A21" s="36">
        <v>2243</v>
      </c>
      <c r="B21" s="38" t="s">
        <v>15</v>
      </c>
      <c r="C21" s="37">
        <v>9.79</v>
      </c>
      <c r="D21" s="37">
        <f t="shared" si="0"/>
        <v>97.89999999999999</v>
      </c>
      <c r="E21" s="37">
        <f t="shared" si="1"/>
        <v>13.053333333333333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 t="shared" si="1"/>
        <v>0</v>
      </c>
    </row>
    <row r="23" spans="1:5" ht="15.75">
      <c r="A23" s="36">
        <v>2321</v>
      </c>
      <c r="B23" s="38" t="s">
        <v>25</v>
      </c>
      <c r="C23" s="37">
        <v>53.91</v>
      </c>
      <c r="D23" s="37">
        <f t="shared" si="0"/>
        <v>539.0999999999999</v>
      </c>
      <c r="E23" s="37">
        <f t="shared" si="1"/>
        <v>71.87999999999998</v>
      </c>
    </row>
    <row r="24" spans="1:5" ht="15.75">
      <c r="A24" s="36">
        <v>2341</v>
      </c>
      <c r="B24" s="38" t="s">
        <v>27</v>
      </c>
      <c r="C24" s="37">
        <v>77.94</v>
      </c>
      <c r="D24" s="37">
        <f t="shared" si="0"/>
        <v>779.4</v>
      </c>
      <c r="E24" s="37">
        <f t="shared" si="1"/>
        <v>103.92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 t="shared" si="1"/>
        <v>0</v>
      </c>
    </row>
    <row r="26" spans="1:5" ht="15.75">
      <c r="A26" s="36">
        <v>2363</v>
      </c>
      <c r="B26" s="38" t="s">
        <v>32</v>
      </c>
      <c r="C26" s="37">
        <v>221.4</v>
      </c>
      <c r="D26" s="37">
        <f t="shared" si="0"/>
        <v>2214</v>
      </c>
      <c r="E26" s="37">
        <v>324.8</v>
      </c>
    </row>
    <row r="27" spans="1:5" ht="15.75">
      <c r="A27" s="36">
        <v>5232</v>
      </c>
      <c r="B27" s="38" t="s">
        <v>37</v>
      </c>
      <c r="C27" s="37">
        <v>44.27</v>
      </c>
      <c r="D27" s="37">
        <f t="shared" si="0"/>
        <v>442.70000000000005</v>
      </c>
      <c r="E27" s="37">
        <f t="shared" si="1"/>
        <v>59.02666666666667</v>
      </c>
    </row>
    <row r="28" spans="1:5" ht="15.75">
      <c r="A28" s="36"/>
      <c r="B28" s="39" t="s">
        <v>7</v>
      </c>
      <c r="C28" s="40">
        <f>SUM(C17:C27)</f>
        <v>1147.3700000000001</v>
      </c>
      <c r="D28" s="40">
        <f>SUM(D17:D27)</f>
        <v>12396.5</v>
      </c>
      <c r="E28" s="40">
        <f>SUM(E17:E27)</f>
        <v>2028.9366666666667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347.4</v>
      </c>
      <c r="D30" s="37">
        <v>3459.99</v>
      </c>
      <c r="E30" s="37">
        <f aca="true" t="shared" si="2" ref="E30:E72">D30/30*4</f>
        <v>461.332</v>
      </c>
    </row>
    <row r="31" spans="1:5" ht="31.5">
      <c r="A31" s="36">
        <v>1200</v>
      </c>
      <c r="B31" s="38" t="s">
        <v>92</v>
      </c>
      <c r="C31" s="37">
        <v>81.95</v>
      </c>
      <c r="D31" s="37">
        <v>833.51</v>
      </c>
      <c r="E31" s="37">
        <f t="shared" si="2"/>
        <v>111.13466666666666</v>
      </c>
    </row>
    <row r="32" spans="1:5" ht="15.75" hidden="1">
      <c r="A32" s="36">
        <v>2100</v>
      </c>
      <c r="B32" s="42" t="s">
        <v>98</v>
      </c>
      <c r="C32" s="37">
        <v>0</v>
      </c>
      <c r="D32" s="37">
        <f aca="true" t="shared" si="3" ref="D32:D72">C32*10</f>
        <v>0</v>
      </c>
      <c r="E32" s="37">
        <f t="shared" si="2"/>
        <v>0</v>
      </c>
    </row>
    <row r="33" spans="1:5" ht="15.75">
      <c r="A33" s="43">
        <v>2210</v>
      </c>
      <c r="B33" s="38" t="s">
        <v>42</v>
      </c>
      <c r="C33" s="37">
        <v>7.31</v>
      </c>
      <c r="D33" s="37">
        <f t="shared" si="3"/>
        <v>73.1</v>
      </c>
      <c r="E33" s="37">
        <f t="shared" si="2"/>
        <v>9.746666666666666</v>
      </c>
    </row>
    <row r="34" spans="1:5" ht="15.75">
      <c r="A34" s="36">
        <v>2222</v>
      </c>
      <c r="B34" s="38" t="s">
        <v>43</v>
      </c>
      <c r="C34" s="37">
        <v>3.42</v>
      </c>
      <c r="D34" s="37">
        <f t="shared" si="3"/>
        <v>34.2</v>
      </c>
      <c r="E34" s="37">
        <f t="shared" si="2"/>
        <v>4.5600000000000005</v>
      </c>
    </row>
    <row r="35" spans="1:5" ht="15.75">
      <c r="A35" s="36">
        <v>2223</v>
      </c>
      <c r="B35" s="38" t="s">
        <v>44</v>
      </c>
      <c r="C35" s="37">
        <v>46.1</v>
      </c>
      <c r="D35" s="37">
        <f t="shared" si="3"/>
        <v>461</v>
      </c>
      <c r="E35" s="37">
        <f t="shared" si="2"/>
        <v>61.46666666666667</v>
      </c>
    </row>
    <row r="36" spans="1:5" ht="15.75">
      <c r="A36" s="36">
        <v>2230</v>
      </c>
      <c r="B36" s="38" t="s">
        <v>45</v>
      </c>
      <c r="C36" s="37">
        <v>5.65</v>
      </c>
      <c r="D36" s="37">
        <f t="shared" si="3"/>
        <v>56.5</v>
      </c>
      <c r="E36" s="37">
        <f t="shared" si="2"/>
        <v>7.533333333333333</v>
      </c>
    </row>
    <row r="37" spans="1:5" ht="15.75">
      <c r="A37" s="36">
        <v>2241</v>
      </c>
      <c r="B37" s="38" t="s">
        <v>13</v>
      </c>
      <c r="C37" s="37">
        <v>0.01</v>
      </c>
      <c r="D37" s="37">
        <f t="shared" si="3"/>
        <v>0.1</v>
      </c>
      <c r="E37" s="37">
        <f t="shared" si="2"/>
        <v>0.013333333333333334</v>
      </c>
    </row>
    <row r="38" spans="1:5" ht="15.75">
      <c r="A38" s="36">
        <v>2242</v>
      </c>
      <c r="B38" s="38" t="s">
        <v>14</v>
      </c>
      <c r="C38" s="37">
        <v>1.68</v>
      </c>
      <c r="D38" s="37">
        <f t="shared" si="3"/>
        <v>16.8</v>
      </c>
      <c r="E38" s="37">
        <f t="shared" si="2"/>
        <v>2.24</v>
      </c>
    </row>
    <row r="39" spans="1:5" ht="15.75">
      <c r="A39" s="36">
        <v>2243</v>
      </c>
      <c r="B39" s="38" t="s">
        <v>15</v>
      </c>
      <c r="C39" s="37">
        <v>5.37</v>
      </c>
      <c r="D39" s="37">
        <f t="shared" si="3"/>
        <v>53.7</v>
      </c>
      <c r="E39" s="37">
        <f t="shared" si="2"/>
        <v>7.16</v>
      </c>
    </row>
    <row r="40" spans="1:5" ht="15.75">
      <c r="A40" s="36">
        <v>2244</v>
      </c>
      <c r="B40" s="38" t="s">
        <v>16</v>
      </c>
      <c r="C40" s="37">
        <v>77.61</v>
      </c>
      <c r="D40" s="37">
        <f t="shared" si="3"/>
        <v>776.1</v>
      </c>
      <c r="E40" s="37">
        <v>187.33</v>
      </c>
    </row>
    <row r="41" spans="1:5" ht="15.75">
      <c r="A41" s="36">
        <v>2247</v>
      </c>
      <c r="B41" s="34" t="s">
        <v>93</v>
      </c>
      <c r="C41" s="37">
        <v>0.45</v>
      </c>
      <c r="D41" s="37">
        <f t="shared" si="3"/>
        <v>4.5</v>
      </c>
      <c r="E41" s="37">
        <f t="shared" si="2"/>
        <v>0.6</v>
      </c>
    </row>
    <row r="42" spans="1:5" ht="15.75">
      <c r="A42" s="36">
        <v>2249</v>
      </c>
      <c r="B42" s="38" t="s">
        <v>17</v>
      </c>
      <c r="C42" s="37">
        <v>1.94</v>
      </c>
      <c r="D42" s="37">
        <f t="shared" si="3"/>
        <v>19.4</v>
      </c>
      <c r="E42" s="37">
        <f t="shared" si="2"/>
        <v>2.5866666666666664</v>
      </c>
    </row>
    <row r="43" spans="1:5" ht="15.75">
      <c r="A43" s="36">
        <v>2251</v>
      </c>
      <c r="B43" s="38" t="s">
        <v>94</v>
      </c>
      <c r="C43" s="37">
        <v>11.36</v>
      </c>
      <c r="D43" s="37">
        <f t="shared" si="3"/>
        <v>113.6</v>
      </c>
      <c r="E43" s="37">
        <f t="shared" si="2"/>
        <v>15.146666666666667</v>
      </c>
    </row>
    <row r="44" spans="1:5" ht="15.75">
      <c r="A44" s="36">
        <v>2252</v>
      </c>
      <c r="B44" s="38" t="s">
        <v>96</v>
      </c>
      <c r="C44" s="37">
        <v>0.24</v>
      </c>
      <c r="D44" s="37">
        <f t="shared" si="3"/>
        <v>2.4</v>
      </c>
      <c r="E44" s="37">
        <f t="shared" si="2"/>
        <v>0.32</v>
      </c>
    </row>
    <row r="45" spans="1:5" ht="15.75">
      <c r="A45" s="36">
        <v>2259</v>
      </c>
      <c r="B45" s="38" t="s">
        <v>95</v>
      </c>
      <c r="C45" s="37">
        <v>0.04</v>
      </c>
      <c r="D45" s="37">
        <f t="shared" si="3"/>
        <v>0.4</v>
      </c>
      <c r="E45" s="37">
        <f t="shared" si="2"/>
        <v>0.05333333333333334</v>
      </c>
    </row>
    <row r="46" spans="1:5" ht="15.75">
      <c r="A46" s="36">
        <v>2261</v>
      </c>
      <c r="B46" s="38" t="s">
        <v>18</v>
      </c>
      <c r="C46" s="37">
        <v>1.38</v>
      </c>
      <c r="D46" s="37">
        <f t="shared" si="3"/>
        <v>13.799999999999999</v>
      </c>
      <c r="E46" s="37">
        <f t="shared" si="2"/>
        <v>1.8399999999999999</v>
      </c>
    </row>
    <row r="47" spans="1:5" ht="15.75">
      <c r="A47" s="36">
        <v>2262</v>
      </c>
      <c r="B47" s="38" t="s">
        <v>19</v>
      </c>
      <c r="C47" s="37">
        <v>4.92</v>
      </c>
      <c r="D47" s="37">
        <f t="shared" si="3"/>
        <v>49.2</v>
      </c>
      <c r="E47" s="37">
        <f t="shared" si="2"/>
        <v>6.5600000000000005</v>
      </c>
    </row>
    <row r="48" spans="1:5" ht="15.75">
      <c r="A48" s="36">
        <v>2263</v>
      </c>
      <c r="B48" s="38" t="s">
        <v>20</v>
      </c>
      <c r="C48" s="37">
        <v>18.16</v>
      </c>
      <c r="D48" s="37">
        <f t="shared" si="3"/>
        <v>181.6</v>
      </c>
      <c r="E48" s="37">
        <f t="shared" si="2"/>
        <v>24.21333333333333</v>
      </c>
    </row>
    <row r="49" spans="1:5" ht="15.75">
      <c r="A49" s="36">
        <v>2264</v>
      </c>
      <c r="B49" s="38" t="s">
        <v>21</v>
      </c>
      <c r="C49" s="37">
        <v>0.09</v>
      </c>
      <c r="D49" s="37">
        <f t="shared" si="3"/>
        <v>0.8999999999999999</v>
      </c>
      <c r="E49" s="37">
        <f t="shared" si="2"/>
        <v>0.11999999999999998</v>
      </c>
    </row>
    <row r="50" spans="1:5" ht="15.75">
      <c r="A50" s="36">
        <v>2279</v>
      </c>
      <c r="B50" s="38" t="s">
        <v>22</v>
      </c>
      <c r="C50" s="37">
        <v>20.29</v>
      </c>
      <c r="D50" s="37">
        <f t="shared" si="3"/>
        <v>202.89999999999998</v>
      </c>
      <c r="E50" s="37">
        <f t="shared" si="2"/>
        <v>27.05333333333333</v>
      </c>
    </row>
    <row r="51" spans="1:5" ht="15.75">
      <c r="A51" s="36">
        <v>2311</v>
      </c>
      <c r="B51" s="38" t="s">
        <v>23</v>
      </c>
      <c r="C51" s="37">
        <v>6.52</v>
      </c>
      <c r="D51" s="37">
        <f t="shared" si="3"/>
        <v>65.19999999999999</v>
      </c>
      <c r="E51" s="37">
        <f t="shared" si="2"/>
        <v>8.693333333333332</v>
      </c>
    </row>
    <row r="52" spans="1:5" ht="15.75">
      <c r="A52" s="36">
        <v>2312</v>
      </c>
      <c r="B52" s="38" t="s">
        <v>24</v>
      </c>
      <c r="C52" s="37">
        <v>3.53</v>
      </c>
      <c r="D52" s="37">
        <f t="shared" si="3"/>
        <v>35.3</v>
      </c>
      <c r="E52" s="37">
        <f t="shared" si="2"/>
        <v>4.706666666666666</v>
      </c>
    </row>
    <row r="53" spans="1:5" ht="15.75">
      <c r="A53" s="36">
        <v>2321</v>
      </c>
      <c r="B53" s="38" t="s">
        <v>25</v>
      </c>
      <c r="C53" s="37">
        <v>75.62</v>
      </c>
      <c r="D53" s="37">
        <f t="shared" si="3"/>
        <v>756.2</v>
      </c>
      <c r="E53" s="37">
        <f t="shared" si="2"/>
        <v>100.82666666666667</v>
      </c>
    </row>
    <row r="54" spans="1:5" ht="15.75">
      <c r="A54" s="36">
        <v>2322</v>
      </c>
      <c r="B54" s="38" t="s">
        <v>26</v>
      </c>
      <c r="C54" s="37">
        <v>13.07</v>
      </c>
      <c r="D54" s="37">
        <f t="shared" si="3"/>
        <v>130.7</v>
      </c>
      <c r="E54" s="37">
        <f t="shared" si="2"/>
        <v>17.426666666666666</v>
      </c>
    </row>
    <row r="55" spans="1:5" ht="15.75">
      <c r="A55" s="36">
        <v>2341</v>
      </c>
      <c r="B55" s="38" t="s">
        <v>27</v>
      </c>
      <c r="C55" s="37">
        <v>1.78</v>
      </c>
      <c r="D55" s="37">
        <f t="shared" si="3"/>
        <v>17.8</v>
      </c>
      <c r="E55" s="37">
        <f t="shared" si="2"/>
        <v>2.3733333333333335</v>
      </c>
    </row>
    <row r="56" spans="1:5" ht="15.75">
      <c r="A56" s="36">
        <v>2344</v>
      </c>
      <c r="B56" s="38" t="s">
        <v>28</v>
      </c>
      <c r="C56" s="37">
        <v>0.03</v>
      </c>
      <c r="D56" s="37">
        <f t="shared" si="3"/>
        <v>0.3</v>
      </c>
      <c r="E56" s="37">
        <f t="shared" si="2"/>
        <v>0.04</v>
      </c>
    </row>
    <row r="57" spans="1:5" ht="15.75">
      <c r="A57" s="36">
        <v>2350</v>
      </c>
      <c r="B57" s="38" t="s">
        <v>29</v>
      </c>
      <c r="C57" s="37">
        <v>24.18</v>
      </c>
      <c r="D57" s="37">
        <f t="shared" si="3"/>
        <v>241.8</v>
      </c>
      <c r="E57" s="37">
        <f t="shared" si="2"/>
        <v>32.24</v>
      </c>
    </row>
    <row r="58" spans="1:5" ht="15.75">
      <c r="A58" s="36">
        <v>2361</v>
      </c>
      <c r="B58" s="38" t="s">
        <v>30</v>
      </c>
      <c r="C58" s="37">
        <v>7.32</v>
      </c>
      <c r="D58" s="37">
        <f t="shared" si="3"/>
        <v>73.2</v>
      </c>
      <c r="E58" s="37">
        <f t="shared" si="2"/>
        <v>9.76</v>
      </c>
    </row>
    <row r="59" spans="1:5" ht="15.75">
      <c r="A59" s="36">
        <v>2362</v>
      </c>
      <c r="B59" s="38" t="s">
        <v>31</v>
      </c>
      <c r="C59" s="37">
        <v>3.88</v>
      </c>
      <c r="D59" s="37">
        <f t="shared" si="3"/>
        <v>38.8</v>
      </c>
      <c r="E59" s="37">
        <f t="shared" si="2"/>
        <v>5.173333333333333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3"/>
        <v>0</v>
      </c>
      <c r="E60" s="37">
        <f t="shared" si="2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3"/>
        <v>0</v>
      </c>
      <c r="E61" s="37">
        <f t="shared" si="2"/>
        <v>0</v>
      </c>
    </row>
    <row r="62" spans="1:5" ht="15.75">
      <c r="A62" s="36">
        <v>2400</v>
      </c>
      <c r="B62" s="38" t="s">
        <v>47</v>
      </c>
      <c r="C62" s="37">
        <v>0.79</v>
      </c>
      <c r="D62" s="37">
        <f t="shared" si="3"/>
        <v>7.9</v>
      </c>
      <c r="E62" s="37">
        <f t="shared" si="2"/>
        <v>1.0533333333333335</v>
      </c>
    </row>
    <row r="63" spans="1:5" ht="15.75">
      <c r="A63" s="36">
        <v>2513</v>
      </c>
      <c r="B63" s="38" t="s">
        <v>35</v>
      </c>
      <c r="C63" s="37">
        <v>12.3</v>
      </c>
      <c r="D63" s="37">
        <f t="shared" si="3"/>
        <v>123</v>
      </c>
      <c r="E63" s="37">
        <f t="shared" si="2"/>
        <v>16.4</v>
      </c>
    </row>
    <row r="64" spans="1:5" ht="15.75">
      <c r="A64" s="36">
        <v>2515</v>
      </c>
      <c r="B64" s="38" t="s">
        <v>97</v>
      </c>
      <c r="C64" s="37">
        <v>0.55</v>
      </c>
      <c r="D64" s="37">
        <f t="shared" si="3"/>
        <v>5.5</v>
      </c>
      <c r="E64" s="37">
        <f t="shared" si="2"/>
        <v>0.7333333333333333</v>
      </c>
    </row>
    <row r="65" spans="1:5" ht="15.75">
      <c r="A65" s="36">
        <v>2519</v>
      </c>
      <c r="B65" s="38" t="s">
        <v>38</v>
      </c>
      <c r="C65" s="37">
        <v>2.87</v>
      </c>
      <c r="D65" s="37">
        <f t="shared" si="3"/>
        <v>28.700000000000003</v>
      </c>
      <c r="E65" s="37">
        <f t="shared" si="2"/>
        <v>3.826666666666667</v>
      </c>
    </row>
    <row r="66" spans="1:5" ht="15.75" hidden="1">
      <c r="A66" s="36">
        <v>6240</v>
      </c>
      <c r="B66" s="38" t="s">
        <v>99</v>
      </c>
      <c r="C66" s="37">
        <v>0</v>
      </c>
      <c r="D66" s="37">
        <f t="shared" si="3"/>
        <v>0</v>
      </c>
      <c r="E66" s="37">
        <f t="shared" si="2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3"/>
        <v>0</v>
      </c>
      <c r="E67" s="37">
        <f t="shared" si="2"/>
        <v>0</v>
      </c>
    </row>
    <row r="68" spans="1:5" ht="15.75">
      <c r="A68" s="36">
        <v>5121</v>
      </c>
      <c r="B68" s="38" t="s">
        <v>36</v>
      </c>
      <c r="C68" s="37">
        <v>2.32</v>
      </c>
      <c r="D68" s="37">
        <f t="shared" si="3"/>
        <v>23.2</v>
      </c>
      <c r="E68" s="37">
        <f t="shared" si="2"/>
        <v>3.0933333333333333</v>
      </c>
    </row>
    <row r="69" spans="1:5" ht="15.75">
      <c r="A69" s="36">
        <v>5232</v>
      </c>
      <c r="B69" s="38" t="s">
        <v>37</v>
      </c>
      <c r="C69" s="37">
        <v>15.3</v>
      </c>
      <c r="D69" s="37">
        <f t="shared" si="3"/>
        <v>153</v>
      </c>
      <c r="E69" s="37">
        <f t="shared" si="2"/>
        <v>20.4</v>
      </c>
    </row>
    <row r="70" spans="1:5" ht="15.75">
      <c r="A70" s="36">
        <v>5238</v>
      </c>
      <c r="B70" s="38" t="s">
        <v>39</v>
      </c>
      <c r="C70" s="37">
        <v>25.73</v>
      </c>
      <c r="D70" s="37">
        <f t="shared" si="3"/>
        <v>257.3</v>
      </c>
      <c r="E70" s="37">
        <f t="shared" si="2"/>
        <v>34.306666666666665</v>
      </c>
    </row>
    <row r="71" spans="1:5" ht="15.75" hidden="1">
      <c r="A71" s="36">
        <v>5240</v>
      </c>
      <c r="B71" s="38" t="s">
        <v>40</v>
      </c>
      <c r="C71" s="37">
        <v>0</v>
      </c>
      <c r="D71" s="37">
        <f t="shared" si="3"/>
        <v>0</v>
      </c>
      <c r="E71" s="37">
        <f t="shared" si="2"/>
        <v>0</v>
      </c>
    </row>
    <row r="72" spans="1:5" ht="15.75">
      <c r="A72" s="36">
        <v>5250</v>
      </c>
      <c r="B72" s="38" t="s">
        <v>41</v>
      </c>
      <c r="C72" s="37">
        <v>81.27</v>
      </c>
      <c r="D72" s="37">
        <f t="shared" si="3"/>
        <v>812.6999999999999</v>
      </c>
      <c r="E72" s="37">
        <f t="shared" si="2"/>
        <v>108.35999999999999</v>
      </c>
    </row>
    <row r="73" spans="1:5" ht="15.75">
      <c r="A73" s="41"/>
      <c r="B73" s="45" t="s">
        <v>9</v>
      </c>
      <c r="C73" s="40">
        <f>SUM(C30:C72)</f>
        <v>912.4299999999998</v>
      </c>
      <c r="D73" s="40">
        <f>SUM(D30:D72)</f>
        <v>9124.3</v>
      </c>
      <c r="E73" s="40">
        <f>SUM(E30:E72)</f>
        <v>1300.4233333333332</v>
      </c>
    </row>
    <row r="74" spans="1:5" ht="15.75">
      <c r="A74" s="41"/>
      <c r="B74" s="45" t="s">
        <v>48</v>
      </c>
      <c r="C74" s="40">
        <f>C73+C28</f>
        <v>2059.8</v>
      </c>
      <c r="D74" s="40">
        <f>D73+D28</f>
        <v>21520.8</v>
      </c>
      <c r="E74" s="40">
        <f>E73+E28</f>
        <v>3329.3599999999997</v>
      </c>
    </row>
    <row r="75" spans="1:5" ht="15.75">
      <c r="A75" s="46"/>
      <c r="B75" s="29"/>
      <c r="C75" s="14"/>
      <c r="D75" s="14"/>
      <c r="E75" s="14"/>
    </row>
    <row r="76" spans="1:5" ht="15.75">
      <c r="A76" s="142" t="s">
        <v>63</v>
      </c>
      <c r="B76" s="142"/>
      <c r="C76" s="30">
        <v>30</v>
      </c>
      <c r="D76" s="30">
        <v>30</v>
      </c>
      <c r="E76" s="116">
        <v>4</v>
      </c>
    </row>
    <row r="77" spans="1:5" ht="15.75">
      <c r="A77" s="142" t="s">
        <v>64</v>
      </c>
      <c r="B77" s="142"/>
      <c r="C77" s="48">
        <f>C74/C76</f>
        <v>68.66000000000001</v>
      </c>
      <c r="D77" s="48">
        <f>D74/D76</f>
        <v>717.36</v>
      </c>
      <c r="E77" s="117">
        <f>E74/E76</f>
        <v>832.3399999999999</v>
      </c>
    </row>
    <row r="78" spans="1:5" ht="15.75">
      <c r="A78" s="18"/>
      <c r="B78" s="18"/>
      <c r="C78" s="47"/>
      <c r="D78" s="47"/>
      <c r="E78" s="47"/>
    </row>
    <row r="79" spans="1:5" ht="15.75">
      <c r="A79" s="146" t="s">
        <v>56</v>
      </c>
      <c r="B79" s="147"/>
      <c r="C79" s="25">
        <v>68.66</v>
      </c>
      <c r="D79" s="25">
        <v>686.6</v>
      </c>
      <c r="E79" s="50"/>
    </row>
    <row r="80" spans="1:5" ht="15.75">
      <c r="A80" s="146" t="s">
        <v>85</v>
      </c>
      <c r="B80" s="147"/>
      <c r="C80" s="25">
        <f>C79*10</f>
        <v>686.5999999999999</v>
      </c>
      <c r="D80" s="25"/>
      <c r="E80" s="50"/>
    </row>
    <row r="81" spans="1:5" ht="15.75">
      <c r="A81" s="26"/>
      <c r="B81" s="26"/>
      <c r="C81" s="26">
        <f>C80*5</f>
        <v>3432.9999999999995</v>
      </c>
      <c r="D81" s="26"/>
      <c r="E81" s="26"/>
    </row>
    <row r="82" spans="1:5" ht="15.75">
      <c r="A82" s="26" t="s">
        <v>57</v>
      </c>
      <c r="B82" s="26"/>
      <c r="C82" s="26"/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 t="s">
        <v>186</v>
      </c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11">
    <mergeCell ref="B11:E11"/>
    <mergeCell ref="B12:E12"/>
    <mergeCell ref="A76:B76"/>
    <mergeCell ref="A77:B77"/>
    <mergeCell ref="A79:B79"/>
    <mergeCell ref="A80:B80"/>
    <mergeCell ref="B1:E1"/>
    <mergeCell ref="B2:E2"/>
    <mergeCell ref="A6:E6"/>
    <mergeCell ref="A7:B7"/>
    <mergeCell ref="A8:B8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1.8515625" style="3" customWidth="1"/>
    <col min="2" max="2" width="94.57421875" style="3" customWidth="1"/>
    <col min="3" max="4" width="30.8515625" style="3" hidden="1" customWidth="1"/>
    <col min="5" max="5" width="31.8515625" style="3" customWidth="1"/>
  </cols>
  <sheetData>
    <row r="1" spans="1:5" ht="15.75">
      <c r="A1" s="9"/>
      <c r="B1" s="66"/>
      <c r="C1" s="66"/>
      <c r="D1" s="66"/>
      <c r="E1" s="46" t="s">
        <v>53</v>
      </c>
    </row>
    <row r="2" spans="1:5" ht="15.75">
      <c r="A2" s="9"/>
      <c r="B2" s="66"/>
      <c r="C2" s="66"/>
      <c r="D2" s="66"/>
      <c r="E2" s="46" t="s">
        <v>58</v>
      </c>
    </row>
    <row r="3" spans="1:5" ht="15.75">
      <c r="A3" s="9"/>
      <c r="B3" s="66"/>
      <c r="C3" s="66"/>
      <c r="D3" s="66"/>
      <c r="E3" s="120" t="s">
        <v>196</v>
      </c>
    </row>
    <row r="4" spans="1:5" ht="15.75">
      <c r="A4" s="9"/>
      <c r="B4" s="66"/>
      <c r="C4" s="66"/>
      <c r="D4" s="66"/>
      <c r="E4" s="46"/>
    </row>
    <row r="5" spans="1:5" ht="15.75">
      <c r="A5" s="9"/>
      <c r="B5" s="1"/>
      <c r="C5" s="1"/>
      <c r="D5" s="1"/>
      <c r="E5" s="46" t="str">
        <f>'4.3.1.8.'!E5</f>
        <v>2019. gada 15. martā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8" customHeight="1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158</v>
      </c>
      <c r="C12" s="142"/>
      <c r="D12" s="142"/>
      <c r="E12" s="143"/>
    </row>
    <row r="13" spans="1:5" ht="15.75">
      <c r="A13" s="18" t="s">
        <v>2</v>
      </c>
      <c r="B13" s="18" t="str">
        <f>'4.3.1.8.'!B13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v>596.91</v>
      </c>
      <c r="D17" s="37">
        <f>1783.51+11.57*30</f>
        <v>2130.61</v>
      </c>
      <c r="E17" s="37">
        <v>413.75</v>
      </c>
    </row>
    <row r="18" spans="1:5" ht="31.5">
      <c r="A18" s="36">
        <v>1200</v>
      </c>
      <c r="B18" s="38" t="s">
        <v>92</v>
      </c>
      <c r="C18" s="37">
        <v>140.81</v>
      </c>
      <c r="D18" s="37">
        <f>429.65+2.79*30</f>
        <v>513.35</v>
      </c>
      <c r="E18" s="37">
        <v>99.67</v>
      </c>
    </row>
    <row r="19" spans="1:5" ht="15.75">
      <c r="A19" s="36">
        <v>2222</v>
      </c>
      <c r="B19" s="38" t="s">
        <v>43</v>
      </c>
      <c r="C19" s="37">
        <v>54.6</v>
      </c>
      <c r="D19" s="37">
        <f aca="true" t="shared" si="0" ref="D19:D27">C19*3</f>
        <v>163.8</v>
      </c>
      <c r="E19" s="37">
        <v>27.3</v>
      </c>
    </row>
    <row r="20" spans="1:5" ht="15.75">
      <c r="A20" s="36">
        <v>2223</v>
      </c>
      <c r="B20" s="38" t="s">
        <v>44</v>
      </c>
      <c r="C20" s="37">
        <v>49.51</v>
      </c>
      <c r="D20" s="37">
        <f t="shared" si="0"/>
        <v>148.53</v>
      </c>
      <c r="E20" s="37">
        <v>24.76</v>
      </c>
    </row>
    <row r="21" spans="1:5" ht="15.75">
      <c r="A21" s="36">
        <v>2243</v>
      </c>
      <c r="B21" s="38" t="s">
        <v>15</v>
      </c>
      <c r="C21" s="37">
        <v>11.07</v>
      </c>
      <c r="D21" s="37">
        <f t="shared" si="0"/>
        <v>33.21</v>
      </c>
      <c r="E21" s="37">
        <v>5.54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>D22/6</f>
        <v>0</v>
      </c>
    </row>
    <row r="23" spans="1:5" ht="15.75">
      <c r="A23" s="36">
        <v>2321</v>
      </c>
      <c r="B23" s="38" t="s">
        <v>25</v>
      </c>
      <c r="C23" s="37">
        <v>59.28</v>
      </c>
      <c r="D23" s="37">
        <f t="shared" si="0"/>
        <v>177.84</v>
      </c>
      <c r="E23" s="37">
        <v>29.64</v>
      </c>
    </row>
    <row r="24" spans="1:5" ht="15.75">
      <c r="A24" s="36">
        <v>2341</v>
      </c>
      <c r="B24" s="38" t="s">
        <v>27</v>
      </c>
      <c r="C24" s="37">
        <v>88.2</v>
      </c>
      <c r="D24" s="37">
        <f t="shared" si="0"/>
        <v>264.6</v>
      </c>
      <c r="E24" s="37">
        <v>44.1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>D25/6</f>
        <v>0</v>
      </c>
    </row>
    <row r="26" spans="1:5" ht="15.75">
      <c r="A26" s="36">
        <v>2363</v>
      </c>
      <c r="B26" s="38" t="s">
        <v>32</v>
      </c>
      <c r="C26" s="37">
        <v>221.4</v>
      </c>
      <c r="D26" s="37">
        <f t="shared" si="0"/>
        <v>664.2</v>
      </c>
      <c r="E26" s="37">
        <v>121.8</v>
      </c>
    </row>
    <row r="27" spans="1:5" ht="15.75">
      <c r="A27" s="36">
        <v>5232</v>
      </c>
      <c r="B27" s="38" t="s">
        <v>37</v>
      </c>
      <c r="C27" s="37">
        <v>48.83</v>
      </c>
      <c r="D27" s="37">
        <f t="shared" si="0"/>
        <v>146.49</v>
      </c>
      <c r="E27" s="37">
        <v>24.42</v>
      </c>
    </row>
    <row r="28" spans="1:5" ht="15.75">
      <c r="A28" s="36"/>
      <c r="B28" s="39" t="s">
        <v>7</v>
      </c>
      <c r="C28" s="40">
        <f>SUM(C17:C27)</f>
        <v>1270.6100000000001</v>
      </c>
      <c r="D28" s="40">
        <f>SUM(D17:D27)</f>
        <v>4242.63</v>
      </c>
      <c r="E28" s="40">
        <f>SUM(E17:E27)</f>
        <v>790.9799999999998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390.79</v>
      </c>
      <c r="D30" s="37">
        <v>1167.65</v>
      </c>
      <c r="E30" s="37">
        <f aca="true" t="shared" si="1" ref="E30:E72">D30/6</f>
        <v>194.60833333333335</v>
      </c>
    </row>
    <row r="31" spans="1:5" ht="31.5">
      <c r="A31" s="36">
        <v>1200</v>
      </c>
      <c r="B31" s="38" t="s">
        <v>92</v>
      </c>
      <c r="C31" s="37">
        <v>92.19</v>
      </c>
      <c r="D31" s="37">
        <v>281.29</v>
      </c>
      <c r="E31" s="37">
        <f t="shared" si="1"/>
        <v>46.88166666666667</v>
      </c>
    </row>
    <row r="32" spans="1:5" ht="15.75" hidden="1">
      <c r="A32" s="36">
        <v>2100</v>
      </c>
      <c r="B32" s="42" t="s">
        <v>46</v>
      </c>
      <c r="C32" s="37">
        <v>0</v>
      </c>
      <c r="D32" s="37">
        <f aca="true" t="shared" si="2" ref="D32:D72">C32*3</f>
        <v>0</v>
      </c>
      <c r="E32" s="37">
        <f t="shared" si="1"/>
        <v>0</v>
      </c>
    </row>
    <row r="33" spans="1:5" ht="15.75">
      <c r="A33" s="43">
        <v>2210</v>
      </c>
      <c r="B33" s="38" t="s">
        <v>42</v>
      </c>
      <c r="C33" s="37">
        <v>8.27</v>
      </c>
      <c r="D33" s="37">
        <f t="shared" si="2"/>
        <v>24.81</v>
      </c>
      <c r="E33" s="37">
        <f t="shared" si="1"/>
        <v>4.135</v>
      </c>
    </row>
    <row r="34" spans="1:5" ht="15.75">
      <c r="A34" s="36">
        <v>2222</v>
      </c>
      <c r="B34" s="38" t="s">
        <v>43</v>
      </c>
      <c r="C34" s="37">
        <v>58.47</v>
      </c>
      <c r="D34" s="37">
        <f t="shared" si="2"/>
        <v>175.41</v>
      </c>
      <c r="E34" s="37">
        <v>29.24</v>
      </c>
    </row>
    <row r="35" spans="1:5" ht="15.75">
      <c r="A35" s="36">
        <v>2223</v>
      </c>
      <c r="B35" s="38" t="s">
        <v>44</v>
      </c>
      <c r="C35" s="37">
        <v>52.11</v>
      </c>
      <c r="D35" s="37">
        <f t="shared" si="2"/>
        <v>156.32999999999998</v>
      </c>
      <c r="E35" s="37">
        <v>26.06</v>
      </c>
    </row>
    <row r="36" spans="1:5" ht="15.75">
      <c r="A36" s="36">
        <v>2230</v>
      </c>
      <c r="B36" s="38" t="s">
        <v>45</v>
      </c>
      <c r="C36" s="37">
        <v>6.38</v>
      </c>
      <c r="D36" s="37">
        <f t="shared" si="2"/>
        <v>19.14</v>
      </c>
      <c r="E36" s="37">
        <f t="shared" si="1"/>
        <v>3.19</v>
      </c>
    </row>
    <row r="37" spans="1:5" ht="15.75" hidden="1">
      <c r="A37" s="36">
        <v>2241</v>
      </c>
      <c r="B37" s="38" t="s">
        <v>13</v>
      </c>
      <c r="C37" s="37"/>
      <c r="D37" s="37">
        <f t="shared" si="2"/>
        <v>0</v>
      </c>
      <c r="E37" s="37">
        <f t="shared" si="1"/>
        <v>0</v>
      </c>
    </row>
    <row r="38" spans="1:5" ht="15.75">
      <c r="A38" s="36">
        <v>2242</v>
      </c>
      <c r="B38" s="38" t="s">
        <v>14</v>
      </c>
      <c r="C38" s="37">
        <v>1.9</v>
      </c>
      <c r="D38" s="37">
        <f t="shared" si="2"/>
        <v>5.699999999999999</v>
      </c>
      <c r="E38" s="37">
        <f t="shared" si="1"/>
        <v>0.9499999999999998</v>
      </c>
    </row>
    <row r="39" spans="1:5" ht="15.75">
      <c r="A39" s="36">
        <v>2243</v>
      </c>
      <c r="B39" s="38" t="s">
        <v>15</v>
      </c>
      <c r="C39" s="37">
        <v>6.07</v>
      </c>
      <c r="D39" s="37">
        <f t="shared" si="2"/>
        <v>18.21</v>
      </c>
      <c r="E39" s="37">
        <f t="shared" si="1"/>
        <v>3.035</v>
      </c>
    </row>
    <row r="40" spans="1:5" ht="15.75">
      <c r="A40" s="36">
        <v>2244</v>
      </c>
      <c r="B40" s="38" t="s">
        <v>16</v>
      </c>
      <c r="C40" s="37">
        <v>117.22</v>
      </c>
      <c r="D40" s="37">
        <f t="shared" si="2"/>
        <v>351.65999999999997</v>
      </c>
      <c r="E40" s="37">
        <v>145.22</v>
      </c>
    </row>
    <row r="41" spans="1:5" ht="15.75">
      <c r="A41" s="36">
        <v>2247</v>
      </c>
      <c r="B41" s="34" t="s">
        <v>93</v>
      </c>
      <c r="C41" s="37">
        <v>0.51</v>
      </c>
      <c r="D41" s="37">
        <f t="shared" si="2"/>
        <v>1.53</v>
      </c>
      <c r="E41" s="37">
        <f t="shared" si="1"/>
        <v>0.255</v>
      </c>
    </row>
    <row r="42" spans="1:5" ht="15.75">
      <c r="A42" s="36">
        <v>2249</v>
      </c>
      <c r="B42" s="38" t="s">
        <v>17</v>
      </c>
      <c r="C42" s="37">
        <v>2.19</v>
      </c>
      <c r="D42" s="37">
        <f t="shared" si="2"/>
        <v>6.57</v>
      </c>
      <c r="E42" s="37">
        <f t="shared" si="1"/>
        <v>1.095</v>
      </c>
    </row>
    <row r="43" spans="1:5" ht="15.75">
      <c r="A43" s="36">
        <v>2251</v>
      </c>
      <c r="B43" s="38" t="s">
        <v>94</v>
      </c>
      <c r="C43" s="37">
        <v>32.36</v>
      </c>
      <c r="D43" s="37">
        <f t="shared" si="2"/>
        <v>97.08</v>
      </c>
      <c r="E43" s="37">
        <f t="shared" si="1"/>
        <v>16.18</v>
      </c>
    </row>
    <row r="44" spans="1:5" ht="15.75">
      <c r="A44" s="36">
        <v>2252</v>
      </c>
      <c r="B44" s="38" t="s">
        <v>96</v>
      </c>
      <c r="C44" s="37">
        <v>0.27</v>
      </c>
      <c r="D44" s="37">
        <f t="shared" si="2"/>
        <v>0.81</v>
      </c>
      <c r="E44" s="37">
        <f t="shared" si="1"/>
        <v>0.135</v>
      </c>
    </row>
    <row r="45" spans="1:5" ht="15.75">
      <c r="A45" s="36">
        <v>2259</v>
      </c>
      <c r="B45" s="38" t="s">
        <v>95</v>
      </c>
      <c r="C45" s="37">
        <v>0.04</v>
      </c>
      <c r="D45" s="37">
        <f t="shared" si="2"/>
        <v>0.12</v>
      </c>
      <c r="E45" s="37">
        <f t="shared" si="1"/>
        <v>0.02</v>
      </c>
    </row>
    <row r="46" spans="1:5" ht="15.75" hidden="1">
      <c r="A46" s="36">
        <v>2261</v>
      </c>
      <c r="B46" s="38" t="s">
        <v>18</v>
      </c>
      <c r="C46" s="37"/>
      <c r="D46" s="37">
        <f t="shared" si="2"/>
        <v>0</v>
      </c>
      <c r="E46" s="37">
        <f t="shared" si="1"/>
        <v>0</v>
      </c>
    </row>
    <row r="47" spans="1:5" ht="15.75">
      <c r="A47" s="36">
        <v>2262</v>
      </c>
      <c r="B47" s="38" t="s">
        <v>19</v>
      </c>
      <c r="C47" s="37">
        <v>5.57</v>
      </c>
      <c r="D47" s="37">
        <f t="shared" si="2"/>
        <v>16.71</v>
      </c>
      <c r="E47" s="37">
        <f t="shared" si="1"/>
        <v>2.785</v>
      </c>
    </row>
    <row r="48" spans="1:5" ht="15.75">
      <c r="A48" s="36">
        <v>2263</v>
      </c>
      <c r="B48" s="38" t="s">
        <v>20</v>
      </c>
      <c r="C48" s="37">
        <v>20.53</v>
      </c>
      <c r="D48" s="37">
        <f t="shared" si="2"/>
        <v>61.59</v>
      </c>
      <c r="E48" s="37">
        <f t="shared" si="1"/>
        <v>10.265</v>
      </c>
    </row>
    <row r="49" spans="1:5" ht="15.75">
      <c r="A49" s="36">
        <v>2264</v>
      </c>
      <c r="B49" s="38" t="s">
        <v>21</v>
      </c>
      <c r="C49" s="37">
        <v>0.1</v>
      </c>
      <c r="D49" s="37">
        <f t="shared" si="2"/>
        <v>0.30000000000000004</v>
      </c>
      <c r="E49" s="37">
        <f t="shared" si="1"/>
        <v>0.05000000000000001</v>
      </c>
    </row>
    <row r="50" spans="1:5" ht="15.75">
      <c r="A50" s="36">
        <v>2279</v>
      </c>
      <c r="B50" s="38" t="s">
        <v>22</v>
      </c>
      <c r="C50" s="37">
        <v>22.93</v>
      </c>
      <c r="D50" s="37">
        <f t="shared" si="2"/>
        <v>68.78999999999999</v>
      </c>
      <c r="E50" s="37">
        <f t="shared" si="1"/>
        <v>11.464999999999998</v>
      </c>
    </row>
    <row r="51" spans="1:5" ht="15.75">
      <c r="A51" s="36">
        <v>2311</v>
      </c>
      <c r="B51" s="38" t="s">
        <v>23</v>
      </c>
      <c r="C51" s="37">
        <v>10.66</v>
      </c>
      <c r="D51" s="37">
        <f t="shared" si="2"/>
        <v>31.98</v>
      </c>
      <c r="E51" s="37">
        <f t="shared" si="1"/>
        <v>5.33</v>
      </c>
    </row>
    <row r="52" spans="1:5" ht="15.75">
      <c r="A52" s="36">
        <v>2312</v>
      </c>
      <c r="B52" s="38" t="s">
        <v>24</v>
      </c>
      <c r="C52" s="37">
        <v>3.99</v>
      </c>
      <c r="D52" s="37">
        <f t="shared" si="2"/>
        <v>11.97</v>
      </c>
      <c r="E52" s="37">
        <f t="shared" si="1"/>
        <v>1.995</v>
      </c>
    </row>
    <row r="53" spans="1:5" ht="15.75">
      <c r="A53" s="36">
        <v>2321</v>
      </c>
      <c r="B53" s="38" t="s">
        <v>25</v>
      </c>
      <c r="C53" s="37">
        <v>85.7</v>
      </c>
      <c r="D53" s="37">
        <f t="shared" si="2"/>
        <v>257.1</v>
      </c>
      <c r="E53" s="37">
        <f t="shared" si="1"/>
        <v>42.85</v>
      </c>
    </row>
    <row r="54" spans="1:5" ht="15.75">
      <c r="A54" s="36">
        <v>2322</v>
      </c>
      <c r="B54" s="38" t="s">
        <v>26</v>
      </c>
      <c r="C54" s="37">
        <v>15</v>
      </c>
      <c r="D54" s="37">
        <f t="shared" si="2"/>
        <v>45</v>
      </c>
      <c r="E54" s="37">
        <f t="shared" si="1"/>
        <v>7.5</v>
      </c>
    </row>
    <row r="55" spans="1:5" ht="15.75">
      <c r="A55" s="36">
        <v>2341</v>
      </c>
      <c r="B55" s="38" t="s">
        <v>27</v>
      </c>
      <c r="C55" s="37">
        <v>2.01</v>
      </c>
      <c r="D55" s="37">
        <f t="shared" si="2"/>
        <v>6.029999999999999</v>
      </c>
      <c r="E55" s="37">
        <f t="shared" si="1"/>
        <v>1.005</v>
      </c>
    </row>
    <row r="56" spans="1:5" ht="15.75">
      <c r="A56" s="36">
        <v>2344</v>
      </c>
      <c r="B56" s="38" t="s">
        <v>28</v>
      </c>
      <c r="C56" s="37">
        <v>0.03</v>
      </c>
      <c r="D56" s="37">
        <f t="shared" si="2"/>
        <v>0.09</v>
      </c>
      <c r="E56" s="37">
        <f t="shared" si="1"/>
        <v>0.015</v>
      </c>
    </row>
    <row r="57" spans="1:5" ht="15.75">
      <c r="A57" s="36">
        <v>2350</v>
      </c>
      <c r="B57" s="38" t="s">
        <v>29</v>
      </c>
      <c r="C57" s="37">
        <v>36.13</v>
      </c>
      <c r="D57" s="37">
        <f t="shared" si="2"/>
        <v>108.39000000000001</v>
      </c>
      <c r="E57" s="37">
        <f t="shared" si="1"/>
        <v>18.065</v>
      </c>
    </row>
    <row r="58" spans="1:5" ht="15.75">
      <c r="A58" s="36">
        <v>2361</v>
      </c>
      <c r="B58" s="38" t="s">
        <v>30</v>
      </c>
      <c r="C58" s="37">
        <v>8.26</v>
      </c>
      <c r="D58" s="37">
        <f t="shared" si="2"/>
        <v>24.78</v>
      </c>
      <c r="E58" s="37">
        <f t="shared" si="1"/>
        <v>4.13</v>
      </c>
    </row>
    <row r="59" spans="1:5" ht="15.75">
      <c r="A59" s="36">
        <v>2362</v>
      </c>
      <c r="B59" s="38" t="s">
        <v>31</v>
      </c>
      <c r="C59" s="37">
        <v>4.89</v>
      </c>
      <c r="D59" s="37">
        <f t="shared" si="2"/>
        <v>14.669999999999998</v>
      </c>
      <c r="E59" s="37">
        <f t="shared" si="1"/>
        <v>2.445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2"/>
        <v>0</v>
      </c>
      <c r="E60" s="37">
        <f t="shared" si="1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2"/>
        <v>0</v>
      </c>
      <c r="E61" s="37">
        <f t="shared" si="1"/>
        <v>0</v>
      </c>
    </row>
    <row r="62" spans="1:5" ht="15.75">
      <c r="A62" s="36">
        <v>2400</v>
      </c>
      <c r="B62" s="38" t="s">
        <v>47</v>
      </c>
      <c r="C62" s="37">
        <v>0.89</v>
      </c>
      <c r="D62" s="37">
        <f t="shared" si="2"/>
        <v>2.67</v>
      </c>
      <c r="E62" s="37">
        <f t="shared" si="1"/>
        <v>0.445</v>
      </c>
    </row>
    <row r="63" spans="1:5" ht="15.75">
      <c r="A63" s="36">
        <v>2513</v>
      </c>
      <c r="B63" s="38" t="s">
        <v>35</v>
      </c>
      <c r="C63" s="37">
        <v>13.9</v>
      </c>
      <c r="D63" s="37">
        <f t="shared" si="2"/>
        <v>41.7</v>
      </c>
      <c r="E63" s="37">
        <f t="shared" si="1"/>
        <v>6.95</v>
      </c>
    </row>
    <row r="64" spans="1:5" ht="15.75">
      <c r="A64" s="36">
        <v>2515</v>
      </c>
      <c r="B64" s="38" t="s">
        <v>97</v>
      </c>
      <c r="C64" s="37">
        <v>0.62</v>
      </c>
      <c r="D64" s="37">
        <f t="shared" si="2"/>
        <v>1.8599999999999999</v>
      </c>
      <c r="E64" s="37">
        <f t="shared" si="1"/>
        <v>0.31</v>
      </c>
    </row>
    <row r="65" spans="1:5" ht="15.75">
      <c r="A65" s="36">
        <v>2519</v>
      </c>
      <c r="B65" s="38" t="s">
        <v>38</v>
      </c>
      <c r="C65" s="37">
        <v>3.24</v>
      </c>
      <c r="D65" s="37">
        <f t="shared" si="2"/>
        <v>9.72</v>
      </c>
      <c r="E65" s="37">
        <f t="shared" si="1"/>
        <v>1.62</v>
      </c>
    </row>
    <row r="66" spans="1:5" ht="15.75" hidden="1">
      <c r="A66" s="36">
        <v>6240</v>
      </c>
      <c r="B66" s="38" t="s">
        <v>50</v>
      </c>
      <c r="C66" s="37">
        <v>0</v>
      </c>
      <c r="D66" s="37">
        <f t="shared" si="2"/>
        <v>0</v>
      </c>
      <c r="E66" s="37">
        <f t="shared" si="1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2"/>
        <v>0</v>
      </c>
      <c r="E67" s="37">
        <f t="shared" si="1"/>
        <v>0</v>
      </c>
    </row>
    <row r="68" spans="1:5" ht="15.75">
      <c r="A68" s="36">
        <v>5121</v>
      </c>
      <c r="B68" s="38" t="s">
        <v>36</v>
      </c>
      <c r="C68" s="37">
        <v>2.62</v>
      </c>
      <c r="D68" s="37">
        <f t="shared" si="2"/>
        <v>7.86</v>
      </c>
      <c r="E68" s="37">
        <f t="shared" si="1"/>
        <v>1.31</v>
      </c>
    </row>
    <row r="69" spans="1:5" ht="15.75">
      <c r="A69" s="36">
        <v>5232</v>
      </c>
      <c r="B69" s="38" t="s">
        <v>37</v>
      </c>
      <c r="C69" s="37">
        <v>18.74</v>
      </c>
      <c r="D69" s="37">
        <f t="shared" si="2"/>
        <v>56.22</v>
      </c>
      <c r="E69" s="37">
        <f t="shared" si="1"/>
        <v>9.37</v>
      </c>
    </row>
    <row r="70" spans="1:5" ht="15.75">
      <c r="A70" s="36">
        <v>5238</v>
      </c>
      <c r="B70" s="38" t="s">
        <v>39</v>
      </c>
      <c r="C70" s="37">
        <v>29.09</v>
      </c>
      <c r="D70" s="37">
        <f t="shared" si="2"/>
        <v>87.27</v>
      </c>
      <c r="E70" s="37">
        <f t="shared" si="1"/>
        <v>14.545</v>
      </c>
    </row>
    <row r="71" spans="1:5" ht="15.75" hidden="1">
      <c r="A71" s="36">
        <v>5240</v>
      </c>
      <c r="B71" s="38" t="s">
        <v>40</v>
      </c>
      <c r="C71" s="37">
        <v>0</v>
      </c>
      <c r="D71" s="37">
        <f t="shared" si="2"/>
        <v>0</v>
      </c>
      <c r="E71" s="37">
        <f t="shared" si="1"/>
        <v>0</v>
      </c>
    </row>
    <row r="72" spans="1:5" ht="15.75">
      <c r="A72" s="36">
        <v>5250</v>
      </c>
      <c r="B72" s="38" t="s">
        <v>41</v>
      </c>
      <c r="C72" s="37">
        <v>525.42</v>
      </c>
      <c r="D72" s="37">
        <f t="shared" si="2"/>
        <v>1576.2599999999998</v>
      </c>
      <c r="E72" s="37">
        <f t="shared" si="1"/>
        <v>262.71</v>
      </c>
    </row>
    <row r="73" spans="1:5" ht="15.75">
      <c r="A73" s="41"/>
      <c r="B73" s="45" t="s">
        <v>9</v>
      </c>
      <c r="C73" s="40">
        <f>SUM(C30:C72)</f>
        <v>1579.0899999999997</v>
      </c>
      <c r="D73" s="40">
        <f>SUM(D30:D72)</f>
        <v>4737.27</v>
      </c>
      <c r="E73" s="40">
        <f>SUM(E30:E72)</f>
        <v>876.165</v>
      </c>
    </row>
    <row r="74" spans="1:5" ht="15.75">
      <c r="A74" s="41"/>
      <c r="B74" s="45" t="s">
        <v>48</v>
      </c>
      <c r="C74" s="40">
        <f>C73+C28</f>
        <v>2849.7</v>
      </c>
      <c r="D74" s="40">
        <f>D73+D28</f>
        <v>8979.900000000001</v>
      </c>
      <c r="E74" s="40">
        <f>E73+E28</f>
        <v>1667.1449999999998</v>
      </c>
    </row>
    <row r="75" spans="1:5" ht="15.75">
      <c r="A75" s="52"/>
      <c r="B75" s="53"/>
      <c r="C75" s="63"/>
      <c r="D75" s="63"/>
      <c r="E75" s="63"/>
    </row>
    <row r="76" spans="1:5" ht="15.75">
      <c r="A76" s="139" t="s">
        <v>63</v>
      </c>
      <c r="B76" s="139"/>
      <c r="C76" s="49">
        <v>30</v>
      </c>
      <c r="D76" s="49">
        <v>30</v>
      </c>
      <c r="E76" s="44">
        <v>5</v>
      </c>
    </row>
    <row r="77" spans="1:5" ht="15.75">
      <c r="A77" s="139" t="s">
        <v>64</v>
      </c>
      <c r="B77" s="139"/>
      <c r="C77" s="40">
        <f>C74/C76</f>
        <v>94.99</v>
      </c>
      <c r="D77" s="40">
        <f>D74/D76</f>
        <v>299.33000000000004</v>
      </c>
      <c r="E77" s="113">
        <f>E74/E76</f>
        <v>333.429</v>
      </c>
    </row>
    <row r="78" spans="1:5" ht="15.75">
      <c r="A78" s="54"/>
      <c r="B78" s="54"/>
      <c r="C78" s="56"/>
      <c r="D78" s="56"/>
      <c r="E78" s="56"/>
    </row>
    <row r="79" spans="1:5" ht="15.75">
      <c r="A79" s="140" t="s">
        <v>56</v>
      </c>
      <c r="B79" s="141"/>
      <c r="C79" s="106">
        <v>94.99</v>
      </c>
      <c r="D79" s="106">
        <v>284.97</v>
      </c>
      <c r="E79" s="64"/>
    </row>
    <row r="80" spans="1:5" ht="15.75">
      <c r="A80" s="140" t="s">
        <v>86</v>
      </c>
      <c r="B80" s="141"/>
      <c r="C80" s="106">
        <f>C79*3</f>
        <v>284.96999999999997</v>
      </c>
      <c r="D80" s="106"/>
      <c r="E80" s="64"/>
    </row>
    <row r="81" spans="1:5" ht="15.75">
      <c r="A81" s="26"/>
      <c r="B81" s="26"/>
      <c r="C81" s="26">
        <f>C80*5</f>
        <v>1424.85</v>
      </c>
      <c r="D81" s="26"/>
      <c r="E81" s="26"/>
    </row>
    <row r="82" spans="1:5" ht="15.75">
      <c r="A82" s="26" t="s">
        <v>57</v>
      </c>
      <c r="B82" s="26"/>
      <c r="C82" s="26"/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9">
    <mergeCell ref="A77:B77"/>
    <mergeCell ref="A79:B79"/>
    <mergeCell ref="A80:B80"/>
    <mergeCell ref="A6:E6"/>
    <mergeCell ref="A7:B7"/>
    <mergeCell ref="A8:B8"/>
    <mergeCell ref="B11:E11"/>
    <mergeCell ref="B12:E12"/>
    <mergeCell ref="A76:B76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421875" style="3" customWidth="1"/>
    <col min="2" max="2" width="99.7109375" style="3" customWidth="1"/>
    <col min="3" max="4" width="25.7109375" style="3" hidden="1" customWidth="1"/>
    <col min="5" max="5" width="32.7109375" style="3" customWidth="1"/>
  </cols>
  <sheetData>
    <row r="1" spans="1:5" ht="15.75">
      <c r="A1" s="9"/>
      <c r="B1" s="148" t="s">
        <v>53</v>
      </c>
      <c r="C1" s="148"/>
      <c r="D1" s="148"/>
      <c r="E1" s="143"/>
    </row>
    <row r="2" spans="1:5" ht="15.75">
      <c r="A2" s="9"/>
      <c r="B2" s="149" t="s">
        <v>58</v>
      </c>
      <c r="C2" s="149"/>
      <c r="D2" s="149"/>
      <c r="E2" s="150"/>
    </row>
    <row r="3" spans="1:5" ht="15.75">
      <c r="A3" s="9"/>
      <c r="B3" s="19"/>
      <c r="C3" s="19"/>
      <c r="D3" s="19"/>
      <c r="E3" s="120" t="s">
        <v>196</v>
      </c>
    </row>
    <row r="4" spans="1:5" ht="15.75">
      <c r="A4" s="9"/>
      <c r="B4" s="19"/>
      <c r="C4" s="19"/>
      <c r="D4" s="19"/>
      <c r="E4" s="46"/>
    </row>
    <row r="5" spans="1:5" ht="15.75">
      <c r="A5" s="9"/>
      <c r="B5" s="24"/>
      <c r="C5" s="24"/>
      <c r="D5" s="24"/>
      <c r="E5" s="46" t="str">
        <f>'4.3.1.9.'!E5</f>
        <v>2019. gada 15. martā</v>
      </c>
    </row>
    <row r="6" spans="1:5" ht="18.75">
      <c r="A6" s="138" t="s">
        <v>10</v>
      </c>
      <c r="B6" s="138"/>
      <c r="C6" s="138"/>
      <c r="D6" s="138"/>
      <c r="E6" s="138"/>
    </row>
    <row r="7" spans="1:5" ht="15.75">
      <c r="A7" s="142" t="s">
        <v>1</v>
      </c>
      <c r="B7" s="142"/>
      <c r="C7" s="18"/>
      <c r="D7" s="18"/>
      <c r="E7" s="14"/>
    </row>
    <row r="8" spans="1:5" ht="15.75">
      <c r="A8" s="142" t="s">
        <v>0</v>
      </c>
      <c r="B8" s="142"/>
      <c r="C8" s="18"/>
      <c r="D8" s="18"/>
      <c r="E8" s="14"/>
    </row>
    <row r="9" spans="1:5" ht="15.75">
      <c r="A9" s="18"/>
      <c r="B9" s="18" t="s">
        <v>49</v>
      </c>
      <c r="C9" s="18"/>
      <c r="D9" s="18"/>
      <c r="E9" s="14"/>
    </row>
    <row r="10" spans="1:5" ht="15.75">
      <c r="A10" s="18"/>
      <c r="B10" s="18" t="s">
        <v>102</v>
      </c>
      <c r="C10" s="18"/>
      <c r="D10" s="18"/>
      <c r="E10" s="23"/>
    </row>
    <row r="11" spans="1:5" ht="15.75">
      <c r="A11" s="18"/>
      <c r="B11" s="142" t="s">
        <v>103</v>
      </c>
      <c r="C11" s="142"/>
      <c r="D11" s="142"/>
      <c r="E11" s="143"/>
    </row>
    <row r="12" spans="1:5" ht="15.75">
      <c r="A12" s="18"/>
      <c r="B12" s="142" t="s">
        <v>159</v>
      </c>
      <c r="C12" s="142"/>
      <c r="D12" s="142"/>
      <c r="E12" s="143"/>
    </row>
    <row r="13" spans="1:5" ht="15.75">
      <c r="A13" s="18" t="s">
        <v>2</v>
      </c>
      <c r="B13" s="18" t="str">
        <f>'4.3.1.9.'!B13</f>
        <v>2019.gadā un turpmāk</v>
      </c>
      <c r="C13" s="18"/>
      <c r="D13" s="18"/>
      <c r="E13" s="14"/>
    </row>
    <row r="14" spans="1:5" ht="47.25">
      <c r="A14" s="65" t="s">
        <v>3</v>
      </c>
      <c r="B14" s="65" t="s">
        <v>4</v>
      </c>
      <c r="C14" s="65"/>
      <c r="D14" s="65"/>
      <c r="E14" s="65" t="s">
        <v>83</v>
      </c>
    </row>
    <row r="15" spans="1:5" ht="15.75">
      <c r="A15" s="31">
        <v>1</v>
      </c>
      <c r="B15" s="32">
        <v>2</v>
      </c>
      <c r="C15" s="32"/>
      <c r="D15" s="32"/>
      <c r="E15" s="32">
        <v>3</v>
      </c>
    </row>
    <row r="16" spans="1:5" ht="15.75">
      <c r="A16" s="33"/>
      <c r="B16" s="34" t="s">
        <v>6</v>
      </c>
      <c r="C16" s="34"/>
      <c r="D16" s="34"/>
      <c r="E16" s="35"/>
    </row>
    <row r="17" spans="1:5" ht="15.75">
      <c r="A17" s="36">
        <v>1100</v>
      </c>
      <c r="B17" s="36" t="s">
        <v>91</v>
      </c>
      <c r="C17" s="37">
        <v>627.61</v>
      </c>
      <c r="D17" s="37">
        <f>1875.43+30*11.57</f>
        <v>2222.53</v>
      </c>
      <c r="E17" s="37">
        <v>429.47</v>
      </c>
    </row>
    <row r="18" spans="1:5" ht="15.75">
      <c r="A18" s="36">
        <v>1200</v>
      </c>
      <c r="B18" s="38" t="s">
        <v>92</v>
      </c>
      <c r="C18" s="37">
        <v>148.13</v>
      </c>
      <c r="D18" s="37">
        <f>451.79+30*2.79</f>
        <v>535.49</v>
      </c>
      <c r="E18" s="37">
        <v>103.46</v>
      </c>
    </row>
    <row r="19" spans="1:5" ht="15.75">
      <c r="A19" s="36">
        <v>2222</v>
      </c>
      <c r="B19" s="38" t="s">
        <v>43</v>
      </c>
      <c r="C19" s="37">
        <v>46.38</v>
      </c>
      <c r="D19" s="37">
        <f aca="true" t="shared" si="0" ref="D19:D27">C19*3</f>
        <v>139.14000000000001</v>
      </c>
      <c r="E19" s="37">
        <v>23.19</v>
      </c>
    </row>
    <row r="20" spans="1:5" ht="15.75">
      <c r="A20" s="36">
        <v>2223</v>
      </c>
      <c r="B20" s="38" t="s">
        <v>44</v>
      </c>
      <c r="C20" s="37">
        <v>54.09</v>
      </c>
      <c r="D20" s="37">
        <f t="shared" si="0"/>
        <v>162.27</v>
      </c>
      <c r="E20" s="37">
        <v>27.05</v>
      </c>
    </row>
    <row r="21" spans="1:5" ht="15.75">
      <c r="A21" s="36">
        <v>2243</v>
      </c>
      <c r="B21" s="38" t="s">
        <v>15</v>
      </c>
      <c r="C21" s="37">
        <v>11.58</v>
      </c>
      <c r="D21" s="37">
        <f t="shared" si="0"/>
        <v>34.74</v>
      </c>
      <c r="E21" s="37">
        <v>5.79</v>
      </c>
    </row>
    <row r="22" spans="1:5" ht="15.75" hidden="1">
      <c r="A22" s="36">
        <v>2249</v>
      </c>
      <c r="B22" s="38" t="s">
        <v>17</v>
      </c>
      <c r="C22" s="37">
        <v>0</v>
      </c>
      <c r="D22" s="37">
        <f t="shared" si="0"/>
        <v>0</v>
      </c>
      <c r="E22" s="37">
        <f>D22/6</f>
        <v>0</v>
      </c>
    </row>
    <row r="23" spans="1:5" ht="15.75">
      <c r="A23" s="36">
        <v>2321</v>
      </c>
      <c r="B23" s="38" t="s">
        <v>25</v>
      </c>
      <c r="C23" s="37">
        <v>63.75</v>
      </c>
      <c r="D23" s="37">
        <f t="shared" si="0"/>
        <v>191.25</v>
      </c>
      <c r="E23" s="37">
        <v>31.88</v>
      </c>
    </row>
    <row r="24" spans="1:5" ht="15.75">
      <c r="A24" s="36">
        <v>2341</v>
      </c>
      <c r="B24" s="38" t="s">
        <v>27</v>
      </c>
      <c r="C24" s="37">
        <v>92.17</v>
      </c>
      <c r="D24" s="37">
        <f t="shared" si="0"/>
        <v>276.51</v>
      </c>
      <c r="E24" s="37">
        <v>46.09</v>
      </c>
    </row>
    <row r="25" spans="1:5" ht="15.75" hidden="1">
      <c r="A25" s="36">
        <v>2350</v>
      </c>
      <c r="B25" s="38" t="s">
        <v>29</v>
      </c>
      <c r="C25" s="37">
        <v>0</v>
      </c>
      <c r="D25" s="37">
        <f t="shared" si="0"/>
        <v>0</v>
      </c>
      <c r="E25" s="37">
        <f>D25/6</f>
        <v>0</v>
      </c>
    </row>
    <row r="26" spans="1:5" ht="15.75">
      <c r="A26" s="36">
        <v>2363</v>
      </c>
      <c r="B26" s="38" t="s">
        <v>32</v>
      </c>
      <c r="C26" s="37">
        <v>221.4</v>
      </c>
      <c r="D26" s="37">
        <f t="shared" si="0"/>
        <v>664.2</v>
      </c>
      <c r="E26" s="37">
        <v>121.8</v>
      </c>
    </row>
    <row r="27" spans="1:5" ht="15.75">
      <c r="A27" s="36">
        <v>5232</v>
      </c>
      <c r="B27" s="38" t="s">
        <v>37</v>
      </c>
      <c r="C27" s="37">
        <v>52.36</v>
      </c>
      <c r="D27" s="37">
        <f t="shared" si="0"/>
        <v>157.07999999999998</v>
      </c>
      <c r="E27" s="37">
        <v>26.18</v>
      </c>
    </row>
    <row r="28" spans="1:5" ht="15.75">
      <c r="A28" s="36"/>
      <c r="B28" s="39" t="s">
        <v>7</v>
      </c>
      <c r="C28" s="40">
        <f>SUM(C17:C27)</f>
        <v>1317.47</v>
      </c>
      <c r="D28" s="40">
        <f>SUM(D17:D27)</f>
        <v>4383.21</v>
      </c>
      <c r="E28" s="40">
        <f>SUM(E17:E27)</f>
        <v>814.91</v>
      </c>
    </row>
    <row r="29" spans="1:5" ht="15.75">
      <c r="A29" s="41"/>
      <c r="B29" s="36" t="s">
        <v>8</v>
      </c>
      <c r="C29" s="35"/>
      <c r="D29" s="35"/>
      <c r="E29" s="35"/>
    </row>
    <row r="30" spans="1:5" ht="15.75">
      <c r="A30" s="36">
        <v>1100</v>
      </c>
      <c r="B30" s="36" t="s">
        <v>91</v>
      </c>
      <c r="C30" s="37">
        <v>408.83</v>
      </c>
      <c r="D30" s="37">
        <v>1221.54</v>
      </c>
      <c r="E30" s="37">
        <f aca="true" t="shared" si="1" ref="E30:E70">D30/6</f>
        <v>203.59</v>
      </c>
    </row>
    <row r="31" spans="1:5" ht="15.75">
      <c r="A31" s="36">
        <v>1200</v>
      </c>
      <c r="B31" s="38" t="s">
        <v>92</v>
      </c>
      <c r="C31" s="37">
        <v>96.44</v>
      </c>
      <c r="D31" s="37">
        <v>294.27</v>
      </c>
      <c r="E31" s="37">
        <f t="shared" si="1"/>
        <v>49.044999999999995</v>
      </c>
    </row>
    <row r="32" spans="1:5" ht="15.75" hidden="1">
      <c r="A32" s="36">
        <v>2100</v>
      </c>
      <c r="B32" s="42" t="s">
        <v>98</v>
      </c>
      <c r="C32" s="37">
        <v>0</v>
      </c>
      <c r="D32" s="37">
        <f aca="true" t="shared" si="2" ref="D32:D70">C32*3</f>
        <v>0</v>
      </c>
      <c r="E32" s="37">
        <f t="shared" si="1"/>
        <v>0</v>
      </c>
    </row>
    <row r="33" spans="1:5" ht="15.75">
      <c r="A33" s="43">
        <v>2210</v>
      </c>
      <c r="B33" s="38" t="s">
        <v>42</v>
      </c>
      <c r="C33" s="37">
        <v>8.65</v>
      </c>
      <c r="D33" s="37">
        <f t="shared" si="2"/>
        <v>25.950000000000003</v>
      </c>
      <c r="E33" s="37">
        <f t="shared" si="1"/>
        <v>4.325</v>
      </c>
    </row>
    <row r="34" spans="1:5" ht="15.75">
      <c r="A34" s="36">
        <v>2222</v>
      </c>
      <c r="B34" s="38" t="s">
        <v>43</v>
      </c>
      <c r="C34" s="37">
        <v>4.04</v>
      </c>
      <c r="D34" s="37">
        <f t="shared" si="2"/>
        <v>12.120000000000001</v>
      </c>
      <c r="E34" s="37">
        <f t="shared" si="1"/>
        <v>2.02</v>
      </c>
    </row>
    <row r="35" spans="1:5" ht="15.75">
      <c r="A35" s="36">
        <v>2223</v>
      </c>
      <c r="B35" s="38" t="s">
        <v>44</v>
      </c>
      <c r="C35" s="37">
        <v>59.52</v>
      </c>
      <c r="D35" s="37">
        <f t="shared" si="2"/>
        <v>178.56</v>
      </c>
      <c r="E35" s="37">
        <f t="shared" si="1"/>
        <v>29.76</v>
      </c>
    </row>
    <row r="36" spans="1:5" ht="15.75">
      <c r="A36" s="36">
        <v>2230</v>
      </c>
      <c r="B36" s="38" t="s">
        <v>45</v>
      </c>
      <c r="C36" s="37">
        <v>6.68</v>
      </c>
      <c r="D36" s="37">
        <f t="shared" si="2"/>
        <v>20.04</v>
      </c>
      <c r="E36" s="37">
        <f t="shared" si="1"/>
        <v>3.34</v>
      </c>
    </row>
    <row r="37" spans="1:5" ht="15.75">
      <c r="A37" s="36">
        <v>2241</v>
      </c>
      <c r="B37" s="38" t="s">
        <v>13</v>
      </c>
      <c r="C37" s="37">
        <v>0.01</v>
      </c>
      <c r="D37" s="37">
        <f t="shared" si="2"/>
        <v>0.03</v>
      </c>
      <c r="E37" s="37">
        <f t="shared" si="1"/>
        <v>0.005</v>
      </c>
    </row>
    <row r="38" spans="1:5" ht="15.75">
      <c r="A38" s="36">
        <v>2242</v>
      </c>
      <c r="B38" s="38" t="s">
        <v>14</v>
      </c>
      <c r="C38" s="37">
        <v>1.99</v>
      </c>
      <c r="D38" s="37">
        <f t="shared" si="2"/>
        <v>5.97</v>
      </c>
      <c r="E38" s="37">
        <f t="shared" si="1"/>
        <v>0.995</v>
      </c>
    </row>
    <row r="39" spans="1:5" ht="15.75">
      <c r="A39" s="36">
        <v>2243</v>
      </c>
      <c r="B39" s="38" t="s">
        <v>15</v>
      </c>
      <c r="C39" s="37">
        <v>6.35</v>
      </c>
      <c r="D39" s="37">
        <f t="shared" si="2"/>
        <v>19.049999999999997</v>
      </c>
      <c r="E39" s="37">
        <f t="shared" si="1"/>
        <v>3.1749999999999994</v>
      </c>
    </row>
    <row r="40" spans="1:5" ht="15.75">
      <c r="A40" s="36">
        <v>2244</v>
      </c>
      <c r="B40" s="38" t="s">
        <v>16</v>
      </c>
      <c r="C40" s="37">
        <v>91.78</v>
      </c>
      <c r="D40" s="37">
        <f t="shared" si="2"/>
        <v>275.34000000000003</v>
      </c>
      <c r="E40" s="37">
        <v>104.71</v>
      </c>
    </row>
    <row r="41" spans="1:5" ht="15.75">
      <c r="A41" s="36">
        <v>2247</v>
      </c>
      <c r="B41" s="34" t="s">
        <v>93</v>
      </c>
      <c r="C41" s="37">
        <v>0.53</v>
      </c>
      <c r="D41" s="37">
        <f t="shared" si="2"/>
        <v>1.59</v>
      </c>
      <c r="E41" s="37">
        <f t="shared" si="1"/>
        <v>0.265</v>
      </c>
    </row>
    <row r="42" spans="1:5" ht="15.75">
      <c r="A42" s="36">
        <v>2249</v>
      </c>
      <c r="B42" s="38" t="s">
        <v>17</v>
      </c>
      <c r="C42" s="37">
        <v>2.29</v>
      </c>
      <c r="D42" s="37">
        <f t="shared" si="2"/>
        <v>6.87</v>
      </c>
      <c r="E42" s="37">
        <f t="shared" si="1"/>
        <v>1.145</v>
      </c>
    </row>
    <row r="43" spans="1:5" ht="15.75">
      <c r="A43" s="36">
        <v>2251</v>
      </c>
      <c r="B43" s="38" t="s">
        <v>94</v>
      </c>
      <c r="C43" s="37">
        <v>13.43</v>
      </c>
      <c r="D43" s="37">
        <f t="shared" si="2"/>
        <v>40.29</v>
      </c>
      <c r="E43" s="37">
        <f t="shared" si="1"/>
        <v>6.715</v>
      </c>
    </row>
    <row r="44" spans="1:5" ht="15.75">
      <c r="A44" s="36">
        <v>2252</v>
      </c>
      <c r="B44" s="38" t="s">
        <v>96</v>
      </c>
      <c r="C44" s="37">
        <v>0.29</v>
      </c>
      <c r="D44" s="37">
        <f t="shared" si="2"/>
        <v>0.8699999999999999</v>
      </c>
      <c r="E44" s="37">
        <f t="shared" si="1"/>
        <v>0.145</v>
      </c>
    </row>
    <row r="45" spans="1:5" ht="15.75">
      <c r="A45" s="36">
        <v>2259</v>
      </c>
      <c r="B45" s="38" t="s">
        <v>95</v>
      </c>
      <c r="C45" s="37">
        <v>0.04</v>
      </c>
      <c r="D45" s="37">
        <f t="shared" si="2"/>
        <v>0.12</v>
      </c>
      <c r="E45" s="37">
        <f t="shared" si="1"/>
        <v>0.02</v>
      </c>
    </row>
    <row r="46" spans="1:5" ht="15.75">
      <c r="A46" s="36">
        <v>2261</v>
      </c>
      <c r="B46" s="38" t="s">
        <v>18</v>
      </c>
      <c r="C46" s="37">
        <v>1.63</v>
      </c>
      <c r="D46" s="37">
        <f t="shared" si="2"/>
        <v>4.89</v>
      </c>
      <c r="E46" s="37">
        <f t="shared" si="1"/>
        <v>0.815</v>
      </c>
    </row>
    <row r="47" spans="1:5" ht="15.75">
      <c r="A47" s="36">
        <v>2262</v>
      </c>
      <c r="B47" s="38" t="s">
        <v>19</v>
      </c>
      <c r="C47" s="37">
        <v>5.82</v>
      </c>
      <c r="D47" s="37">
        <f t="shared" si="2"/>
        <v>17.46</v>
      </c>
      <c r="E47" s="37">
        <f t="shared" si="1"/>
        <v>2.91</v>
      </c>
    </row>
    <row r="48" spans="1:5" ht="15.75">
      <c r="A48" s="36">
        <v>2263</v>
      </c>
      <c r="B48" s="38" t="s">
        <v>20</v>
      </c>
      <c r="C48" s="37">
        <v>21.48</v>
      </c>
      <c r="D48" s="37">
        <f t="shared" si="2"/>
        <v>64.44</v>
      </c>
      <c r="E48" s="37">
        <f t="shared" si="1"/>
        <v>10.74</v>
      </c>
    </row>
    <row r="49" spans="1:5" ht="15.75">
      <c r="A49" s="36">
        <v>2264</v>
      </c>
      <c r="B49" s="38" t="s">
        <v>21</v>
      </c>
      <c r="C49" s="37">
        <v>0.11</v>
      </c>
      <c r="D49" s="37">
        <f t="shared" si="2"/>
        <v>0.33</v>
      </c>
      <c r="E49" s="37">
        <f t="shared" si="1"/>
        <v>0.055</v>
      </c>
    </row>
    <row r="50" spans="1:5" ht="15.75">
      <c r="A50" s="36">
        <v>2279</v>
      </c>
      <c r="B50" s="38" t="s">
        <v>22</v>
      </c>
      <c r="C50" s="37">
        <v>23.99</v>
      </c>
      <c r="D50" s="37">
        <f t="shared" si="2"/>
        <v>71.97</v>
      </c>
      <c r="E50" s="37">
        <f t="shared" si="1"/>
        <v>11.995</v>
      </c>
    </row>
    <row r="51" spans="1:5" ht="15.75">
      <c r="A51" s="36">
        <v>2311</v>
      </c>
      <c r="B51" s="38" t="s">
        <v>23</v>
      </c>
      <c r="C51" s="37">
        <v>7.71</v>
      </c>
      <c r="D51" s="37">
        <f t="shared" si="2"/>
        <v>23.13</v>
      </c>
      <c r="E51" s="37">
        <f t="shared" si="1"/>
        <v>3.855</v>
      </c>
    </row>
    <row r="52" spans="1:5" ht="15.75">
      <c r="A52" s="36">
        <v>2312</v>
      </c>
      <c r="B52" s="38" t="s">
        <v>24</v>
      </c>
      <c r="C52" s="37">
        <v>4.17</v>
      </c>
      <c r="D52" s="37">
        <f t="shared" si="2"/>
        <v>12.51</v>
      </c>
      <c r="E52" s="37">
        <f t="shared" si="1"/>
        <v>2.085</v>
      </c>
    </row>
    <row r="53" spans="1:5" ht="15.75">
      <c r="A53" s="36">
        <v>2321</v>
      </c>
      <c r="B53" s="38" t="s">
        <v>25</v>
      </c>
      <c r="C53" s="37">
        <v>89.43</v>
      </c>
      <c r="D53" s="37">
        <f t="shared" si="2"/>
        <v>268.29</v>
      </c>
      <c r="E53" s="37">
        <f t="shared" si="1"/>
        <v>44.715</v>
      </c>
    </row>
    <row r="54" spans="1:5" ht="15.75">
      <c r="A54" s="36">
        <v>2322</v>
      </c>
      <c r="B54" s="38" t="s">
        <v>26</v>
      </c>
      <c r="C54" s="37">
        <v>15.46</v>
      </c>
      <c r="D54" s="37">
        <f t="shared" si="2"/>
        <v>46.38</v>
      </c>
      <c r="E54" s="37">
        <f t="shared" si="1"/>
        <v>7.73</v>
      </c>
    </row>
    <row r="55" spans="1:5" ht="15.75">
      <c r="A55" s="36">
        <v>2341</v>
      </c>
      <c r="B55" s="38" t="s">
        <v>27</v>
      </c>
      <c r="C55" s="37">
        <v>2.11</v>
      </c>
      <c r="D55" s="37">
        <f t="shared" si="2"/>
        <v>6.33</v>
      </c>
      <c r="E55" s="37">
        <f t="shared" si="1"/>
        <v>1.055</v>
      </c>
    </row>
    <row r="56" spans="1:5" ht="15.75">
      <c r="A56" s="36">
        <v>2344</v>
      </c>
      <c r="B56" s="38" t="s">
        <v>28</v>
      </c>
      <c r="C56" s="37">
        <v>0.03</v>
      </c>
      <c r="D56" s="37">
        <f t="shared" si="2"/>
        <v>0.09</v>
      </c>
      <c r="E56" s="37">
        <f t="shared" si="1"/>
        <v>0.015</v>
      </c>
    </row>
    <row r="57" spans="1:5" ht="15.75">
      <c r="A57" s="36">
        <v>2350</v>
      </c>
      <c r="B57" s="38" t="s">
        <v>29</v>
      </c>
      <c r="C57" s="37">
        <v>28.59</v>
      </c>
      <c r="D57" s="37">
        <f t="shared" si="2"/>
        <v>85.77</v>
      </c>
      <c r="E57" s="37">
        <f t="shared" si="1"/>
        <v>14.295</v>
      </c>
    </row>
    <row r="58" spans="1:5" ht="15.75">
      <c r="A58" s="36">
        <v>2361</v>
      </c>
      <c r="B58" s="38" t="s">
        <v>30</v>
      </c>
      <c r="C58" s="37">
        <v>8.66</v>
      </c>
      <c r="D58" s="37">
        <f t="shared" si="2"/>
        <v>25.98</v>
      </c>
      <c r="E58" s="37">
        <f t="shared" si="1"/>
        <v>4.33</v>
      </c>
    </row>
    <row r="59" spans="1:5" ht="15.75">
      <c r="A59" s="36">
        <v>2362</v>
      </c>
      <c r="B59" s="38" t="s">
        <v>31</v>
      </c>
      <c r="C59" s="37">
        <v>4.59</v>
      </c>
      <c r="D59" s="37">
        <f t="shared" si="2"/>
        <v>13.77</v>
      </c>
      <c r="E59" s="37">
        <f t="shared" si="1"/>
        <v>2.295</v>
      </c>
    </row>
    <row r="60" spans="1:5" ht="15.75" hidden="1">
      <c r="A60" s="36">
        <v>2363</v>
      </c>
      <c r="B60" s="38" t="s">
        <v>32</v>
      </c>
      <c r="C60" s="37">
        <v>0</v>
      </c>
      <c r="D60" s="37">
        <f t="shared" si="2"/>
        <v>0</v>
      </c>
      <c r="E60" s="37">
        <f t="shared" si="1"/>
        <v>0</v>
      </c>
    </row>
    <row r="61" spans="1:5" ht="15.75" hidden="1">
      <c r="A61" s="36">
        <v>2370</v>
      </c>
      <c r="B61" s="38" t="s">
        <v>33</v>
      </c>
      <c r="C61" s="37">
        <v>0</v>
      </c>
      <c r="D61" s="37">
        <f t="shared" si="2"/>
        <v>0</v>
      </c>
      <c r="E61" s="37">
        <f t="shared" si="1"/>
        <v>0</v>
      </c>
    </row>
    <row r="62" spans="1:5" ht="15.75">
      <c r="A62" s="36">
        <v>2400</v>
      </c>
      <c r="B62" s="38" t="s">
        <v>47</v>
      </c>
      <c r="C62" s="37">
        <v>0.93</v>
      </c>
      <c r="D62" s="37">
        <f t="shared" si="2"/>
        <v>2.79</v>
      </c>
      <c r="E62" s="37">
        <f t="shared" si="1"/>
        <v>0.465</v>
      </c>
    </row>
    <row r="63" spans="1:5" ht="15.75">
      <c r="A63" s="36">
        <v>2513</v>
      </c>
      <c r="B63" s="38" t="s">
        <v>35</v>
      </c>
      <c r="C63" s="37">
        <v>14.54</v>
      </c>
      <c r="D63" s="37">
        <f t="shared" si="2"/>
        <v>43.62</v>
      </c>
      <c r="E63" s="37">
        <f t="shared" si="1"/>
        <v>7.27</v>
      </c>
    </row>
    <row r="64" spans="1:5" ht="15.75">
      <c r="A64" s="36">
        <v>2515</v>
      </c>
      <c r="B64" s="38" t="s">
        <v>97</v>
      </c>
      <c r="C64" s="37">
        <v>0.64</v>
      </c>
      <c r="D64" s="37">
        <f t="shared" si="2"/>
        <v>1.92</v>
      </c>
      <c r="E64" s="37">
        <f t="shared" si="1"/>
        <v>0.32</v>
      </c>
    </row>
    <row r="65" spans="1:5" ht="15.75">
      <c r="A65" s="36">
        <v>2519</v>
      </c>
      <c r="B65" s="38" t="s">
        <v>38</v>
      </c>
      <c r="C65" s="37">
        <v>3.39</v>
      </c>
      <c r="D65" s="37">
        <f t="shared" si="2"/>
        <v>10.17</v>
      </c>
      <c r="E65" s="37">
        <f t="shared" si="1"/>
        <v>1.695</v>
      </c>
    </row>
    <row r="66" spans="1:5" ht="15.75" hidden="1">
      <c r="A66" s="36">
        <v>6240</v>
      </c>
      <c r="B66" s="38" t="s">
        <v>99</v>
      </c>
      <c r="C66" s="37">
        <v>0</v>
      </c>
      <c r="D66" s="37">
        <f t="shared" si="2"/>
        <v>0</v>
      </c>
      <c r="E66" s="37">
        <f t="shared" si="1"/>
        <v>0</v>
      </c>
    </row>
    <row r="67" spans="1:5" ht="15.75" hidden="1">
      <c r="A67" s="36">
        <v>6290</v>
      </c>
      <c r="B67" s="38" t="s">
        <v>51</v>
      </c>
      <c r="C67" s="37">
        <v>0</v>
      </c>
      <c r="D67" s="37">
        <f t="shared" si="2"/>
        <v>0</v>
      </c>
      <c r="E67" s="37">
        <f t="shared" si="1"/>
        <v>0</v>
      </c>
    </row>
    <row r="68" spans="1:5" ht="15.75">
      <c r="A68" s="36">
        <v>5121</v>
      </c>
      <c r="B68" s="38" t="s">
        <v>36</v>
      </c>
      <c r="C68" s="37">
        <v>2.74</v>
      </c>
      <c r="D68" s="37">
        <f t="shared" si="2"/>
        <v>8.22</v>
      </c>
      <c r="E68" s="37">
        <f t="shared" si="1"/>
        <v>1.37</v>
      </c>
    </row>
    <row r="69" spans="1:5" ht="15.75">
      <c r="A69" s="36">
        <v>5232</v>
      </c>
      <c r="B69" s="38" t="s">
        <v>37</v>
      </c>
      <c r="C69" s="37">
        <v>24.44</v>
      </c>
      <c r="D69" s="37">
        <f t="shared" si="2"/>
        <v>73.32000000000001</v>
      </c>
      <c r="E69" s="37">
        <f t="shared" si="1"/>
        <v>12.22</v>
      </c>
    </row>
    <row r="70" spans="1:5" ht="15.75">
      <c r="A70" s="36">
        <v>5238</v>
      </c>
      <c r="B70" s="38" t="s">
        <v>39</v>
      </c>
      <c r="C70" s="37">
        <v>30.43</v>
      </c>
      <c r="D70" s="37">
        <f t="shared" si="2"/>
        <v>91.28999999999999</v>
      </c>
      <c r="E70" s="37">
        <f t="shared" si="1"/>
        <v>15.214999999999998</v>
      </c>
    </row>
    <row r="71" spans="1:5" ht="15.75" hidden="1">
      <c r="A71" s="36">
        <v>5240</v>
      </c>
      <c r="B71" s="38" t="s">
        <v>40</v>
      </c>
      <c r="C71" s="37">
        <v>0</v>
      </c>
      <c r="D71" s="37"/>
      <c r="E71" s="37">
        <f>C71*3</f>
        <v>0</v>
      </c>
    </row>
    <row r="72" spans="1:5" ht="15.75">
      <c r="A72" s="36">
        <v>5250</v>
      </c>
      <c r="B72" s="38" t="s">
        <v>41</v>
      </c>
      <c r="C72" s="37">
        <v>120.47</v>
      </c>
      <c r="D72" s="37">
        <f>C72*3</f>
        <v>361.40999999999997</v>
      </c>
      <c r="E72" s="37">
        <f>D72/6</f>
        <v>60.23499999999999</v>
      </c>
    </row>
    <row r="73" spans="1:5" ht="15.75">
      <c r="A73" s="41"/>
      <c r="B73" s="45" t="s">
        <v>9</v>
      </c>
      <c r="C73" s="40">
        <f>SUM(C30:C72)</f>
        <v>1112.2299999999998</v>
      </c>
      <c r="D73" s="40">
        <f>SUM(D30:D72)</f>
        <v>3336.6899999999996</v>
      </c>
      <c r="E73" s="40">
        <f>SUM(E30:E72)</f>
        <v>614.9350000000001</v>
      </c>
    </row>
    <row r="74" spans="1:5" ht="15.75">
      <c r="A74" s="41"/>
      <c r="B74" s="45" t="s">
        <v>48</v>
      </c>
      <c r="C74" s="40">
        <f>C73+C28</f>
        <v>2429.7</v>
      </c>
      <c r="D74" s="40">
        <f>D73+D28</f>
        <v>7719.9</v>
      </c>
      <c r="E74" s="40">
        <f>E73+E28</f>
        <v>1429.845</v>
      </c>
    </row>
    <row r="75" spans="1:5" ht="15.75">
      <c r="A75" s="46"/>
      <c r="B75" s="29"/>
      <c r="C75" s="14"/>
      <c r="D75" s="14"/>
      <c r="E75" s="14"/>
    </row>
    <row r="76" spans="1:5" ht="15.75">
      <c r="A76" s="142" t="s">
        <v>63</v>
      </c>
      <c r="B76" s="142"/>
      <c r="C76" s="30">
        <v>30</v>
      </c>
      <c r="D76" s="30">
        <v>30</v>
      </c>
      <c r="E76" s="116">
        <v>5</v>
      </c>
    </row>
    <row r="77" spans="1:5" ht="15.75">
      <c r="A77" s="142" t="s">
        <v>64</v>
      </c>
      <c r="B77" s="142"/>
      <c r="C77" s="48">
        <f>C74/C76</f>
        <v>80.99</v>
      </c>
      <c r="D77" s="48">
        <f>D74/D76</f>
        <v>257.33</v>
      </c>
      <c r="E77" s="117">
        <f>E74/E76</f>
        <v>285.969</v>
      </c>
    </row>
    <row r="78" spans="1:5" ht="15.75">
      <c r="A78" s="18"/>
      <c r="B78" s="18"/>
      <c r="C78" s="47"/>
      <c r="D78" s="47"/>
      <c r="E78" s="47"/>
    </row>
    <row r="79" spans="1:5" ht="15.75">
      <c r="A79" s="146" t="s">
        <v>56</v>
      </c>
      <c r="B79" s="147"/>
      <c r="C79" s="25">
        <v>80.99</v>
      </c>
      <c r="D79" s="25">
        <v>242.97</v>
      </c>
      <c r="E79" s="50"/>
    </row>
    <row r="80" spans="1:5" ht="15.75">
      <c r="A80" s="146" t="s">
        <v>85</v>
      </c>
      <c r="B80" s="147"/>
      <c r="C80" s="25">
        <f>C79*3</f>
        <v>242.96999999999997</v>
      </c>
      <c r="D80" s="25"/>
      <c r="E80" s="50"/>
    </row>
    <row r="81" spans="1:5" ht="15.75">
      <c r="A81" s="26"/>
      <c r="B81" s="26"/>
      <c r="C81" s="25">
        <f>C80*5</f>
        <v>1214.85</v>
      </c>
      <c r="D81" s="26"/>
      <c r="E81" s="26"/>
    </row>
    <row r="82" spans="1:5" ht="15.75">
      <c r="A82" s="26" t="s">
        <v>57</v>
      </c>
      <c r="B82" s="26"/>
      <c r="C82" s="26"/>
      <c r="D82" s="26"/>
      <c r="E82" s="26"/>
    </row>
    <row r="83" spans="1:5" ht="15.75">
      <c r="A83" s="26"/>
      <c r="B83" s="26"/>
      <c r="C83" s="26"/>
      <c r="D83" s="26"/>
      <c r="E83" s="26"/>
    </row>
    <row r="84" spans="1:5" ht="15.75">
      <c r="A84" s="26" t="s">
        <v>78</v>
      </c>
      <c r="B84" s="27"/>
      <c r="C84" s="27"/>
      <c r="D84" s="27"/>
      <c r="E84" s="27"/>
    </row>
    <row r="85" spans="1:5" ht="15.75">
      <c r="A85" s="26"/>
      <c r="B85" s="28"/>
      <c r="C85" s="28"/>
      <c r="D85" s="28"/>
      <c r="E85" s="26"/>
    </row>
    <row r="86" spans="1:5" ht="15">
      <c r="A86" s="7"/>
      <c r="B86" s="8"/>
      <c r="C86" s="8"/>
      <c r="D86" s="8"/>
      <c r="E86" s="7"/>
    </row>
  </sheetData>
  <sheetProtection/>
  <mergeCells count="11">
    <mergeCell ref="B12:E12"/>
    <mergeCell ref="A76:B76"/>
    <mergeCell ref="A77:B77"/>
    <mergeCell ref="A79:B79"/>
    <mergeCell ref="A80:B80"/>
    <mergeCell ref="B1:E1"/>
    <mergeCell ref="B2:E2"/>
    <mergeCell ref="A6:E6"/>
    <mergeCell ref="A7:B7"/>
    <mergeCell ref="A8:B8"/>
    <mergeCell ref="B11:E11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90"/>
  <sheetViews>
    <sheetView view="pageLayout" zoomScale="90" zoomScalePageLayoutView="90" workbookViewId="0" topLeftCell="A56">
      <selection activeCell="A3" sqref="A3:J3"/>
    </sheetView>
  </sheetViews>
  <sheetFormatPr defaultColWidth="9.140625" defaultRowHeight="12.75"/>
  <cols>
    <col min="1" max="1" width="11.57421875" style="11" customWidth="1"/>
    <col min="2" max="2" width="95.140625" style="11" customWidth="1"/>
    <col min="3" max="4" width="26.57421875" style="11" hidden="1" customWidth="1"/>
    <col min="5" max="5" width="31.7109375" style="11" customWidth="1"/>
  </cols>
  <sheetData>
    <row r="1" spans="1:5" ht="15.75">
      <c r="A1" s="1"/>
      <c r="B1" s="148" t="s">
        <v>53</v>
      </c>
      <c r="C1" s="148"/>
      <c r="D1" s="148"/>
      <c r="E1" s="143"/>
    </row>
    <row r="2" spans="1:5" ht="15.75">
      <c r="A2" s="1"/>
      <c r="B2" s="149" t="s">
        <v>58</v>
      </c>
      <c r="C2" s="149"/>
      <c r="D2" s="149"/>
      <c r="E2" s="150"/>
    </row>
    <row r="3" spans="1:5" ht="15.75">
      <c r="A3" s="1"/>
      <c r="B3" s="19"/>
      <c r="C3" s="19"/>
      <c r="D3" s="19"/>
      <c r="E3" s="120" t="s">
        <v>196</v>
      </c>
    </row>
    <row r="4" spans="1:5" ht="15.75">
      <c r="A4" s="1"/>
      <c r="B4" s="19"/>
      <c r="C4" s="19"/>
      <c r="D4" s="19"/>
      <c r="E4" s="46"/>
    </row>
    <row r="5" spans="1:5" ht="15.75">
      <c r="A5" s="1"/>
      <c r="B5" s="24"/>
      <c r="C5" s="24"/>
      <c r="D5" s="24"/>
      <c r="E5" s="46" t="str">
        <f>'4.3.1.10.'!E5</f>
        <v>2019. gada 15. martā</v>
      </c>
    </row>
    <row r="6" spans="1:5" ht="15">
      <c r="A6" s="1"/>
      <c r="B6" s="2"/>
      <c r="C6" s="2"/>
      <c r="D6" s="2"/>
      <c r="E6" s="2"/>
    </row>
    <row r="7" spans="1:5" ht="18.75">
      <c r="A7" s="138" t="s">
        <v>10</v>
      </c>
      <c r="B7" s="138"/>
      <c r="C7" s="138"/>
      <c r="D7" s="138"/>
      <c r="E7" s="138"/>
    </row>
    <row r="8" spans="1:5" ht="14.25">
      <c r="A8" s="10"/>
      <c r="B8" s="10"/>
      <c r="C8" s="10"/>
      <c r="D8" s="10"/>
      <c r="E8" s="3"/>
    </row>
    <row r="9" spans="1:5" ht="15.75">
      <c r="A9" s="142" t="s">
        <v>1</v>
      </c>
      <c r="B9" s="142"/>
      <c r="C9" s="18"/>
      <c r="D9" s="18"/>
      <c r="E9" s="14"/>
    </row>
    <row r="10" spans="1:5" ht="15.75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160</v>
      </c>
      <c r="C14" s="142"/>
      <c r="D14" s="142"/>
      <c r="E14" s="143"/>
    </row>
    <row r="15" spans="1:5" ht="15.75">
      <c r="A15" s="18" t="s">
        <v>2</v>
      </c>
      <c r="B15" s="18" t="str">
        <f>'4.3.1.10.'!B13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f>1019.45-14.97</f>
        <v>1004.48</v>
      </c>
      <c r="D19" s="37">
        <f>5002.18+50*15.83</f>
        <v>5793.68</v>
      </c>
      <c r="E19" s="37">
        <v>669.67</v>
      </c>
    </row>
    <row r="20" spans="1:5" ht="31.5">
      <c r="A20" s="36">
        <v>1200</v>
      </c>
      <c r="B20" s="38" t="s">
        <v>92</v>
      </c>
      <c r="C20" s="37">
        <f>240.49-3.53</f>
        <v>236.96</v>
      </c>
      <c r="D20" s="37">
        <f>1205.02+50*3.81</f>
        <v>1395.52</v>
      </c>
      <c r="E20" s="37">
        <v>161.32</v>
      </c>
    </row>
    <row r="21" spans="1:5" ht="15.75">
      <c r="A21" s="36">
        <v>2222</v>
      </c>
      <c r="B21" s="38" t="s">
        <v>43</v>
      </c>
      <c r="C21" s="37">
        <v>50.91</v>
      </c>
      <c r="D21" s="37">
        <f aca="true" t="shared" si="0" ref="D21:D29">C21*5</f>
        <v>254.54999999999998</v>
      </c>
      <c r="E21" s="37">
        <v>25.46</v>
      </c>
    </row>
    <row r="22" spans="1:5" ht="15.75">
      <c r="A22" s="36">
        <v>2223</v>
      </c>
      <c r="B22" s="38" t="s">
        <v>44</v>
      </c>
      <c r="C22" s="37">
        <v>64.81</v>
      </c>
      <c r="D22" s="37">
        <f t="shared" si="0"/>
        <v>324.05</v>
      </c>
      <c r="E22" s="37">
        <v>32.41</v>
      </c>
    </row>
    <row r="23" spans="1:5" ht="15.75">
      <c r="A23" s="36">
        <v>2243</v>
      </c>
      <c r="B23" s="38" t="s">
        <v>15</v>
      </c>
      <c r="C23" s="37">
        <v>14.19</v>
      </c>
      <c r="D23" s="37">
        <f t="shared" si="0"/>
        <v>70.95</v>
      </c>
      <c r="E23" s="37">
        <v>7.1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>D24/10</f>
        <v>0</v>
      </c>
    </row>
    <row r="25" spans="1:5" ht="15.75">
      <c r="A25" s="36">
        <v>2321</v>
      </c>
      <c r="B25" s="38" t="s">
        <v>25</v>
      </c>
      <c r="C25" s="37">
        <v>91.13</v>
      </c>
      <c r="D25" s="37">
        <f t="shared" si="0"/>
        <v>455.65</v>
      </c>
      <c r="E25" s="37">
        <v>45.57</v>
      </c>
    </row>
    <row r="26" spans="1:5" ht="15.75">
      <c r="A26" s="36">
        <v>2341</v>
      </c>
      <c r="B26" s="38" t="s">
        <v>27</v>
      </c>
      <c r="C26" s="37">
        <v>98.08</v>
      </c>
      <c r="D26" s="37">
        <f t="shared" si="0"/>
        <v>490.4</v>
      </c>
      <c r="E26" s="37">
        <v>49.04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>D27/10</f>
        <v>0</v>
      </c>
    </row>
    <row r="28" spans="1:5" ht="15.75">
      <c r="A28" s="36">
        <v>2363</v>
      </c>
      <c r="B28" s="38" t="s">
        <v>32</v>
      </c>
      <c r="C28" s="37">
        <v>369</v>
      </c>
      <c r="D28" s="37">
        <f t="shared" si="0"/>
        <v>1845</v>
      </c>
      <c r="E28" s="37">
        <v>203</v>
      </c>
    </row>
    <row r="29" spans="1:5" ht="15.75">
      <c r="A29" s="36">
        <v>5232</v>
      </c>
      <c r="B29" s="38" t="s">
        <v>37</v>
      </c>
      <c r="C29" s="37">
        <v>18.53</v>
      </c>
      <c r="D29" s="37">
        <f t="shared" si="0"/>
        <v>92.65</v>
      </c>
      <c r="E29" s="37">
        <v>9.27</v>
      </c>
    </row>
    <row r="30" spans="1:5" ht="15.75">
      <c r="A30" s="36"/>
      <c r="B30" s="39" t="s">
        <v>7</v>
      </c>
      <c r="C30" s="40">
        <f>SUM(C19:C29)</f>
        <v>1948.09</v>
      </c>
      <c r="D30" s="40">
        <f>SUM(D19:D29)</f>
        <v>10722.45</v>
      </c>
      <c r="E30" s="40">
        <f>SUM(E19:E29)</f>
        <v>1202.8400000000001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635.32</v>
      </c>
      <c r="D32" s="37">
        <v>3163.79</v>
      </c>
      <c r="E32" s="37">
        <v>316.38</v>
      </c>
    </row>
    <row r="33" spans="1:5" ht="31.5">
      <c r="A33" s="36">
        <v>1200</v>
      </c>
      <c r="B33" s="38" t="s">
        <v>92</v>
      </c>
      <c r="C33" s="37">
        <v>149.87</v>
      </c>
      <c r="D33" s="37">
        <v>762.16</v>
      </c>
      <c r="E33" s="37">
        <v>76.22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1" ref="D34:D73">C34*5</f>
        <v>0</v>
      </c>
      <c r="E34" s="37">
        <f aca="true" t="shared" si="2" ref="E34:E72">D34/10</f>
        <v>0</v>
      </c>
    </row>
    <row r="35" spans="1:5" ht="15.75">
      <c r="A35" s="43">
        <v>2210</v>
      </c>
      <c r="B35" s="38" t="s">
        <v>42</v>
      </c>
      <c r="C35" s="37">
        <v>10.6</v>
      </c>
      <c r="D35" s="37">
        <f t="shared" si="1"/>
        <v>53</v>
      </c>
      <c r="E35" s="37">
        <v>5.3</v>
      </c>
    </row>
    <row r="36" spans="1:5" ht="15.75">
      <c r="A36" s="36">
        <v>2222</v>
      </c>
      <c r="B36" s="38" t="s">
        <v>43</v>
      </c>
      <c r="C36" s="37">
        <v>27.43</v>
      </c>
      <c r="D36" s="37">
        <f t="shared" si="1"/>
        <v>137.15</v>
      </c>
      <c r="E36" s="37">
        <f t="shared" si="2"/>
        <v>13.715</v>
      </c>
    </row>
    <row r="37" spans="1:5" ht="15.75">
      <c r="A37" s="36">
        <v>2223</v>
      </c>
      <c r="B37" s="38" t="s">
        <v>44</v>
      </c>
      <c r="C37" s="37">
        <v>5.22</v>
      </c>
      <c r="D37" s="37">
        <f t="shared" si="1"/>
        <v>26.099999999999998</v>
      </c>
      <c r="E37" s="37">
        <f t="shared" si="2"/>
        <v>2.61</v>
      </c>
    </row>
    <row r="38" spans="1:5" ht="15.75">
      <c r="A38" s="36">
        <v>2230</v>
      </c>
      <c r="B38" s="38" t="s">
        <v>45</v>
      </c>
      <c r="C38" s="37">
        <v>8.18</v>
      </c>
      <c r="D38" s="37">
        <f t="shared" si="1"/>
        <v>40.9</v>
      </c>
      <c r="E38" s="37">
        <f t="shared" si="2"/>
        <v>4.09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1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2.44</v>
      </c>
      <c r="D40" s="37">
        <f t="shared" si="1"/>
        <v>12.2</v>
      </c>
      <c r="E40" s="37">
        <f t="shared" si="2"/>
        <v>1.22</v>
      </c>
    </row>
    <row r="41" spans="1:5" ht="15.75">
      <c r="A41" s="36">
        <v>2243</v>
      </c>
      <c r="B41" s="38" t="s">
        <v>15</v>
      </c>
      <c r="C41" s="37">
        <v>12.09</v>
      </c>
      <c r="D41" s="37">
        <f t="shared" si="1"/>
        <v>60.45</v>
      </c>
      <c r="E41" s="37">
        <f t="shared" si="2"/>
        <v>6.045</v>
      </c>
    </row>
    <row r="42" spans="1:5" ht="15.75">
      <c r="A42" s="36">
        <v>2244</v>
      </c>
      <c r="B42" s="38" t="s">
        <v>16</v>
      </c>
      <c r="C42" s="37">
        <v>240.24</v>
      </c>
      <c r="D42" s="37">
        <f t="shared" si="1"/>
        <v>1201.2</v>
      </c>
      <c r="E42" s="37">
        <v>191.12</v>
      </c>
    </row>
    <row r="43" spans="1:5" ht="15.75">
      <c r="A43" s="36">
        <v>2247</v>
      </c>
      <c r="B43" s="34" t="s">
        <v>93</v>
      </c>
      <c r="C43" s="37">
        <v>0.65</v>
      </c>
      <c r="D43" s="37">
        <f t="shared" si="1"/>
        <v>3.25</v>
      </c>
      <c r="E43" s="37">
        <f t="shared" si="2"/>
        <v>0.325</v>
      </c>
    </row>
    <row r="44" spans="1:5" ht="15.75">
      <c r="A44" s="36">
        <v>2249</v>
      </c>
      <c r="B44" s="38" t="s">
        <v>17</v>
      </c>
      <c r="C44" s="37">
        <v>2.81</v>
      </c>
      <c r="D44" s="37">
        <f t="shared" si="1"/>
        <v>14.05</v>
      </c>
      <c r="E44" s="37">
        <f t="shared" si="2"/>
        <v>1.405</v>
      </c>
    </row>
    <row r="45" spans="1:5" ht="15.75">
      <c r="A45" s="36">
        <v>2251</v>
      </c>
      <c r="B45" s="38" t="s">
        <v>94</v>
      </c>
      <c r="C45" s="37">
        <v>38.96</v>
      </c>
      <c r="D45" s="37">
        <f t="shared" si="1"/>
        <v>194.8</v>
      </c>
      <c r="E45" s="37">
        <f t="shared" si="2"/>
        <v>19.48</v>
      </c>
    </row>
    <row r="46" spans="1:5" ht="15.75">
      <c r="A46" s="36">
        <v>2252</v>
      </c>
      <c r="B46" s="38" t="s">
        <v>96</v>
      </c>
      <c r="C46" s="37">
        <v>0.35</v>
      </c>
      <c r="D46" s="37">
        <f t="shared" si="1"/>
        <v>1.75</v>
      </c>
      <c r="E46" s="37">
        <f t="shared" si="2"/>
        <v>0.175</v>
      </c>
    </row>
    <row r="47" spans="1:5" ht="15.75">
      <c r="A47" s="36">
        <v>2259</v>
      </c>
      <c r="B47" s="38" t="s">
        <v>95</v>
      </c>
      <c r="C47" s="37">
        <v>0.06</v>
      </c>
      <c r="D47" s="37">
        <f t="shared" si="1"/>
        <v>0.3</v>
      </c>
      <c r="E47" s="37">
        <f t="shared" si="2"/>
        <v>0.03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1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7.14</v>
      </c>
      <c r="D49" s="37">
        <f t="shared" si="1"/>
        <v>35.699999999999996</v>
      </c>
      <c r="E49" s="37">
        <f t="shared" si="2"/>
        <v>3.5699999999999994</v>
      </c>
    </row>
    <row r="50" spans="1:5" ht="15.75">
      <c r="A50" s="36">
        <v>2263</v>
      </c>
      <c r="B50" s="38" t="s">
        <v>20</v>
      </c>
      <c r="C50" s="37">
        <v>26.32</v>
      </c>
      <c r="D50" s="37">
        <f t="shared" si="1"/>
        <v>131.6</v>
      </c>
      <c r="E50" s="37">
        <f t="shared" si="2"/>
        <v>13.16</v>
      </c>
    </row>
    <row r="51" spans="1:5" ht="15.75">
      <c r="A51" s="36">
        <v>2264</v>
      </c>
      <c r="B51" s="38" t="s">
        <v>21</v>
      </c>
      <c r="C51" s="37">
        <v>0.13</v>
      </c>
      <c r="D51" s="37">
        <f t="shared" si="1"/>
        <v>0.65</v>
      </c>
      <c r="E51" s="37">
        <f t="shared" si="2"/>
        <v>0.065</v>
      </c>
    </row>
    <row r="52" spans="1:5" ht="15.75">
      <c r="A52" s="36">
        <v>2279</v>
      </c>
      <c r="B52" s="38" t="s">
        <v>22</v>
      </c>
      <c r="C52" s="37">
        <v>29.4</v>
      </c>
      <c r="D52" s="37">
        <f t="shared" si="1"/>
        <v>147</v>
      </c>
      <c r="E52" s="37">
        <f t="shared" si="2"/>
        <v>14.7</v>
      </c>
    </row>
    <row r="53" spans="1:5" ht="15.75">
      <c r="A53" s="36">
        <v>2311</v>
      </c>
      <c r="B53" s="38" t="s">
        <v>23</v>
      </c>
      <c r="C53" s="37">
        <v>2.77</v>
      </c>
      <c r="D53" s="37">
        <f t="shared" si="1"/>
        <v>13.85</v>
      </c>
      <c r="E53" s="37">
        <f t="shared" si="2"/>
        <v>1.385</v>
      </c>
    </row>
    <row r="54" spans="1:5" ht="15.75">
      <c r="A54" s="36">
        <v>2312</v>
      </c>
      <c r="B54" s="38" t="s">
        <v>24</v>
      </c>
      <c r="C54" s="37">
        <v>5.12</v>
      </c>
      <c r="D54" s="37">
        <f t="shared" si="1"/>
        <v>25.6</v>
      </c>
      <c r="E54" s="37">
        <f t="shared" si="2"/>
        <v>2.56</v>
      </c>
    </row>
    <row r="55" spans="1:5" ht="15.75">
      <c r="A55" s="36">
        <v>2321</v>
      </c>
      <c r="B55" s="38" t="s">
        <v>25</v>
      </c>
      <c r="C55" s="37">
        <v>107.02</v>
      </c>
      <c r="D55" s="37">
        <f t="shared" si="1"/>
        <v>535.1</v>
      </c>
      <c r="E55" s="37">
        <f t="shared" si="2"/>
        <v>53.510000000000005</v>
      </c>
    </row>
    <row r="56" spans="1:5" ht="15.75">
      <c r="A56" s="36">
        <v>2322</v>
      </c>
      <c r="B56" s="38" t="s">
        <v>26</v>
      </c>
      <c r="C56" s="37">
        <v>59.02</v>
      </c>
      <c r="D56" s="37">
        <f t="shared" si="1"/>
        <v>295.1</v>
      </c>
      <c r="E56" s="37">
        <f t="shared" si="2"/>
        <v>29.51</v>
      </c>
    </row>
    <row r="57" spans="1:5" ht="15.75">
      <c r="A57" s="36">
        <v>2341</v>
      </c>
      <c r="B57" s="38" t="s">
        <v>27</v>
      </c>
      <c r="C57" s="37">
        <v>2.58</v>
      </c>
      <c r="D57" s="37">
        <f t="shared" si="1"/>
        <v>12.9</v>
      </c>
      <c r="E57" s="37">
        <f t="shared" si="2"/>
        <v>1.29</v>
      </c>
    </row>
    <row r="58" spans="1:5" ht="15.75">
      <c r="A58" s="36">
        <v>2344</v>
      </c>
      <c r="B58" s="38" t="s">
        <v>28</v>
      </c>
      <c r="C58" s="37">
        <v>0.04</v>
      </c>
      <c r="D58" s="37">
        <f t="shared" si="1"/>
        <v>0.2</v>
      </c>
      <c r="E58" s="37">
        <f t="shared" si="2"/>
        <v>0.02</v>
      </c>
    </row>
    <row r="59" spans="1:5" ht="15.75">
      <c r="A59" s="36">
        <v>2350</v>
      </c>
      <c r="B59" s="38" t="s">
        <v>29</v>
      </c>
      <c r="C59" s="37">
        <v>34.93</v>
      </c>
      <c r="D59" s="37">
        <f t="shared" si="1"/>
        <v>174.65</v>
      </c>
      <c r="E59" s="37">
        <f t="shared" si="2"/>
        <v>17.465</v>
      </c>
    </row>
    <row r="60" spans="1:5" ht="15.75">
      <c r="A60" s="36">
        <v>2361</v>
      </c>
      <c r="B60" s="38" t="s">
        <v>30</v>
      </c>
      <c r="C60" s="37">
        <v>10.61</v>
      </c>
      <c r="D60" s="37">
        <f t="shared" si="1"/>
        <v>53.05</v>
      </c>
      <c r="E60" s="37">
        <f t="shared" si="2"/>
        <v>5.305</v>
      </c>
    </row>
    <row r="61" spans="1:5" ht="15.75">
      <c r="A61" s="36">
        <v>2362</v>
      </c>
      <c r="B61" s="38" t="s">
        <v>31</v>
      </c>
      <c r="C61" s="37">
        <v>5.52</v>
      </c>
      <c r="D61" s="37">
        <f t="shared" si="1"/>
        <v>27.599999999999998</v>
      </c>
      <c r="E61" s="37">
        <f t="shared" si="2"/>
        <v>2.76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1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1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1.14</v>
      </c>
      <c r="D64" s="37">
        <f t="shared" si="1"/>
        <v>5.699999999999999</v>
      </c>
      <c r="E64" s="37">
        <f t="shared" si="2"/>
        <v>0.57</v>
      </c>
    </row>
    <row r="65" spans="1:5" ht="15.75">
      <c r="A65" s="36">
        <v>2513</v>
      </c>
      <c r="B65" s="38" t="s">
        <v>35</v>
      </c>
      <c r="C65" s="37">
        <v>17.82</v>
      </c>
      <c r="D65" s="37">
        <f t="shared" si="1"/>
        <v>89.1</v>
      </c>
      <c r="E65" s="37">
        <f t="shared" si="2"/>
        <v>8.91</v>
      </c>
    </row>
    <row r="66" spans="1:5" ht="15.75">
      <c r="A66" s="36">
        <v>2515</v>
      </c>
      <c r="B66" s="38" t="s">
        <v>97</v>
      </c>
      <c r="C66" s="37">
        <v>0.79</v>
      </c>
      <c r="D66" s="37">
        <f t="shared" si="1"/>
        <v>3.95</v>
      </c>
      <c r="E66" s="37">
        <f t="shared" si="2"/>
        <v>0.395</v>
      </c>
    </row>
    <row r="67" spans="1:5" ht="15.75">
      <c r="A67" s="36">
        <v>2519</v>
      </c>
      <c r="B67" s="38" t="s">
        <v>38</v>
      </c>
      <c r="C67" s="37">
        <v>4.15</v>
      </c>
      <c r="D67" s="37">
        <f t="shared" si="1"/>
        <v>20.75</v>
      </c>
      <c r="E67" s="37">
        <f t="shared" si="2"/>
        <v>2.075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1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1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3.36</v>
      </c>
      <c r="D70" s="37">
        <f t="shared" si="1"/>
        <v>16.8</v>
      </c>
      <c r="E70" s="37">
        <f t="shared" si="2"/>
        <v>1.6800000000000002</v>
      </c>
    </row>
    <row r="71" spans="1:5" ht="15.75">
      <c r="A71" s="36">
        <v>5232</v>
      </c>
      <c r="B71" s="38" t="s">
        <v>37</v>
      </c>
      <c r="C71" s="37">
        <v>64.58</v>
      </c>
      <c r="D71" s="37">
        <f t="shared" si="1"/>
        <v>322.9</v>
      </c>
      <c r="E71" s="37">
        <f t="shared" si="2"/>
        <v>32.29</v>
      </c>
    </row>
    <row r="72" spans="1:5" ht="15.75">
      <c r="A72" s="36">
        <v>5238</v>
      </c>
      <c r="B72" s="38" t="s">
        <v>39</v>
      </c>
      <c r="C72" s="37">
        <v>39.79</v>
      </c>
      <c r="D72" s="37">
        <f t="shared" si="1"/>
        <v>198.95</v>
      </c>
      <c r="E72" s="37">
        <f t="shared" si="2"/>
        <v>19.895</v>
      </c>
    </row>
    <row r="73" spans="1:5" ht="15.75">
      <c r="A73" s="36">
        <v>5240</v>
      </c>
      <c r="B73" s="38" t="s">
        <v>40</v>
      </c>
      <c r="C73" s="37">
        <v>28.46</v>
      </c>
      <c r="D73" s="37">
        <f t="shared" si="1"/>
        <v>142.3</v>
      </c>
      <c r="E73" s="37">
        <f>D73/10</f>
        <v>14.23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1584.9099999999999</v>
      </c>
      <c r="D75" s="40">
        <f>SUM(D32:D74)</f>
        <v>7924.55</v>
      </c>
      <c r="E75" s="40">
        <f>SUM(E32:E74)</f>
        <v>863.4599999999999</v>
      </c>
    </row>
    <row r="76" spans="1:5" ht="15.75">
      <c r="A76" s="41"/>
      <c r="B76" s="45" t="s">
        <v>48</v>
      </c>
      <c r="C76" s="40">
        <f>C75+C30</f>
        <v>3533</v>
      </c>
      <c r="D76" s="40">
        <f>D75+D30</f>
        <v>18647</v>
      </c>
      <c r="E76" s="40">
        <f>E75+E30</f>
        <v>2066.3</v>
      </c>
    </row>
    <row r="77" spans="1:5" ht="15.75">
      <c r="A77" s="46"/>
      <c r="B77" s="29"/>
      <c r="C77" s="14"/>
      <c r="D77" s="14"/>
      <c r="E77" s="14"/>
    </row>
    <row r="78" spans="1:5" ht="15.75">
      <c r="A78" s="142" t="s">
        <v>63</v>
      </c>
      <c r="B78" s="142"/>
      <c r="C78" s="30">
        <v>50</v>
      </c>
      <c r="D78" s="30">
        <v>50</v>
      </c>
      <c r="E78" s="116">
        <v>5</v>
      </c>
    </row>
    <row r="79" spans="1:5" ht="15.75">
      <c r="A79" s="142" t="s">
        <v>64</v>
      </c>
      <c r="B79" s="142"/>
      <c r="C79" s="48">
        <f>C76/C78</f>
        <v>70.66</v>
      </c>
      <c r="D79" s="48">
        <f>D76/D78</f>
        <v>372.94</v>
      </c>
      <c r="E79" s="117">
        <f>E76/E78</f>
        <v>413.26000000000005</v>
      </c>
    </row>
    <row r="80" spans="1:5" ht="15.75">
      <c r="A80" s="18"/>
      <c r="B80" s="18"/>
      <c r="C80" s="47"/>
      <c r="D80" s="47"/>
      <c r="E80" s="47"/>
    </row>
    <row r="81" spans="1:5" ht="15.75">
      <c r="A81" s="146" t="s">
        <v>56</v>
      </c>
      <c r="B81" s="147"/>
      <c r="C81" s="25">
        <v>70.66</v>
      </c>
      <c r="D81" s="25">
        <v>353.3</v>
      </c>
      <c r="E81" s="50"/>
    </row>
    <row r="82" spans="1:5" ht="15.75">
      <c r="A82" s="146" t="s">
        <v>85</v>
      </c>
      <c r="B82" s="147"/>
      <c r="C82" s="25">
        <f>C81*5</f>
        <v>353.29999999999995</v>
      </c>
      <c r="D82" s="25"/>
      <c r="E82" s="50"/>
    </row>
    <row r="83" spans="1:5" ht="15.75">
      <c r="A83" s="26"/>
      <c r="B83" s="26"/>
      <c r="C83" s="25">
        <f>C82*5</f>
        <v>1766.4999999999998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  <row r="90" ht="12.75">
      <c r="E90" s="69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90" zoomScalePageLayoutView="90" workbookViewId="0" topLeftCell="A59">
      <selection activeCell="A3" sqref="A3:J3"/>
    </sheetView>
  </sheetViews>
  <sheetFormatPr defaultColWidth="9.140625" defaultRowHeight="12.75"/>
  <cols>
    <col min="1" max="1" width="12.00390625" style="11" customWidth="1"/>
    <col min="2" max="2" width="94.421875" style="11" customWidth="1"/>
    <col min="3" max="4" width="25.7109375" style="11" hidden="1" customWidth="1"/>
    <col min="5" max="5" width="31.8515625" style="11" customWidth="1"/>
  </cols>
  <sheetData>
    <row r="1" spans="1:5" ht="15.75">
      <c r="A1" s="21"/>
      <c r="B1" s="148" t="s">
        <v>53</v>
      </c>
      <c r="C1" s="148"/>
      <c r="D1" s="148"/>
      <c r="E1" s="143"/>
    </row>
    <row r="2" spans="1:5" ht="15.75">
      <c r="A2" s="21"/>
      <c r="B2" s="149" t="s">
        <v>58</v>
      </c>
      <c r="C2" s="149"/>
      <c r="D2" s="149"/>
      <c r="E2" s="150"/>
    </row>
    <row r="3" spans="1:5" ht="15.75">
      <c r="A3" s="21"/>
      <c r="B3" s="19"/>
      <c r="C3" s="19"/>
      <c r="D3" s="19"/>
      <c r="E3" s="120" t="s">
        <v>196</v>
      </c>
    </row>
    <row r="4" spans="1:5" ht="15.75">
      <c r="A4" s="21"/>
      <c r="B4" s="19"/>
      <c r="C4" s="19"/>
      <c r="D4" s="19"/>
      <c r="E4" s="46"/>
    </row>
    <row r="5" spans="1:5" ht="15.75">
      <c r="A5" s="21"/>
      <c r="B5" s="24"/>
      <c r="C5" s="24"/>
      <c r="D5" s="24"/>
      <c r="E5" s="46" t="s">
        <v>198</v>
      </c>
    </row>
    <row r="6" spans="1:5" ht="15.75">
      <c r="A6" s="21"/>
      <c r="B6" s="19"/>
      <c r="C6" s="19"/>
      <c r="D6" s="19"/>
      <c r="E6" s="19"/>
    </row>
    <row r="7" spans="1:5" ht="18.75">
      <c r="A7" s="138" t="s">
        <v>10</v>
      </c>
      <c r="B7" s="138"/>
      <c r="C7" s="138"/>
      <c r="D7" s="138"/>
      <c r="E7" s="138"/>
    </row>
    <row r="8" spans="1:5" ht="15.75">
      <c r="A8" s="57"/>
      <c r="B8" s="57"/>
      <c r="C8" s="57"/>
      <c r="D8" s="57"/>
      <c r="E8" s="14"/>
    </row>
    <row r="9" spans="1:5" ht="15.75">
      <c r="A9" s="142" t="s">
        <v>1</v>
      </c>
      <c r="B9" s="142"/>
      <c r="C9" s="18"/>
      <c r="D9" s="18"/>
      <c r="E9" s="14"/>
    </row>
    <row r="10" spans="1:5" ht="15.75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161</v>
      </c>
      <c r="C14" s="142"/>
      <c r="D14" s="142"/>
      <c r="E14" s="143"/>
    </row>
    <row r="15" spans="1:5" ht="15.75">
      <c r="A15" s="18" t="s">
        <v>2</v>
      </c>
      <c r="B15" s="18" t="s">
        <v>194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f>980.94-14.97</f>
        <v>965.97</v>
      </c>
      <c r="D19" s="37">
        <f>4810.38+15.83*50</f>
        <v>5601.88</v>
      </c>
      <c r="E19" s="37">
        <v>650.49</v>
      </c>
    </row>
    <row r="20" spans="1:5" ht="31.5">
      <c r="A20" s="36">
        <v>1200</v>
      </c>
      <c r="B20" s="38" t="s">
        <v>92</v>
      </c>
      <c r="C20" s="37">
        <f>231.4-3.53</f>
        <v>227.87</v>
      </c>
      <c r="D20" s="37">
        <f>1158.82+50*3.81</f>
        <v>1349.32</v>
      </c>
      <c r="E20" s="37">
        <v>156.7</v>
      </c>
    </row>
    <row r="21" spans="1:5" ht="15.75">
      <c r="A21" s="36">
        <v>2222</v>
      </c>
      <c r="B21" s="38" t="s">
        <v>43</v>
      </c>
      <c r="C21" s="37">
        <v>45.99</v>
      </c>
      <c r="D21" s="37">
        <f aca="true" t="shared" si="0" ref="D21:D29">C21*5</f>
        <v>229.95000000000002</v>
      </c>
      <c r="E21" s="37">
        <f aca="true" t="shared" si="1" ref="E21:E29">D21/10</f>
        <v>22.995</v>
      </c>
    </row>
    <row r="22" spans="1:5" ht="15.75">
      <c r="A22" s="36">
        <v>2223</v>
      </c>
      <c r="B22" s="38" t="s">
        <v>44</v>
      </c>
      <c r="C22" s="37">
        <v>59.69</v>
      </c>
      <c r="D22" s="37">
        <f t="shared" si="0"/>
        <v>298.45</v>
      </c>
      <c r="E22" s="37">
        <f t="shared" si="1"/>
        <v>29.845</v>
      </c>
    </row>
    <row r="23" spans="1:5" ht="15.75">
      <c r="A23" s="36">
        <v>2243</v>
      </c>
      <c r="B23" s="38" t="s">
        <v>15</v>
      </c>
      <c r="C23" s="37">
        <v>13.48</v>
      </c>
      <c r="D23" s="37">
        <f t="shared" si="0"/>
        <v>67.4</v>
      </c>
      <c r="E23" s="37">
        <f t="shared" si="1"/>
        <v>6.74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.75">
      <c r="A25" s="36">
        <v>2321</v>
      </c>
      <c r="B25" s="38" t="s">
        <v>25</v>
      </c>
      <c r="C25" s="37">
        <v>81.85</v>
      </c>
      <c r="D25" s="37">
        <f t="shared" si="0"/>
        <v>409.25</v>
      </c>
      <c r="E25" s="37">
        <f t="shared" si="1"/>
        <v>40.925</v>
      </c>
    </row>
    <row r="26" spans="1:5" ht="15.75">
      <c r="A26" s="36">
        <v>2341</v>
      </c>
      <c r="B26" s="38" t="s">
        <v>27</v>
      </c>
      <c r="C26" s="37">
        <v>84.81</v>
      </c>
      <c r="D26" s="37">
        <f t="shared" si="0"/>
        <v>424.05</v>
      </c>
      <c r="E26" s="37">
        <f t="shared" si="1"/>
        <v>42.405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369</v>
      </c>
      <c r="D28" s="37">
        <f t="shared" si="0"/>
        <v>1845</v>
      </c>
      <c r="E28" s="37">
        <v>203</v>
      </c>
    </row>
    <row r="29" spans="1:5" ht="15.75">
      <c r="A29" s="36">
        <v>5232</v>
      </c>
      <c r="B29" s="38" t="s">
        <v>37</v>
      </c>
      <c r="C29" s="37">
        <v>17.72</v>
      </c>
      <c r="D29" s="37">
        <f t="shared" si="0"/>
        <v>88.6</v>
      </c>
      <c r="E29" s="37">
        <f t="shared" si="1"/>
        <v>8.86</v>
      </c>
    </row>
    <row r="30" spans="1:5" ht="15.75">
      <c r="A30" s="36"/>
      <c r="B30" s="39" t="s">
        <v>7</v>
      </c>
      <c r="C30" s="40">
        <f>SUM(C19:C29)</f>
        <v>1866.38</v>
      </c>
      <c r="D30" s="40">
        <f>SUM(D19:D29)</f>
        <v>10313.9</v>
      </c>
      <c r="E30" s="40">
        <f>SUM(E19:E29)</f>
        <v>1161.9599999999998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592.39</v>
      </c>
      <c r="D32" s="37">
        <f>2949.88</f>
        <v>2949.88</v>
      </c>
      <c r="E32" s="37">
        <f aca="true" t="shared" si="2" ref="E32:E73">D32/10</f>
        <v>294.988</v>
      </c>
    </row>
    <row r="33" spans="1:5" ht="31.5">
      <c r="A33" s="36">
        <v>1200</v>
      </c>
      <c r="B33" s="38" t="s">
        <v>92</v>
      </c>
      <c r="C33" s="37">
        <v>139.71</v>
      </c>
      <c r="D33" s="37">
        <v>710.62</v>
      </c>
      <c r="E33" s="37">
        <f t="shared" si="2"/>
        <v>71.062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3">C34*5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10.07</v>
      </c>
      <c r="D35" s="37">
        <f t="shared" si="3"/>
        <v>50.35</v>
      </c>
      <c r="E35" s="37">
        <f t="shared" si="2"/>
        <v>5.035</v>
      </c>
    </row>
    <row r="36" spans="1:5" ht="15.75">
      <c r="A36" s="36">
        <v>2222</v>
      </c>
      <c r="B36" s="38" t="s">
        <v>43</v>
      </c>
      <c r="C36" s="37">
        <v>27.43</v>
      </c>
      <c r="D36" s="37">
        <f t="shared" si="3"/>
        <v>137.15</v>
      </c>
      <c r="E36" s="37">
        <f t="shared" si="2"/>
        <v>13.715</v>
      </c>
    </row>
    <row r="37" spans="1:5" ht="15.75">
      <c r="A37" s="36">
        <v>2223</v>
      </c>
      <c r="B37" s="38" t="s">
        <v>44</v>
      </c>
      <c r="C37" s="37">
        <v>44.45</v>
      </c>
      <c r="D37" s="37">
        <f t="shared" si="3"/>
        <v>222.25</v>
      </c>
      <c r="E37" s="37">
        <f t="shared" si="2"/>
        <v>22.225</v>
      </c>
    </row>
    <row r="38" spans="1:5" ht="15.75">
      <c r="A38" s="36">
        <v>2230</v>
      </c>
      <c r="B38" s="38" t="s">
        <v>45</v>
      </c>
      <c r="C38" s="37">
        <v>7.78</v>
      </c>
      <c r="D38" s="37">
        <f t="shared" si="3"/>
        <v>38.9</v>
      </c>
      <c r="E38" s="37">
        <f t="shared" si="2"/>
        <v>3.8899999999999997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2.32</v>
      </c>
      <c r="D40" s="37">
        <f t="shared" si="3"/>
        <v>11.6</v>
      </c>
      <c r="E40" s="37">
        <f t="shared" si="2"/>
        <v>1.16</v>
      </c>
    </row>
    <row r="41" spans="1:5" ht="15.75">
      <c r="A41" s="36">
        <v>2243</v>
      </c>
      <c r="B41" s="38" t="s">
        <v>15</v>
      </c>
      <c r="C41" s="37">
        <v>11.48</v>
      </c>
      <c r="D41" s="37">
        <f t="shared" si="3"/>
        <v>57.400000000000006</v>
      </c>
      <c r="E41" s="37">
        <f t="shared" si="2"/>
        <v>5.74</v>
      </c>
    </row>
    <row r="42" spans="1:5" ht="15.75">
      <c r="A42" s="36">
        <v>2244</v>
      </c>
      <c r="B42" s="38" t="s">
        <v>16</v>
      </c>
      <c r="C42" s="37">
        <v>233.09</v>
      </c>
      <c r="D42" s="37">
        <f t="shared" si="3"/>
        <v>1165.45</v>
      </c>
      <c r="E42" s="37">
        <v>179.32</v>
      </c>
    </row>
    <row r="43" spans="1:5" ht="15.75">
      <c r="A43" s="36">
        <v>2247</v>
      </c>
      <c r="B43" s="34" t="s">
        <v>93</v>
      </c>
      <c r="C43" s="37">
        <v>0.61</v>
      </c>
      <c r="D43" s="37">
        <f t="shared" si="3"/>
        <v>3.05</v>
      </c>
      <c r="E43" s="37">
        <f t="shared" si="2"/>
        <v>0.305</v>
      </c>
    </row>
    <row r="44" spans="1:5" ht="15.75">
      <c r="A44" s="36">
        <v>2249</v>
      </c>
      <c r="B44" s="38" t="s">
        <v>17</v>
      </c>
      <c r="C44" s="37">
        <v>2.67</v>
      </c>
      <c r="D44" s="37">
        <f t="shared" si="3"/>
        <v>13.35</v>
      </c>
      <c r="E44" s="37">
        <f t="shared" si="2"/>
        <v>1.335</v>
      </c>
    </row>
    <row r="45" spans="1:5" ht="15.75">
      <c r="A45" s="36">
        <v>2251</v>
      </c>
      <c r="B45" s="38" t="s">
        <v>94</v>
      </c>
      <c r="C45" s="37">
        <v>37.64</v>
      </c>
      <c r="D45" s="37">
        <f t="shared" si="3"/>
        <v>188.2</v>
      </c>
      <c r="E45" s="37">
        <f t="shared" si="2"/>
        <v>18.82</v>
      </c>
    </row>
    <row r="46" spans="1:5" ht="15.75">
      <c r="A46" s="36">
        <v>2252</v>
      </c>
      <c r="B46" s="38" t="s">
        <v>96</v>
      </c>
      <c r="C46" s="37">
        <v>0.33</v>
      </c>
      <c r="D46" s="37">
        <f t="shared" si="3"/>
        <v>1.6500000000000001</v>
      </c>
      <c r="E46" s="37">
        <f t="shared" si="2"/>
        <v>0.165</v>
      </c>
    </row>
    <row r="47" spans="1:5" ht="15.75">
      <c r="A47" s="36">
        <v>2259</v>
      </c>
      <c r="B47" s="38" t="s">
        <v>95</v>
      </c>
      <c r="C47" s="37">
        <v>0.05</v>
      </c>
      <c r="D47" s="37">
        <f t="shared" si="3"/>
        <v>0.25</v>
      </c>
      <c r="E47" s="37">
        <f t="shared" si="2"/>
        <v>0.025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6.78</v>
      </c>
      <c r="D49" s="37">
        <f t="shared" si="3"/>
        <v>33.9</v>
      </c>
      <c r="E49" s="37">
        <f t="shared" si="2"/>
        <v>3.3899999999999997</v>
      </c>
    </row>
    <row r="50" spans="1:5" ht="15.75">
      <c r="A50" s="36">
        <v>2263</v>
      </c>
      <c r="B50" s="38" t="s">
        <v>20</v>
      </c>
      <c r="C50" s="37">
        <v>25</v>
      </c>
      <c r="D50" s="37">
        <f t="shared" si="3"/>
        <v>125</v>
      </c>
      <c r="E50" s="37">
        <f t="shared" si="2"/>
        <v>12.5</v>
      </c>
    </row>
    <row r="51" spans="1:5" ht="15.75">
      <c r="A51" s="36">
        <v>2264</v>
      </c>
      <c r="B51" s="38" t="s">
        <v>21</v>
      </c>
      <c r="C51" s="37">
        <v>0.13</v>
      </c>
      <c r="D51" s="37">
        <f t="shared" si="3"/>
        <v>0.65</v>
      </c>
      <c r="E51" s="37">
        <f t="shared" si="2"/>
        <v>0.065</v>
      </c>
    </row>
    <row r="52" spans="1:5" ht="15.75">
      <c r="A52" s="36">
        <v>2279</v>
      </c>
      <c r="B52" s="38" t="s">
        <v>22</v>
      </c>
      <c r="C52" s="37">
        <v>27.93</v>
      </c>
      <c r="D52" s="37">
        <f t="shared" si="3"/>
        <v>139.65</v>
      </c>
      <c r="E52" s="37">
        <f t="shared" si="2"/>
        <v>13.965</v>
      </c>
    </row>
    <row r="53" spans="1:5" ht="15.75">
      <c r="A53" s="36">
        <v>2311</v>
      </c>
      <c r="B53" s="38" t="s">
        <v>23</v>
      </c>
      <c r="C53" s="37">
        <v>2.63</v>
      </c>
      <c r="D53" s="37">
        <f t="shared" si="3"/>
        <v>13.149999999999999</v>
      </c>
      <c r="E53" s="37">
        <f t="shared" si="2"/>
        <v>1.315</v>
      </c>
    </row>
    <row r="54" spans="1:5" ht="15.75">
      <c r="A54" s="36">
        <v>2312</v>
      </c>
      <c r="B54" s="38" t="s">
        <v>24</v>
      </c>
      <c r="C54" s="37">
        <v>4.86</v>
      </c>
      <c r="D54" s="37">
        <f t="shared" si="3"/>
        <v>24.3</v>
      </c>
      <c r="E54" s="37">
        <f t="shared" si="2"/>
        <v>2.43</v>
      </c>
    </row>
    <row r="55" spans="1:5" ht="15.75">
      <c r="A55" s="36">
        <v>2321</v>
      </c>
      <c r="B55" s="38" t="s">
        <v>25</v>
      </c>
      <c r="C55" s="37">
        <v>103.94</v>
      </c>
      <c r="D55" s="37">
        <f t="shared" si="3"/>
        <v>519.7</v>
      </c>
      <c r="E55" s="37">
        <f t="shared" si="2"/>
        <v>51.970000000000006</v>
      </c>
    </row>
    <row r="56" spans="1:5" ht="15.75">
      <c r="A56" s="36">
        <v>2322</v>
      </c>
      <c r="B56" s="38" t="s">
        <v>26</v>
      </c>
      <c r="C56" s="37">
        <v>56.6</v>
      </c>
      <c r="D56" s="37">
        <f t="shared" si="3"/>
        <v>283</v>
      </c>
      <c r="E56" s="37">
        <f t="shared" si="2"/>
        <v>28.3</v>
      </c>
    </row>
    <row r="57" spans="1:5" ht="15.75">
      <c r="A57" s="36">
        <v>2341</v>
      </c>
      <c r="B57" s="38" t="s">
        <v>27</v>
      </c>
      <c r="C57" s="37">
        <v>2.46</v>
      </c>
      <c r="D57" s="37">
        <f t="shared" si="3"/>
        <v>12.3</v>
      </c>
      <c r="E57" s="37">
        <f t="shared" si="2"/>
        <v>1.23</v>
      </c>
    </row>
    <row r="58" spans="1:5" ht="15.75">
      <c r="A58" s="36">
        <v>2344</v>
      </c>
      <c r="B58" s="38" t="s">
        <v>28</v>
      </c>
      <c r="C58" s="37">
        <v>0.04</v>
      </c>
      <c r="D58" s="37">
        <f t="shared" si="3"/>
        <v>0.2</v>
      </c>
      <c r="E58" s="37">
        <f t="shared" si="2"/>
        <v>0.02</v>
      </c>
    </row>
    <row r="59" spans="1:5" ht="15.75">
      <c r="A59" s="36">
        <v>2350</v>
      </c>
      <c r="B59" s="38" t="s">
        <v>29</v>
      </c>
      <c r="C59" s="37">
        <v>26.67</v>
      </c>
      <c r="D59" s="37">
        <f t="shared" si="3"/>
        <v>133.35000000000002</v>
      </c>
      <c r="E59" s="37">
        <f t="shared" si="2"/>
        <v>13.335000000000003</v>
      </c>
    </row>
    <row r="60" spans="1:5" ht="15.75">
      <c r="A60" s="36">
        <v>2361</v>
      </c>
      <c r="B60" s="38" t="s">
        <v>30</v>
      </c>
      <c r="C60" s="37">
        <v>10.08</v>
      </c>
      <c r="D60" s="37">
        <f t="shared" si="3"/>
        <v>50.4</v>
      </c>
      <c r="E60" s="37">
        <f t="shared" si="2"/>
        <v>5.04</v>
      </c>
    </row>
    <row r="61" spans="1:5" ht="15.75">
      <c r="A61" s="36">
        <v>2362</v>
      </c>
      <c r="B61" s="38" t="s">
        <v>31</v>
      </c>
      <c r="C61" s="37">
        <v>5.25</v>
      </c>
      <c r="D61" s="37">
        <f t="shared" si="3"/>
        <v>26.25</v>
      </c>
      <c r="E61" s="37">
        <f t="shared" si="2"/>
        <v>2.625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3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1.08</v>
      </c>
      <c r="D64" s="37">
        <f t="shared" si="3"/>
        <v>5.4</v>
      </c>
      <c r="E64" s="37">
        <f t="shared" si="2"/>
        <v>0.54</v>
      </c>
    </row>
    <row r="65" spans="1:5" ht="15.75">
      <c r="A65" s="36">
        <v>2513</v>
      </c>
      <c r="B65" s="38" t="s">
        <v>35</v>
      </c>
      <c r="C65" s="37">
        <v>16.93</v>
      </c>
      <c r="D65" s="37">
        <f t="shared" si="3"/>
        <v>84.65</v>
      </c>
      <c r="E65" s="37">
        <f t="shared" si="2"/>
        <v>8.465</v>
      </c>
    </row>
    <row r="66" spans="1:5" ht="15.75">
      <c r="A66" s="36">
        <v>2515</v>
      </c>
      <c r="B66" s="38" t="s">
        <v>97</v>
      </c>
      <c r="C66" s="37">
        <v>0.75</v>
      </c>
      <c r="D66" s="37">
        <f t="shared" si="3"/>
        <v>3.75</v>
      </c>
      <c r="E66" s="37">
        <f t="shared" si="2"/>
        <v>0.375</v>
      </c>
    </row>
    <row r="67" spans="1:5" ht="15.75">
      <c r="A67" s="36">
        <v>2519</v>
      </c>
      <c r="B67" s="38" t="s">
        <v>38</v>
      </c>
      <c r="C67" s="37">
        <v>3.95</v>
      </c>
      <c r="D67" s="37">
        <f t="shared" si="3"/>
        <v>19.75</v>
      </c>
      <c r="E67" s="37">
        <f t="shared" si="2"/>
        <v>1.975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3.19</v>
      </c>
      <c r="D70" s="37">
        <f t="shared" si="3"/>
        <v>15.95</v>
      </c>
      <c r="E70" s="37">
        <f t="shared" si="2"/>
        <v>1.595</v>
      </c>
    </row>
    <row r="71" spans="1:5" ht="15.75">
      <c r="A71" s="36">
        <v>5232</v>
      </c>
      <c r="B71" s="38" t="s">
        <v>37</v>
      </c>
      <c r="C71" s="37">
        <v>61.47</v>
      </c>
      <c r="D71" s="37">
        <f t="shared" si="3"/>
        <v>307.35</v>
      </c>
      <c r="E71" s="37">
        <f t="shared" si="2"/>
        <v>30.735000000000003</v>
      </c>
    </row>
    <row r="72" spans="1:5" ht="15.75">
      <c r="A72" s="36">
        <v>5238</v>
      </c>
      <c r="B72" s="38" t="s">
        <v>39</v>
      </c>
      <c r="C72" s="37">
        <v>37.93</v>
      </c>
      <c r="D72" s="37">
        <f t="shared" si="3"/>
        <v>189.65</v>
      </c>
      <c r="E72" s="37">
        <f t="shared" si="2"/>
        <v>18.965</v>
      </c>
    </row>
    <row r="73" spans="1:5" ht="15.75">
      <c r="A73" s="36">
        <v>5240</v>
      </c>
      <c r="B73" s="38" t="s">
        <v>40</v>
      </c>
      <c r="C73" s="37">
        <v>32.43</v>
      </c>
      <c r="D73" s="37">
        <f t="shared" si="3"/>
        <v>162.15</v>
      </c>
      <c r="E73" s="37">
        <f t="shared" si="2"/>
        <v>16.215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1540.1200000000003</v>
      </c>
      <c r="D75" s="40">
        <f>SUM(D32:D74)</f>
        <v>7700.599999999997</v>
      </c>
      <c r="E75" s="40">
        <f>SUM(E32:E74)</f>
        <v>832.8350000000002</v>
      </c>
    </row>
    <row r="76" spans="1:5" ht="15.75">
      <c r="A76" s="41"/>
      <c r="B76" s="45" t="s">
        <v>48</v>
      </c>
      <c r="C76" s="40">
        <f>C75+C30</f>
        <v>3406.5000000000005</v>
      </c>
      <c r="D76" s="40">
        <f>D75+D30</f>
        <v>18014.499999999996</v>
      </c>
      <c r="E76" s="40">
        <f>E75+E30</f>
        <v>1994.795</v>
      </c>
    </row>
    <row r="77" spans="1:5" ht="15.75">
      <c r="A77" s="46"/>
      <c r="B77" s="29"/>
      <c r="C77" s="14"/>
      <c r="D77" s="14"/>
      <c r="E77" s="14"/>
    </row>
    <row r="78" spans="1:5" ht="15.75">
      <c r="A78" s="142" t="s">
        <v>63</v>
      </c>
      <c r="B78" s="142"/>
      <c r="C78" s="30">
        <v>50</v>
      </c>
      <c r="D78" s="30">
        <v>50</v>
      </c>
      <c r="E78" s="116">
        <v>5</v>
      </c>
    </row>
    <row r="79" spans="1:5" ht="15.75">
      <c r="A79" s="142" t="s">
        <v>64</v>
      </c>
      <c r="B79" s="142"/>
      <c r="C79" s="48">
        <f>C76/C78</f>
        <v>68.13000000000001</v>
      </c>
      <c r="D79" s="48">
        <f>D76/D78</f>
        <v>360.2899999999999</v>
      </c>
      <c r="E79" s="117">
        <f>E76/E78</f>
        <v>398.959</v>
      </c>
    </row>
    <row r="80" spans="1:5" ht="15.75">
      <c r="A80" s="18"/>
      <c r="B80" s="18"/>
      <c r="C80" s="18"/>
      <c r="D80" s="18"/>
      <c r="E80" s="47"/>
    </row>
    <row r="81" spans="1:5" ht="15.75">
      <c r="A81" s="146" t="s">
        <v>56</v>
      </c>
      <c r="B81" s="147"/>
      <c r="C81" s="25">
        <v>68.13</v>
      </c>
      <c r="D81" s="25">
        <v>340.65</v>
      </c>
      <c r="E81" s="50"/>
    </row>
    <row r="82" spans="1:5" ht="15.75">
      <c r="A82" s="146" t="s">
        <v>85</v>
      </c>
      <c r="B82" s="147"/>
      <c r="C82" s="25">
        <f>C81*5</f>
        <v>340.65</v>
      </c>
      <c r="D82" s="25"/>
      <c r="E82" s="50"/>
    </row>
    <row r="83" spans="1:5" ht="15.75">
      <c r="A83" s="26"/>
      <c r="B83" s="26"/>
      <c r="C83" s="26">
        <f>C82*5</f>
        <v>1703.25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0"/>
  <sheetViews>
    <sheetView view="pageLayout" zoomScale="90" zoomScalePageLayoutView="90" workbookViewId="0" topLeftCell="A56">
      <selection activeCell="A3" sqref="A3:J3"/>
    </sheetView>
  </sheetViews>
  <sheetFormatPr defaultColWidth="9.140625" defaultRowHeight="12.75"/>
  <cols>
    <col min="1" max="1" width="12.00390625" style="11" customWidth="1"/>
    <col min="2" max="2" width="94.7109375" style="11" customWidth="1"/>
    <col min="3" max="4" width="10.8515625" style="11" hidden="1" customWidth="1"/>
    <col min="5" max="5" width="31.7109375" style="11" customWidth="1"/>
  </cols>
  <sheetData>
    <row r="1" spans="1:5" ht="15.75">
      <c r="A1" s="1"/>
      <c r="B1" s="148" t="s">
        <v>53</v>
      </c>
      <c r="C1" s="148"/>
      <c r="D1" s="148"/>
      <c r="E1" s="143"/>
    </row>
    <row r="2" spans="1:5" ht="15.75">
      <c r="A2" s="1"/>
      <c r="B2" s="149" t="s">
        <v>58</v>
      </c>
      <c r="C2" s="149"/>
      <c r="D2" s="149"/>
      <c r="E2" s="150"/>
    </row>
    <row r="3" spans="1:5" ht="15.75">
      <c r="A3" s="1"/>
      <c r="B3" s="19"/>
      <c r="C3" s="19"/>
      <c r="D3" s="19"/>
      <c r="E3" s="120" t="s">
        <v>196</v>
      </c>
    </row>
    <row r="4" spans="1:5" ht="15.75">
      <c r="A4" s="1"/>
      <c r="B4" s="19"/>
      <c r="C4" s="19"/>
      <c r="D4" s="19"/>
      <c r="E4" s="46"/>
    </row>
    <row r="5" spans="1:5" ht="15.75">
      <c r="A5" s="1"/>
      <c r="B5" s="24"/>
      <c r="C5" s="24"/>
      <c r="D5" s="24"/>
      <c r="E5" s="46" t="str">
        <f>'4.3.2.2.'!E5</f>
        <v>2019. gada  15. martā</v>
      </c>
    </row>
    <row r="6" spans="1:5" ht="15">
      <c r="A6" s="1"/>
      <c r="B6" s="2"/>
      <c r="C6" s="2"/>
      <c r="D6" s="2"/>
      <c r="E6" s="2"/>
    </row>
    <row r="7" spans="1:5" ht="18.75">
      <c r="A7" s="138" t="s">
        <v>10</v>
      </c>
      <c r="B7" s="138"/>
      <c r="C7" s="138"/>
      <c r="D7" s="138"/>
      <c r="E7" s="138"/>
    </row>
    <row r="8" spans="1:5" ht="14.25">
      <c r="A8" s="10"/>
      <c r="B8" s="10"/>
      <c r="C8" s="10"/>
      <c r="D8" s="10"/>
      <c r="E8" s="3"/>
    </row>
    <row r="9" spans="1:5" ht="15.75" customHeight="1">
      <c r="A9" s="142" t="s">
        <v>1</v>
      </c>
      <c r="B9" s="142"/>
      <c r="C9" s="18"/>
      <c r="D9" s="18"/>
      <c r="E9" s="14"/>
    </row>
    <row r="10" spans="1:5" ht="15.75" customHeight="1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162</v>
      </c>
      <c r="C14" s="142"/>
      <c r="D14" s="142"/>
      <c r="E14" s="143"/>
    </row>
    <row r="15" spans="1:5" ht="15.75">
      <c r="A15" s="18" t="s">
        <v>2</v>
      </c>
      <c r="B15" s="18" t="str">
        <f>'4.3.2.2.'!B15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785.56</v>
      </c>
      <c r="D19" s="37">
        <f>3912+50*10.82</f>
        <v>4453</v>
      </c>
      <c r="E19" s="37">
        <v>492.6</v>
      </c>
    </row>
    <row r="20" spans="1:5" ht="31.5">
      <c r="A20" s="36">
        <v>1200</v>
      </c>
      <c r="B20" s="38" t="s">
        <v>92</v>
      </c>
      <c r="C20" s="37">
        <v>185.32</v>
      </c>
      <c r="D20" s="37">
        <f>942.4+50*2.61</f>
        <v>1072.9</v>
      </c>
      <c r="E20" s="37">
        <v>118.67</v>
      </c>
    </row>
    <row r="21" spans="1:5" ht="15.75">
      <c r="A21" s="36">
        <v>2222</v>
      </c>
      <c r="B21" s="38" t="s">
        <v>43</v>
      </c>
      <c r="C21" s="37">
        <v>41.02</v>
      </c>
      <c r="D21" s="37">
        <f aca="true" t="shared" si="0" ref="D21:D29">C21*5</f>
        <v>205.10000000000002</v>
      </c>
      <c r="E21" s="37">
        <v>20.51</v>
      </c>
    </row>
    <row r="22" spans="1:5" ht="15.75">
      <c r="A22" s="36">
        <v>2223</v>
      </c>
      <c r="B22" s="38" t="s">
        <v>44</v>
      </c>
      <c r="C22" s="37">
        <v>44.09</v>
      </c>
      <c r="D22" s="37">
        <f t="shared" si="0"/>
        <v>220.45000000000002</v>
      </c>
      <c r="E22" s="37">
        <v>22.05</v>
      </c>
    </row>
    <row r="23" spans="1:5" ht="15.75">
      <c r="A23" s="36">
        <v>2243</v>
      </c>
      <c r="B23" s="38" t="s">
        <v>15</v>
      </c>
      <c r="C23" s="37">
        <v>14.19</v>
      </c>
      <c r="D23" s="37">
        <f t="shared" si="0"/>
        <v>70.95</v>
      </c>
      <c r="E23" s="37">
        <v>7.1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>D24/10</f>
        <v>0</v>
      </c>
    </row>
    <row r="25" spans="1:5" ht="15.75">
      <c r="A25" s="36">
        <v>2321</v>
      </c>
      <c r="B25" s="38" t="s">
        <v>25</v>
      </c>
      <c r="C25" s="37">
        <v>69.41</v>
      </c>
      <c r="D25" s="37">
        <f t="shared" si="0"/>
        <v>347.04999999999995</v>
      </c>
      <c r="E25" s="37">
        <v>34.71</v>
      </c>
    </row>
    <row r="26" spans="1:5" ht="15.75">
      <c r="A26" s="36">
        <v>2341</v>
      </c>
      <c r="B26" s="38" t="s">
        <v>27</v>
      </c>
      <c r="C26" s="37">
        <v>66.7</v>
      </c>
      <c r="D26" s="37">
        <f t="shared" si="0"/>
        <v>333.5</v>
      </c>
      <c r="E26" s="37">
        <v>33.35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>D27/10</f>
        <v>0</v>
      </c>
    </row>
    <row r="28" spans="1:5" ht="15.75">
      <c r="A28" s="36">
        <v>2363</v>
      </c>
      <c r="B28" s="38" t="s">
        <v>32</v>
      </c>
      <c r="C28" s="37">
        <v>369</v>
      </c>
      <c r="D28" s="37">
        <f t="shared" si="0"/>
        <v>1845</v>
      </c>
      <c r="E28" s="37">
        <v>203</v>
      </c>
    </row>
    <row r="29" spans="1:5" ht="15.75">
      <c r="A29" s="36">
        <v>5232</v>
      </c>
      <c r="B29" s="38" t="s">
        <v>37</v>
      </c>
      <c r="C29" s="37">
        <v>16.84</v>
      </c>
      <c r="D29" s="37">
        <f t="shared" si="0"/>
        <v>84.2</v>
      </c>
      <c r="E29" s="37">
        <v>8.42</v>
      </c>
    </row>
    <row r="30" spans="1:5" ht="15.75">
      <c r="A30" s="36"/>
      <c r="B30" s="39" t="s">
        <v>7</v>
      </c>
      <c r="C30" s="40">
        <f>SUM(C19:C29)</f>
        <v>1592.1299999999999</v>
      </c>
      <c r="D30" s="40">
        <f>SUM(D19:D29)</f>
        <v>8632.150000000001</v>
      </c>
      <c r="E30" s="40">
        <f>SUM(E19:E29)</f>
        <v>940.41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564.1</v>
      </c>
      <c r="D32" s="37">
        <v>2809.13</v>
      </c>
      <c r="E32" s="37">
        <v>280.91</v>
      </c>
    </row>
    <row r="33" spans="1:5" ht="31.5">
      <c r="A33" s="36">
        <v>1200</v>
      </c>
      <c r="B33" s="38" t="s">
        <v>92</v>
      </c>
      <c r="C33" s="37">
        <v>133.07</v>
      </c>
      <c r="D33" s="37">
        <v>676.72</v>
      </c>
      <c r="E33" s="37">
        <v>67.67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1" ref="D34:D73">C34*5</f>
        <v>0</v>
      </c>
      <c r="E34" s="37">
        <f>D34/10</f>
        <v>0</v>
      </c>
    </row>
    <row r="35" spans="1:5" ht="15.75">
      <c r="A35" s="43">
        <v>2210</v>
      </c>
      <c r="B35" s="38" t="s">
        <v>42</v>
      </c>
      <c r="C35" s="37">
        <v>10.6</v>
      </c>
      <c r="D35" s="37">
        <f t="shared" si="1"/>
        <v>53</v>
      </c>
      <c r="E35" s="37">
        <v>5.3</v>
      </c>
    </row>
    <row r="36" spans="1:5" ht="15.75">
      <c r="A36" s="36">
        <v>2222</v>
      </c>
      <c r="B36" s="38" t="s">
        <v>43</v>
      </c>
      <c r="C36" s="37">
        <v>24.93</v>
      </c>
      <c r="D36" s="37">
        <f t="shared" si="1"/>
        <v>124.65</v>
      </c>
      <c r="E36" s="37">
        <v>12.47</v>
      </c>
    </row>
    <row r="37" spans="1:5" ht="15.75">
      <c r="A37" s="36">
        <v>2223</v>
      </c>
      <c r="B37" s="38" t="s">
        <v>44</v>
      </c>
      <c r="C37" s="37">
        <v>39.98</v>
      </c>
      <c r="D37" s="37">
        <f t="shared" si="1"/>
        <v>199.89999999999998</v>
      </c>
      <c r="E37" s="37">
        <v>19.99</v>
      </c>
    </row>
    <row r="38" spans="1:5" ht="15.75">
      <c r="A38" s="36">
        <v>2230</v>
      </c>
      <c r="B38" s="38" t="s">
        <v>45</v>
      </c>
      <c r="C38" s="37">
        <v>8.18</v>
      </c>
      <c r="D38" s="37">
        <f t="shared" si="1"/>
        <v>40.9</v>
      </c>
      <c r="E38" s="37">
        <v>4.09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1"/>
        <v>0</v>
      </c>
      <c r="E39" s="37">
        <f>D39/10</f>
        <v>0</v>
      </c>
    </row>
    <row r="40" spans="1:5" ht="15.75">
      <c r="A40" s="36">
        <v>2242</v>
      </c>
      <c r="B40" s="38" t="s">
        <v>14</v>
      </c>
      <c r="C40" s="37">
        <v>2.44</v>
      </c>
      <c r="D40" s="37">
        <f t="shared" si="1"/>
        <v>12.2</v>
      </c>
      <c r="E40" s="37">
        <v>1.22</v>
      </c>
    </row>
    <row r="41" spans="1:5" ht="15.75">
      <c r="A41" s="36">
        <v>2243</v>
      </c>
      <c r="B41" s="38" t="s">
        <v>15</v>
      </c>
      <c r="C41" s="37">
        <v>12.09</v>
      </c>
      <c r="D41" s="37">
        <f t="shared" si="1"/>
        <v>60.45</v>
      </c>
      <c r="E41" s="37">
        <v>6.05</v>
      </c>
    </row>
    <row r="42" spans="1:5" ht="15.75">
      <c r="A42" s="36">
        <v>2244</v>
      </c>
      <c r="B42" s="38" t="s">
        <v>16</v>
      </c>
      <c r="C42" s="37">
        <v>190.58</v>
      </c>
      <c r="D42" s="37">
        <f t="shared" si="1"/>
        <v>952.9000000000001</v>
      </c>
      <c r="E42" s="37">
        <v>166.29</v>
      </c>
    </row>
    <row r="43" spans="1:5" ht="15.75">
      <c r="A43" s="36">
        <v>2247</v>
      </c>
      <c r="B43" s="34" t="s">
        <v>93</v>
      </c>
      <c r="C43" s="37">
        <v>0.65</v>
      </c>
      <c r="D43" s="37">
        <f t="shared" si="1"/>
        <v>3.25</v>
      </c>
      <c r="E43" s="37">
        <v>0.33</v>
      </c>
    </row>
    <row r="44" spans="1:5" ht="15.75">
      <c r="A44" s="36">
        <v>2249</v>
      </c>
      <c r="B44" s="38" t="s">
        <v>17</v>
      </c>
      <c r="C44" s="37">
        <v>2.81</v>
      </c>
      <c r="D44" s="37">
        <f t="shared" si="1"/>
        <v>14.05</v>
      </c>
      <c r="E44" s="37">
        <v>1.41</v>
      </c>
    </row>
    <row r="45" spans="1:5" ht="15.75">
      <c r="A45" s="36">
        <v>2251</v>
      </c>
      <c r="B45" s="38" t="s">
        <v>94</v>
      </c>
      <c r="C45" s="37">
        <v>26.53</v>
      </c>
      <c r="D45" s="37">
        <f t="shared" si="1"/>
        <v>132.65</v>
      </c>
      <c r="E45" s="37">
        <v>13.27</v>
      </c>
    </row>
    <row r="46" spans="1:5" ht="15.75">
      <c r="A46" s="36">
        <v>2252</v>
      </c>
      <c r="B46" s="38" t="s">
        <v>96</v>
      </c>
      <c r="C46" s="37">
        <v>0.35</v>
      </c>
      <c r="D46" s="37">
        <f t="shared" si="1"/>
        <v>1.75</v>
      </c>
      <c r="E46" s="37">
        <v>0.18</v>
      </c>
    </row>
    <row r="47" spans="1:5" ht="15.75">
      <c r="A47" s="36">
        <v>2259</v>
      </c>
      <c r="B47" s="38" t="s">
        <v>95</v>
      </c>
      <c r="C47" s="37">
        <v>0.06</v>
      </c>
      <c r="D47" s="37">
        <f t="shared" si="1"/>
        <v>0.3</v>
      </c>
      <c r="E47" s="37">
        <v>0.03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1"/>
        <v>0</v>
      </c>
      <c r="E48" s="37">
        <f>D48/10</f>
        <v>0</v>
      </c>
    </row>
    <row r="49" spans="1:5" ht="15.75">
      <c r="A49" s="36">
        <v>2262</v>
      </c>
      <c r="B49" s="38" t="s">
        <v>19</v>
      </c>
      <c r="C49" s="37">
        <v>7.14</v>
      </c>
      <c r="D49" s="37">
        <f t="shared" si="1"/>
        <v>35.699999999999996</v>
      </c>
      <c r="E49" s="37">
        <v>3.57</v>
      </c>
    </row>
    <row r="50" spans="1:5" ht="15.75">
      <c r="A50" s="36">
        <v>2263</v>
      </c>
      <c r="B50" s="38" t="s">
        <v>20</v>
      </c>
      <c r="C50" s="37">
        <v>26.32</v>
      </c>
      <c r="D50" s="37">
        <f t="shared" si="1"/>
        <v>131.6</v>
      </c>
      <c r="E50" s="37">
        <v>13.16</v>
      </c>
    </row>
    <row r="51" spans="1:5" ht="15.75">
      <c r="A51" s="36">
        <v>2264</v>
      </c>
      <c r="B51" s="38" t="s">
        <v>21</v>
      </c>
      <c r="C51" s="37">
        <v>0.13</v>
      </c>
      <c r="D51" s="37">
        <f t="shared" si="1"/>
        <v>0.65</v>
      </c>
      <c r="E51" s="37">
        <v>0.07</v>
      </c>
    </row>
    <row r="52" spans="1:5" ht="15.75">
      <c r="A52" s="36">
        <v>2279</v>
      </c>
      <c r="B52" s="38" t="s">
        <v>22</v>
      </c>
      <c r="C52" s="37">
        <v>29.4</v>
      </c>
      <c r="D52" s="37">
        <f t="shared" si="1"/>
        <v>147</v>
      </c>
      <c r="E52" s="37">
        <v>14.7</v>
      </c>
    </row>
    <row r="53" spans="1:5" ht="15.75">
      <c r="A53" s="36">
        <v>2311</v>
      </c>
      <c r="B53" s="38" t="s">
        <v>23</v>
      </c>
      <c r="C53" s="37">
        <v>2.77</v>
      </c>
      <c r="D53" s="37">
        <f t="shared" si="1"/>
        <v>13.85</v>
      </c>
      <c r="E53" s="37">
        <v>1.39</v>
      </c>
    </row>
    <row r="54" spans="1:5" ht="15.75">
      <c r="A54" s="36">
        <v>2312</v>
      </c>
      <c r="B54" s="38" t="s">
        <v>24</v>
      </c>
      <c r="C54" s="37">
        <v>5.12</v>
      </c>
      <c r="D54" s="37">
        <f t="shared" si="1"/>
        <v>25.6</v>
      </c>
      <c r="E54" s="37">
        <v>2.56</v>
      </c>
    </row>
    <row r="55" spans="1:5" ht="15.75">
      <c r="A55" s="36">
        <v>2321</v>
      </c>
      <c r="B55" s="38" t="s">
        <v>25</v>
      </c>
      <c r="C55" s="37">
        <v>109.42</v>
      </c>
      <c r="D55" s="37">
        <f t="shared" si="1"/>
        <v>547.1</v>
      </c>
      <c r="E55" s="37">
        <v>54.71</v>
      </c>
    </row>
    <row r="56" spans="1:5" ht="15.75">
      <c r="A56" s="36">
        <v>2322</v>
      </c>
      <c r="B56" s="38" t="s">
        <v>26</v>
      </c>
      <c r="C56" s="37">
        <v>59.02</v>
      </c>
      <c r="D56" s="37">
        <f t="shared" si="1"/>
        <v>295.1</v>
      </c>
      <c r="E56" s="37">
        <v>29.51</v>
      </c>
    </row>
    <row r="57" spans="1:5" ht="15.75">
      <c r="A57" s="36">
        <v>2341</v>
      </c>
      <c r="B57" s="38" t="s">
        <v>27</v>
      </c>
      <c r="C57" s="37">
        <v>2.58</v>
      </c>
      <c r="D57" s="37">
        <f t="shared" si="1"/>
        <v>12.9</v>
      </c>
      <c r="E57" s="37">
        <v>1.29</v>
      </c>
    </row>
    <row r="58" spans="1:5" ht="15.75">
      <c r="A58" s="36">
        <v>2344</v>
      </c>
      <c r="B58" s="38" t="s">
        <v>28</v>
      </c>
      <c r="C58" s="37">
        <v>0.04</v>
      </c>
      <c r="D58" s="37">
        <f t="shared" si="1"/>
        <v>0.2</v>
      </c>
      <c r="E58" s="37">
        <v>0.02</v>
      </c>
    </row>
    <row r="59" spans="1:5" ht="15.75">
      <c r="A59" s="36">
        <v>2350</v>
      </c>
      <c r="B59" s="38" t="s">
        <v>29</v>
      </c>
      <c r="C59" s="37">
        <v>23.15</v>
      </c>
      <c r="D59" s="37">
        <f t="shared" si="1"/>
        <v>115.75</v>
      </c>
      <c r="E59" s="37">
        <v>11.58</v>
      </c>
    </row>
    <row r="60" spans="1:5" ht="15.75">
      <c r="A60" s="36">
        <v>2361</v>
      </c>
      <c r="B60" s="38" t="s">
        <v>30</v>
      </c>
      <c r="C60" s="37">
        <v>10.61</v>
      </c>
      <c r="D60" s="37">
        <f t="shared" si="1"/>
        <v>53.05</v>
      </c>
      <c r="E60" s="37">
        <v>5.31</v>
      </c>
    </row>
    <row r="61" spans="1:5" ht="15.75">
      <c r="A61" s="36">
        <v>2362</v>
      </c>
      <c r="B61" s="38" t="s">
        <v>31</v>
      </c>
      <c r="C61" s="37">
        <v>5.52</v>
      </c>
      <c r="D61" s="37">
        <f t="shared" si="1"/>
        <v>27.599999999999998</v>
      </c>
      <c r="E61" s="37">
        <v>2.76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1"/>
        <v>0</v>
      </c>
      <c r="E62" s="37">
        <f>D62/10</f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1"/>
        <v>0</v>
      </c>
      <c r="E63" s="37">
        <f>D63/10</f>
        <v>0</v>
      </c>
    </row>
    <row r="64" spans="1:5" ht="15.75">
      <c r="A64" s="36">
        <v>2400</v>
      </c>
      <c r="B64" s="38" t="s">
        <v>47</v>
      </c>
      <c r="C64" s="37">
        <v>1.14</v>
      </c>
      <c r="D64" s="37">
        <f t="shared" si="1"/>
        <v>5.699999999999999</v>
      </c>
      <c r="E64" s="37">
        <v>0.57</v>
      </c>
    </row>
    <row r="65" spans="1:5" ht="15.75">
      <c r="A65" s="36">
        <v>2513</v>
      </c>
      <c r="B65" s="38" t="s">
        <v>35</v>
      </c>
      <c r="C65" s="37">
        <v>17.82</v>
      </c>
      <c r="D65" s="37">
        <f t="shared" si="1"/>
        <v>89.1</v>
      </c>
      <c r="E65" s="37">
        <v>8.91</v>
      </c>
    </row>
    <row r="66" spans="1:5" ht="15.75">
      <c r="A66" s="36">
        <v>2515</v>
      </c>
      <c r="B66" s="38" t="s">
        <v>97</v>
      </c>
      <c r="C66" s="37">
        <v>0.79</v>
      </c>
      <c r="D66" s="37">
        <f t="shared" si="1"/>
        <v>3.95</v>
      </c>
      <c r="E66" s="37">
        <v>0.4</v>
      </c>
    </row>
    <row r="67" spans="1:5" ht="15.75">
      <c r="A67" s="36">
        <v>2519</v>
      </c>
      <c r="B67" s="38" t="s">
        <v>38</v>
      </c>
      <c r="C67" s="37">
        <v>4.15</v>
      </c>
      <c r="D67" s="37">
        <f t="shared" si="1"/>
        <v>20.75</v>
      </c>
      <c r="E67" s="37">
        <v>2.08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1"/>
        <v>0</v>
      </c>
      <c r="E68" s="37">
        <f>D68/10</f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1"/>
        <v>0</v>
      </c>
      <c r="E69" s="37">
        <f>D69/10</f>
        <v>0</v>
      </c>
    </row>
    <row r="70" spans="1:5" ht="15.75">
      <c r="A70" s="36">
        <v>5121</v>
      </c>
      <c r="B70" s="38" t="s">
        <v>36</v>
      </c>
      <c r="C70" s="37">
        <v>3.36</v>
      </c>
      <c r="D70" s="37">
        <f t="shared" si="1"/>
        <v>16.8</v>
      </c>
      <c r="E70" s="37">
        <v>1.68</v>
      </c>
    </row>
    <row r="71" spans="1:5" ht="15.75">
      <c r="A71" s="36">
        <v>5232</v>
      </c>
      <c r="B71" s="38" t="s">
        <v>37</v>
      </c>
      <c r="C71" s="37">
        <v>62.44</v>
      </c>
      <c r="D71" s="37">
        <f t="shared" si="1"/>
        <v>312.2</v>
      </c>
      <c r="E71" s="37">
        <v>31.22</v>
      </c>
    </row>
    <row r="72" spans="1:5" ht="15.75">
      <c r="A72" s="36">
        <v>5238</v>
      </c>
      <c r="B72" s="38" t="s">
        <v>39</v>
      </c>
      <c r="C72" s="37">
        <v>37.66</v>
      </c>
      <c r="D72" s="37">
        <f t="shared" si="1"/>
        <v>188.29999999999998</v>
      </c>
      <c r="E72" s="37">
        <v>18.83</v>
      </c>
    </row>
    <row r="73" spans="1:5" ht="15.75">
      <c r="A73" s="36">
        <v>5240</v>
      </c>
      <c r="B73" s="38" t="s">
        <v>40</v>
      </c>
      <c r="C73" s="37">
        <v>27.42</v>
      </c>
      <c r="D73" s="37">
        <f t="shared" si="1"/>
        <v>137.10000000000002</v>
      </c>
      <c r="E73" s="37">
        <v>13.71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1452.3700000000001</v>
      </c>
      <c r="D75" s="40">
        <f>SUM(D32:D74)</f>
        <v>7261.850000000002</v>
      </c>
      <c r="E75" s="40">
        <f>SUM(E32:E74)</f>
        <v>797.2400000000001</v>
      </c>
    </row>
    <row r="76" spans="1:5" ht="15.75">
      <c r="A76" s="41"/>
      <c r="B76" s="45" t="s">
        <v>48</v>
      </c>
      <c r="C76" s="40">
        <f>C75+C30</f>
        <v>3044.5</v>
      </c>
      <c r="D76" s="40">
        <f>D75+D30</f>
        <v>15894.000000000004</v>
      </c>
      <c r="E76" s="40">
        <f>E75+E30</f>
        <v>1737.65</v>
      </c>
    </row>
    <row r="77" spans="1:5" ht="15.75">
      <c r="A77" s="46"/>
      <c r="B77" s="29"/>
      <c r="C77" s="14"/>
      <c r="D77" s="14"/>
      <c r="E77" s="14"/>
    </row>
    <row r="78" spans="1:5" ht="15.75" customHeight="1">
      <c r="A78" s="142" t="s">
        <v>63</v>
      </c>
      <c r="B78" s="142"/>
      <c r="C78" s="30">
        <v>50</v>
      </c>
      <c r="D78" s="30">
        <v>50</v>
      </c>
      <c r="E78" s="116">
        <v>5</v>
      </c>
    </row>
    <row r="79" spans="1:5" ht="15.75" customHeight="1">
      <c r="A79" s="142" t="s">
        <v>64</v>
      </c>
      <c r="B79" s="142"/>
      <c r="C79" s="48">
        <f>C76/C78</f>
        <v>60.89</v>
      </c>
      <c r="D79" s="48">
        <f>D76/D78</f>
        <v>317.88000000000005</v>
      </c>
      <c r="E79" s="117">
        <f>E76/E78</f>
        <v>347.53000000000003</v>
      </c>
    </row>
    <row r="80" spans="1:5" ht="15.75">
      <c r="A80" s="18"/>
      <c r="B80" s="18"/>
      <c r="C80" s="18"/>
      <c r="D80" s="18"/>
      <c r="E80" s="47"/>
    </row>
    <row r="81" spans="1:5" ht="15.75" customHeight="1">
      <c r="A81" s="146" t="s">
        <v>56</v>
      </c>
      <c r="B81" s="147"/>
      <c r="C81" s="25">
        <v>60.89</v>
      </c>
      <c r="D81" s="25">
        <v>304.45</v>
      </c>
      <c r="E81" s="50"/>
    </row>
    <row r="82" spans="1:5" ht="15.75" customHeight="1">
      <c r="A82" s="146" t="s">
        <v>85</v>
      </c>
      <c r="B82" s="147"/>
      <c r="C82" s="25">
        <f>C81*5</f>
        <v>304.45</v>
      </c>
      <c r="D82" s="25"/>
      <c r="E82" s="50"/>
    </row>
    <row r="83" spans="1:5" ht="15.75">
      <c r="A83" s="26"/>
      <c r="B83" s="26"/>
      <c r="C83" s="26">
        <f>C82*5</f>
        <v>1522.25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  <row r="90" ht="12.75">
      <c r="E90" s="69"/>
    </row>
  </sheetData>
  <sheetProtection/>
  <mergeCells count="11"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  <mergeCell ref="B13:E13"/>
  </mergeCells>
  <printOptions/>
  <pageMargins left="0.7086614173228347" right="0.4724409448818898" top="0.984251968503937" bottom="0.7480314960629921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90" zoomScalePageLayoutView="90" workbookViewId="0" topLeftCell="A58">
      <selection activeCell="A3" sqref="A3:J3"/>
    </sheetView>
  </sheetViews>
  <sheetFormatPr defaultColWidth="9.140625" defaultRowHeight="12.75"/>
  <cols>
    <col min="1" max="1" width="12.140625" style="11" customWidth="1"/>
    <col min="2" max="2" width="94.28125" style="11" customWidth="1"/>
    <col min="3" max="4" width="31.8515625" style="11" hidden="1" customWidth="1"/>
    <col min="5" max="5" width="32.00390625" style="11" customWidth="1"/>
  </cols>
  <sheetData>
    <row r="1" spans="1:5" ht="15.75">
      <c r="A1" s="21"/>
      <c r="B1" s="148" t="s">
        <v>53</v>
      </c>
      <c r="C1" s="148"/>
      <c r="D1" s="148"/>
      <c r="E1" s="143"/>
    </row>
    <row r="2" spans="1:5" ht="15.75">
      <c r="A2" s="21"/>
      <c r="B2" s="149" t="s">
        <v>58</v>
      </c>
      <c r="C2" s="149"/>
      <c r="D2" s="149"/>
      <c r="E2" s="150"/>
    </row>
    <row r="3" spans="1:5" ht="15.75">
      <c r="A3" s="21"/>
      <c r="B3" s="19"/>
      <c r="C3" s="19"/>
      <c r="D3" s="19"/>
      <c r="E3" s="120" t="s">
        <v>196</v>
      </c>
    </row>
    <row r="4" spans="1:5" ht="15.75">
      <c r="A4" s="21"/>
      <c r="B4" s="19"/>
      <c r="C4" s="19"/>
      <c r="D4" s="19"/>
      <c r="E4" s="46"/>
    </row>
    <row r="5" spans="1:5" ht="15.75">
      <c r="A5" s="21"/>
      <c r="B5" s="24"/>
      <c r="C5" s="24"/>
      <c r="D5" s="24"/>
      <c r="E5" s="46" t="str">
        <f>'4.3.2.3.'!E5</f>
        <v>2019. gada  15. martā</v>
      </c>
    </row>
    <row r="6" spans="1:5" ht="15.75">
      <c r="A6" s="21"/>
      <c r="B6" s="19"/>
      <c r="C6" s="19"/>
      <c r="D6" s="19"/>
      <c r="E6" s="19"/>
    </row>
    <row r="7" spans="1:5" ht="18.75">
      <c r="A7" s="138" t="s">
        <v>10</v>
      </c>
      <c r="B7" s="138"/>
      <c r="C7" s="138"/>
      <c r="D7" s="138"/>
      <c r="E7" s="138"/>
    </row>
    <row r="8" spans="1:5" ht="15.75">
      <c r="A8" s="57"/>
      <c r="B8" s="57"/>
      <c r="C8" s="57"/>
      <c r="D8" s="57"/>
      <c r="E8" s="14"/>
    </row>
    <row r="9" spans="1:5" ht="15.75" customHeight="1">
      <c r="A9" s="142" t="s">
        <v>1</v>
      </c>
      <c r="B9" s="142"/>
      <c r="C9" s="18"/>
      <c r="D9" s="18"/>
      <c r="E9" s="14"/>
    </row>
    <row r="10" spans="1:5" ht="15.75" customHeight="1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163</v>
      </c>
      <c r="C14" s="142"/>
      <c r="D14" s="142"/>
      <c r="E14" s="143"/>
    </row>
    <row r="15" spans="1:5" ht="15.75">
      <c r="A15" s="18" t="s">
        <v>2</v>
      </c>
      <c r="B15" s="18" t="str">
        <f>'4.3.2.3.'!B15</f>
        <v>2019.gadā un turpmāk</v>
      </c>
      <c r="C15" s="18"/>
      <c r="D15" s="18"/>
      <c r="E15" s="14" t="s">
        <v>195</v>
      </c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747.05</v>
      </c>
      <c r="D19" s="37">
        <f>3720.2+50*10.82</f>
        <v>4261.2</v>
      </c>
      <c r="E19" s="37">
        <v>473.42</v>
      </c>
    </row>
    <row r="20" spans="1:5" ht="31.5">
      <c r="A20" s="36">
        <v>1200</v>
      </c>
      <c r="B20" s="38" t="s">
        <v>92</v>
      </c>
      <c r="C20" s="37">
        <v>176.23</v>
      </c>
      <c r="D20" s="37">
        <f>896.2+50*2.61</f>
        <v>1026.7</v>
      </c>
      <c r="E20" s="37">
        <v>114.05</v>
      </c>
    </row>
    <row r="21" spans="1:5" ht="15.75">
      <c r="A21" s="36">
        <v>2222</v>
      </c>
      <c r="B21" s="38" t="s">
        <v>43</v>
      </c>
      <c r="C21" s="37">
        <v>39.1</v>
      </c>
      <c r="D21" s="37">
        <f aca="true" t="shared" si="0" ref="D21:D29">C21*5</f>
        <v>195.5</v>
      </c>
      <c r="E21" s="37">
        <f aca="true" t="shared" si="1" ref="E21:E29">D21/10</f>
        <v>19.55</v>
      </c>
    </row>
    <row r="22" spans="1:5" ht="15.75">
      <c r="A22" s="36">
        <v>2223</v>
      </c>
      <c r="B22" s="38" t="s">
        <v>44</v>
      </c>
      <c r="C22" s="37">
        <v>41.97</v>
      </c>
      <c r="D22" s="37">
        <f t="shared" si="0"/>
        <v>209.85</v>
      </c>
      <c r="E22" s="37">
        <f t="shared" si="1"/>
        <v>20.985</v>
      </c>
    </row>
    <row r="23" spans="1:5" ht="15.75">
      <c r="A23" s="36">
        <v>2243</v>
      </c>
      <c r="B23" s="38" t="s">
        <v>15</v>
      </c>
      <c r="C23" s="37">
        <v>13.48</v>
      </c>
      <c r="D23" s="37">
        <f t="shared" si="0"/>
        <v>67.4</v>
      </c>
      <c r="E23" s="37">
        <f t="shared" si="1"/>
        <v>6.74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.75">
      <c r="A25" s="36">
        <v>2321</v>
      </c>
      <c r="B25" s="38" t="s">
        <v>25</v>
      </c>
      <c r="C25" s="37">
        <v>66.13</v>
      </c>
      <c r="D25" s="37">
        <f t="shared" si="0"/>
        <v>330.65</v>
      </c>
      <c r="E25" s="37">
        <f t="shared" si="1"/>
        <v>33.065</v>
      </c>
    </row>
    <row r="26" spans="1:5" ht="15.75">
      <c r="A26" s="36">
        <v>2341</v>
      </c>
      <c r="B26" s="38" t="s">
        <v>27</v>
      </c>
      <c r="C26" s="37">
        <v>63.43</v>
      </c>
      <c r="D26" s="37">
        <f t="shared" si="0"/>
        <v>317.15</v>
      </c>
      <c r="E26" s="37">
        <f t="shared" si="1"/>
        <v>31.714999999999996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369</v>
      </c>
      <c r="D28" s="37">
        <f t="shared" si="0"/>
        <v>1845</v>
      </c>
      <c r="E28" s="37">
        <v>203</v>
      </c>
    </row>
    <row r="29" spans="1:5" ht="15.75">
      <c r="A29" s="36">
        <v>5232</v>
      </c>
      <c r="B29" s="38" t="s">
        <v>37</v>
      </c>
      <c r="C29" s="37">
        <v>16.03</v>
      </c>
      <c r="D29" s="37">
        <f t="shared" si="0"/>
        <v>80.15</v>
      </c>
      <c r="E29" s="37">
        <f t="shared" si="1"/>
        <v>8.015</v>
      </c>
    </row>
    <row r="30" spans="1:5" ht="15.75">
      <c r="A30" s="36"/>
      <c r="B30" s="39" t="s">
        <v>7</v>
      </c>
      <c r="C30" s="40">
        <f>SUM(C19:C29)</f>
        <v>1532.42</v>
      </c>
      <c r="D30" s="40">
        <f>SUM(D19:D29)</f>
        <v>8333.599999999999</v>
      </c>
      <c r="E30" s="40">
        <f>SUM(E19:E29)</f>
        <v>910.54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536.17</v>
      </c>
      <c r="D32" s="37">
        <v>2669.92</v>
      </c>
      <c r="E32" s="37">
        <f aca="true" t="shared" si="2" ref="E32:E72">D32/10</f>
        <v>266.992</v>
      </c>
    </row>
    <row r="33" spans="1:5" ht="31.5">
      <c r="A33" s="36">
        <v>1200</v>
      </c>
      <c r="B33" s="38" t="s">
        <v>92</v>
      </c>
      <c r="C33" s="37">
        <v>126.45</v>
      </c>
      <c r="D33" s="37">
        <v>643.18</v>
      </c>
      <c r="E33" s="37">
        <f t="shared" si="2"/>
        <v>64.318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2">C34*5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10.07</v>
      </c>
      <c r="D35" s="37">
        <f t="shared" si="3"/>
        <v>50.35</v>
      </c>
      <c r="E35" s="37">
        <f t="shared" si="2"/>
        <v>5.035</v>
      </c>
    </row>
    <row r="36" spans="1:5" ht="15.75">
      <c r="A36" s="36">
        <v>2222</v>
      </c>
      <c r="B36" s="38" t="s">
        <v>43</v>
      </c>
      <c r="C36" s="37">
        <v>24.93</v>
      </c>
      <c r="D36" s="37">
        <f t="shared" si="3"/>
        <v>124.65</v>
      </c>
      <c r="E36" s="37">
        <f t="shared" si="2"/>
        <v>12.465</v>
      </c>
    </row>
    <row r="37" spans="1:5" ht="15.75">
      <c r="A37" s="36">
        <v>2223</v>
      </c>
      <c r="B37" s="38" t="s">
        <v>44</v>
      </c>
      <c r="C37" s="37">
        <v>39.23</v>
      </c>
      <c r="D37" s="37">
        <f t="shared" si="3"/>
        <v>196.14999999999998</v>
      </c>
      <c r="E37" s="37">
        <f t="shared" si="2"/>
        <v>19.615</v>
      </c>
    </row>
    <row r="38" spans="1:5" ht="15.75">
      <c r="A38" s="36">
        <v>2230</v>
      </c>
      <c r="B38" s="38" t="s">
        <v>45</v>
      </c>
      <c r="C38" s="37">
        <v>7.78</v>
      </c>
      <c r="D38" s="37">
        <f t="shared" si="3"/>
        <v>38.9</v>
      </c>
      <c r="E38" s="37">
        <f t="shared" si="2"/>
        <v>3.8899999999999997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2.32</v>
      </c>
      <c r="D40" s="37">
        <f t="shared" si="3"/>
        <v>11.6</v>
      </c>
      <c r="E40" s="37">
        <f t="shared" si="2"/>
        <v>1.16</v>
      </c>
    </row>
    <row r="41" spans="1:5" ht="15.75">
      <c r="A41" s="36">
        <v>2243</v>
      </c>
      <c r="B41" s="38" t="s">
        <v>15</v>
      </c>
      <c r="C41" s="37">
        <v>11.48</v>
      </c>
      <c r="D41" s="37">
        <f t="shared" si="3"/>
        <v>57.400000000000006</v>
      </c>
      <c r="E41" s="37">
        <f t="shared" si="2"/>
        <v>5.74</v>
      </c>
    </row>
    <row r="42" spans="1:5" ht="15.75">
      <c r="A42" s="36">
        <v>2244</v>
      </c>
      <c r="B42" s="38" t="s">
        <v>16</v>
      </c>
      <c r="C42" s="37">
        <v>183.43</v>
      </c>
      <c r="D42" s="37">
        <f t="shared" si="3"/>
        <v>917.1500000000001</v>
      </c>
      <c r="E42" s="37">
        <v>154.53</v>
      </c>
    </row>
    <row r="43" spans="1:5" ht="15.75">
      <c r="A43" s="36">
        <v>2247</v>
      </c>
      <c r="B43" s="34" t="s">
        <v>93</v>
      </c>
      <c r="C43" s="37">
        <v>0.61</v>
      </c>
      <c r="D43" s="37">
        <f t="shared" si="3"/>
        <v>3.05</v>
      </c>
      <c r="E43" s="37">
        <f t="shared" si="2"/>
        <v>0.305</v>
      </c>
    </row>
    <row r="44" spans="1:5" ht="15.75">
      <c r="A44" s="36">
        <v>2249</v>
      </c>
      <c r="B44" s="38" t="s">
        <v>17</v>
      </c>
      <c r="C44" s="37">
        <v>2.67</v>
      </c>
      <c r="D44" s="37">
        <f t="shared" si="3"/>
        <v>13.35</v>
      </c>
      <c r="E44" s="37">
        <f t="shared" si="2"/>
        <v>1.335</v>
      </c>
    </row>
    <row r="45" spans="1:5" ht="15.75">
      <c r="A45" s="36">
        <v>2251</v>
      </c>
      <c r="B45" s="38" t="s">
        <v>94</v>
      </c>
      <c r="C45" s="37">
        <v>25.21</v>
      </c>
      <c r="D45" s="37">
        <f t="shared" si="3"/>
        <v>126.05000000000001</v>
      </c>
      <c r="E45" s="37">
        <f t="shared" si="2"/>
        <v>12.605</v>
      </c>
    </row>
    <row r="46" spans="1:5" ht="15.75">
      <c r="A46" s="36">
        <v>2252</v>
      </c>
      <c r="B46" s="38" t="s">
        <v>96</v>
      </c>
      <c r="C46" s="37">
        <v>0.33</v>
      </c>
      <c r="D46" s="37">
        <f t="shared" si="3"/>
        <v>1.6500000000000001</v>
      </c>
      <c r="E46" s="37">
        <f t="shared" si="2"/>
        <v>0.165</v>
      </c>
    </row>
    <row r="47" spans="1:5" ht="15.75">
      <c r="A47" s="36">
        <v>2259</v>
      </c>
      <c r="B47" s="38" t="s">
        <v>95</v>
      </c>
      <c r="C47" s="37">
        <v>0.05</v>
      </c>
      <c r="D47" s="37">
        <f t="shared" si="3"/>
        <v>0.25</v>
      </c>
      <c r="E47" s="37">
        <f t="shared" si="2"/>
        <v>0.025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6.78</v>
      </c>
      <c r="D49" s="37">
        <f t="shared" si="3"/>
        <v>33.9</v>
      </c>
      <c r="E49" s="37">
        <f t="shared" si="2"/>
        <v>3.3899999999999997</v>
      </c>
    </row>
    <row r="50" spans="1:5" ht="15.75">
      <c r="A50" s="36">
        <v>2263</v>
      </c>
      <c r="B50" s="38" t="s">
        <v>20</v>
      </c>
      <c r="C50" s="37">
        <v>25</v>
      </c>
      <c r="D50" s="37">
        <f t="shared" si="3"/>
        <v>125</v>
      </c>
      <c r="E50" s="37">
        <f t="shared" si="2"/>
        <v>12.5</v>
      </c>
    </row>
    <row r="51" spans="1:5" ht="15.75">
      <c r="A51" s="36">
        <v>2264</v>
      </c>
      <c r="B51" s="38" t="s">
        <v>21</v>
      </c>
      <c r="C51" s="37">
        <v>0.13</v>
      </c>
      <c r="D51" s="37">
        <f t="shared" si="3"/>
        <v>0.65</v>
      </c>
      <c r="E51" s="37">
        <f t="shared" si="2"/>
        <v>0.065</v>
      </c>
    </row>
    <row r="52" spans="1:5" ht="15.75">
      <c r="A52" s="36">
        <v>2279</v>
      </c>
      <c r="B52" s="38" t="s">
        <v>22</v>
      </c>
      <c r="C52" s="37">
        <v>27.93</v>
      </c>
      <c r="D52" s="37">
        <f t="shared" si="3"/>
        <v>139.65</v>
      </c>
      <c r="E52" s="37">
        <f t="shared" si="2"/>
        <v>13.965</v>
      </c>
    </row>
    <row r="53" spans="1:5" ht="15.75">
      <c r="A53" s="36">
        <v>2311</v>
      </c>
      <c r="B53" s="38" t="s">
        <v>23</v>
      </c>
      <c r="C53" s="37">
        <v>2.63</v>
      </c>
      <c r="D53" s="37">
        <f t="shared" si="3"/>
        <v>13.149999999999999</v>
      </c>
      <c r="E53" s="37">
        <f t="shared" si="2"/>
        <v>1.315</v>
      </c>
    </row>
    <row r="54" spans="1:5" ht="15.75">
      <c r="A54" s="36">
        <v>2312</v>
      </c>
      <c r="B54" s="38" t="s">
        <v>24</v>
      </c>
      <c r="C54" s="37">
        <v>4.86</v>
      </c>
      <c r="D54" s="37">
        <f t="shared" si="3"/>
        <v>24.3</v>
      </c>
      <c r="E54" s="37">
        <f t="shared" si="2"/>
        <v>2.43</v>
      </c>
    </row>
    <row r="55" spans="1:5" ht="15.75">
      <c r="A55" s="36">
        <v>2321</v>
      </c>
      <c r="B55" s="38" t="s">
        <v>25</v>
      </c>
      <c r="C55" s="37">
        <v>103.94</v>
      </c>
      <c r="D55" s="37">
        <f t="shared" si="3"/>
        <v>519.7</v>
      </c>
      <c r="E55" s="37">
        <f t="shared" si="2"/>
        <v>51.970000000000006</v>
      </c>
    </row>
    <row r="56" spans="1:5" ht="15.75">
      <c r="A56" s="36">
        <v>2322</v>
      </c>
      <c r="B56" s="38" t="s">
        <v>26</v>
      </c>
      <c r="C56" s="37">
        <v>56.6</v>
      </c>
      <c r="D56" s="37">
        <f t="shared" si="3"/>
        <v>283</v>
      </c>
      <c r="E56" s="37">
        <f t="shared" si="2"/>
        <v>28.3</v>
      </c>
    </row>
    <row r="57" spans="1:5" ht="15.75">
      <c r="A57" s="36">
        <v>2341</v>
      </c>
      <c r="B57" s="38" t="s">
        <v>27</v>
      </c>
      <c r="C57" s="37">
        <v>2.46</v>
      </c>
      <c r="D57" s="37">
        <f t="shared" si="3"/>
        <v>12.3</v>
      </c>
      <c r="E57" s="37">
        <f t="shared" si="2"/>
        <v>1.23</v>
      </c>
    </row>
    <row r="58" spans="1:5" ht="15.75">
      <c r="A58" s="36">
        <v>2344</v>
      </c>
      <c r="B58" s="38" t="s">
        <v>28</v>
      </c>
      <c r="C58" s="37">
        <v>0.04</v>
      </c>
      <c r="D58" s="37">
        <f t="shared" si="3"/>
        <v>0.2</v>
      </c>
      <c r="E58" s="37">
        <f t="shared" si="2"/>
        <v>0.02</v>
      </c>
    </row>
    <row r="59" spans="1:5" ht="15.75">
      <c r="A59" s="36">
        <v>2350</v>
      </c>
      <c r="B59" s="38" t="s">
        <v>29</v>
      </c>
      <c r="C59" s="37">
        <v>22.06</v>
      </c>
      <c r="D59" s="37">
        <f t="shared" si="3"/>
        <v>110.3</v>
      </c>
      <c r="E59" s="37">
        <f t="shared" si="2"/>
        <v>11.03</v>
      </c>
    </row>
    <row r="60" spans="1:5" ht="15.75">
      <c r="A60" s="36">
        <v>2361</v>
      </c>
      <c r="B60" s="38" t="s">
        <v>30</v>
      </c>
      <c r="C60" s="37">
        <v>10.08</v>
      </c>
      <c r="D60" s="37">
        <f t="shared" si="3"/>
        <v>50.4</v>
      </c>
      <c r="E60" s="37">
        <f t="shared" si="2"/>
        <v>5.04</v>
      </c>
    </row>
    <row r="61" spans="1:5" ht="15.75">
      <c r="A61" s="36">
        <v>2362</v>
      </c>
      <c r="B61" s="38" t="s">
        <v>31</v>
      </c>
      <c r="C61" s="37">
        <v>5.25</v>
      </c>
      <c r="D61" s="37">
        <f t="shared" si="3"/>
        <v>26.25</v>
      </c>
      <c r="E61" s="37">
        <f t="shared" si="2"/>
        <v>2.625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3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1.08</v>
      </c>
      <c r="D64" s="37">
        <f t="shared" si="3"/>
        <v>5.4</v>
      </c>
      <c r="E64" s="37">
        <f t="shared" si="2"/>
        <v>0.54</v>
      </c>
    </row>
    <row r="65" spans="1:5" ht="15.75">
      <c r="A65" s="36">
        <v>2513</v>
      </c>
      <c r="B65" s="38" t="s">
        <v>35</v>
      </c>
      <c r="C65" s="37">
        <v>16.93</v>
      </c>
      <c r="D65" s="37">
        <f t="shared" si="3"/>
        <v>84.65</v>
      </c>
      <c r="E65" s="37">
        <f t="shared" si="2"/>
        <v>8.465</v>
      </c>
    </row>
    <row r="66" spans="1:5" ht="15.75">
      <c r="A66" s="36">
        <v>2515</v>
      </c>
      <c r="B66" s="38" t="s">
        <v>97</v>
      </c>
      <c r="C66" s="37">
        <v>0.75</v>
      </c>
      <c r="D66" s="37">
        <f t="shared" si="3"/>
        <v>3.75</v>
      </c>
      <c r="E66" s="37">
        <f t="shared" si="2"/>
        <v>0.375</v>
      </c>
    </row>
    <row r="67" spans="1:5" ht="15.75">
      <c r="A67" s="36">
        <v>2519</v>
      </c>
      <c r="B67" s="38" t="s">
        <v>38</v>
      </c>
      <c r="C67" s="37">
        <v>3.95</v>
      </c>
      <c r="D67" s="37">
        <f t="shared" si="3"/>
        <v>19.75</v>
      </c>
      <c r="E67" s="37">
        <f t="shared" si="2"/>
        <v>1.975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3.27</v>
      </c>
      <c r="D70" s="37">
        <f t="shared" si="3"/>
        <v>16.35</v>
      </c>
      <c r="E70" s="37">
        <f t="shared" si="2"/>
        <v>1.6350000000000002</v>
      </c>
    </row>
    <row r="71" spans="1:5" ht="15.75">
      <c r="A71" s="36">
        <v>5232</v>
      </c>
      <c r="B71" s="38" t="s">
        <v>37</v>
      </c>
      <c r="C71" s="37">
        <v>59.33</v>
      </c>
      <c r="D71" s="37">
        <f t="shared" si="3"/>
        <v>296.65</v>
      </c>
      <c r="E71" s="37">
        <f t="shared" si="2"/>
        <v>29.665</v>
      </c>
    </row>
    <row r="72" spans="1:5" ht="15.75">
      <c r="A72" s="36">
        <v>5238</v>
      </c>
      <c r="B72" s="38" t="s">
        <v>39</v>
      </c>
      <c r="C72" s="37">
        <v>35.81</v>
      </c>
      <c r="D72" s="37">
        <f t="shared" si="3"/>
        <v>179.05</v>
      </c>
      <c r="E72" s="37">
        <f t="shared" si="2"/>
        <v>17.905</v>
      </c>
    </row>
    <row r="73" spans="1:5" ht="15.75">
      <c r="A73" s="36">
        <v>5240</v>
      </c>
      <c r="B73" s="38" t="s">
        <v>40</v>
      </c>
      <c r="C73" s="37">
        <v>25.97</v>
      </c>
      <c r="D73" s="37">
        <f>C73*5</f>
        <v>129.85</v>
      </c>
      <c r="E73" s="37">
        <f>D73/10</f>
        <v>12.985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1385.58</v>
      </c>
      <c r="D75" s="40">
        <f>SUM(D32:D74)</f>
        <v>6927.899999999999</v>
      </c>
      <c r="E75" s="40">
        <f>SUM(E32:E74)</f>
        <v>755.6049999999999</v>
      </c>
    </row>
    <row r="76" spans="1:5" ht="15.75">
      <c r="A76" s="41"/>
      <c r="B76" s="45" t="s">
        <v>48</v>
      </c>
      <c r="C76" s="40">
        <f>C75+C30</f>
        <v>2918</v>
      </c>
      <c r="D76" s="40">
        <f>D75+D30</f>
        <v>15261.499999999996</v>
      </c>
      <c r="E76" s="40">
        <f>E75+E30</f>
        <v>1666.145</v>
      </c>
    </row>
    <row r="77" spans="1:5" ht="15.75">
      <c r="A77" s="46"/>
      <c r="B77" s="29"/>
      <c r="C77" s="14"/>
      <c r="D77" s="14"/>
      <c r="E77" s="14"/>
    </row>
    <row r="78" spans="1:5" ht="15.75" customHeight="1">
      <c r="A78" s="142" t="s">
        <v>63</v>
      </c>
      <c r="B78" s="142"/>
      <c r="C78" s="30">
        <v>50</v>
      </c>
      <c r="D78" s="30">
        <v>50</v>
      </c>
      <c r="E78" s="116">
        <v>5</v>
      </c>
    </row>
    <row r="79" spans="1:5" ht="15.75" customHeight="1">
      <c r="A79" s="142" t="s">
        <v>64</v>
      </c>
      <c r="B79" s="142"/>
      <c r="C79" s="48">
        <f>C76/C78</f>
        <v>58.36</v>
      </c>
      <c r="D79" s="48">
        <f>D76/D78</f>
        <v>305.2299999999999</v>
      </c>
      <c r="E79" s="117">
        <f>E76/E78</f>
        <v>333.229</v>
      </c>
    </row>
    <row r="80" spans="1:5" ht="15.75">
      <c r="A80" s="18"/>
      <c r="B80" s="18"/>
      <c r="C80" s="47"/>
      <c r="D80" s="47"/>
      <c r="E80" s="47"/>
    </row>
    <row r="81" spans="1:5" ht="15.75" customHeight="1">
      <c r="A81" s="146" t="s">
        <v>56</v>
      </c>
      <c r="B81" s="147"/>
      <c r="C81" s="25">
        <v>58.36</v>
      </c>
      <c r="D81" s="25">
        <v>291.8</v>
      </c>
      <c r="E81" s="50"/>
    </row>
    <row r="82" spans="1:5" ht="15.75" customHeight="1">
      <c r="A82" s="146" t="s">
        <v>85</v>
      </c>
      <c r="B82" s="147"/>
      <c r="C82" s="25">
        <f>C81*5</f>
        <v>291.8</v>
      </c>
      <c r="D82" s="25"/>
      <c r="E82" s="50"/>
    </row>
    <row r="83" spans="1:5" ht="15.75">
      <c r="A83" s="26"/>
      <c r="B83" s="26"/>
      <c r="C83" s="26">
        <f>C82*5</f>
        <v>1459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90"/>
  <sheetViews>
    <sheetView view="pageLayout" zoomScale="90" zoomScalePageLayoutView="90" workbookViewId="0" topLeftCell="A59">
      <selection activeCell="A3" sqref="A3:J3"/>
    </sheetView>
  </sheetViews>
  <sheetFormatPr defaultColWidth="9.140625" defaultRowHeight="12.75"/>
  <cols>
    <col min="1" max="1" width="12.28125" style="11" customWidth="1"/>
    <col min="2" max="2" width="98.8515625" style="11" customWidth="1"/>
    <col min="3" max="4" width="21.00390625" style="11" hidden="1" customWidth="1"/>
    <col min="5" max="5" width="32.00390625" style="11" customWidth="1"/>
  </cols>
  <sheetData>
    <row r="1" spans="1:5" ht="15.75">
      <c r="A1" s="1"/>
      <c r="B1" s="148" t="s">
        <v>53</v>
      </c>
      <c r="C1" s="148"/>
      <c r="D1" s="148"/>
      <c r="E1" s="143"/>
    </row>
    <row r="2" spans="1:5" ht="15.75">
      <c r="A2" s="1"/>
      <c r="B2" s="149" t="s">
        <v>58</v>
      </c>
      <c r="C2" s="149"/>
      <c r="D2" s="149"/>
      <c r="E2" s="150"/>
    </row>
    <row r="3" spans="1:5" ht="15.75">
      <c r="A3" s="1"/>
      <c r="B3" s="19"/>
      <c r="C3" s="19"/>
      <c r="D3" s="19"/>
      <c r="E3" s="120" t="s">
        <v>196</v>
      </c>
    </row>
    <row r="4" spans="1:5" ht="15.75">
      <c r="A4" s="1"/>
      <c r="B4" s="19"/>
      <c r="C4" s="19"/>
      <c r="D4" s="19"/>
      <c r="E4" s="46"/>
    </row>
    <row r="5" spans="1:5" ht="15.75">
      <c r="A5" s="1"/>
      <c r="B5" s="24"/>
      <c r="C5" s="24"/>
      <c r="D5" s="24"/>
      <c r="E5" s="46" t="str">
        <f>'4.3.2.4.'!E5</f>
        <v>2019. gada  15. martā</v>
      </c>
    </row>
    <row r="6" spans="1:5" ht="15">
      <c r="A6" s="1"/>
      <c r="B6" s="2"/>
      <c r="C6" s="2"/>
      <c r="D6" s="2"/>
      <c r="E6" s="2"/>
    </row>
    <row r="7" spans="1:5" ht="18.75">
      <c r="A7" s="138" t="s">
        <v>10</v>
      </c>
      <c r="B7" s="138"/>
      <c r="C7" s="138"/>
      <c r="D7" s="138"/>
      <c r="E7" s="138"/>
    </row>
    <row r="8" spans="1:5" ht="14.25">
      <c r="A8" s="10"/>
      <c r="B8" s="10"/>
      <c r="C8" s="10"/>
      <c r="D8" s="10"/>
      <c r="E8" s="3"/>
    </row>
    <row r="9" spans="1:5" ht="15.75" customHeight="1">
      <c r="A9" s="142" t="s">
        <v>1</v>
      </c>
      <c r="B9" s="142"/>
      <c r="C9" s="18"/>
      <c r="D9" s="18"/>
      <c r="E9" s="14"/>
    </row>
    <row r="10" spans="1:5" ht="15.75" customHeight="1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164</v>
      </c>
      <c r="C14" s="142"/>
      <c r="D14" s="142"/>
      <c r="E14" s="143"/>
    </row>
    <row r="15" spans="1:5" ht="15.75">
      <c r="A15" s="18" t="s">
        <v>2</v>
      </c>
      <c r="B15" s="18" t="str">
        <f>'4.3.2.4.'!B15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713.73</v>
      </c>
      <c r="D19" s="37">
        <f>4975.99+30*27.18</f>
        <v>5791.389999999999</v>
      </c>
      <c r="E19" s="37">
        <v>906.18</v>
      </c>
    </row>
    <row r="20" spans="1:5" ht="15.75">
      <c r="A20" s="36">
        <v>1200</v>
      </c>
      <c r="B20" s="38" t="s">
        <v>92</v>
      </c>
      <c r="C20" s="37">
        <v>168.37</v>
      </c>
      <c r="D20" s="37">
        <f>1198.72+30*6.55</f>
        <v>1395.22</v>
      </c>
      <c r="E20" s="37">
        <v>218.3</v>
      </c>
    </row>
    <row r="21" spans="1:5" ht="15.75">
      <c r="A21" s="36">
        <v>2222</v>
      </c>
      <c r="B21" s="38" t="s">
        <v>43</v>
      </c>
      <c r="C21" s="37">
        <v>33.42</v>
      </c>
      <c r="D21" s="37">
        <f aca="true" t="shared" si="0" ref="D21:D28">C21*7</f>
        <v>233.94</v>
      </c>
      <c r="E21" s="37">
        <f aca="true" t="shared" si="1" ref="E21:E27">D21/6</f>
        <v>38.99</v>
      </c>
    </row>
    <row r="22" spans="1:5" ht="15.75">
      <c r="A22" s="36">
        <v>2223</v>
      </c>
      <c r="B22" s="38" t="s">
        <v>44</v>
      </c>
      <c r="C22" s="37">
        <v>36.76</v>
      </c>
      <c r="D22" s="37">
        <f t="shared" si="0"/>
        <v>257.32</v>
      </c>
      <c r="E22" s="37">
        <f t="shared" si="1"/>
        <v>42.88666666666666</v>
      </c>
    </row>
    <row r="23" spans="1:5" ht="15.75">
      <c r="A23" s="36">
        <v>2243</v>
      </c>
      <c r="B23" s="38" t="s">
        <v>15</v>
      </c>
      <c r="C23" s="37">
        <v>12.35</v>
      </c>
      <c r="D23" s="37">
        <f t="shared" si="0"/>
        <v>86.45</v>
      </c>
      <c r="E23" s="37">
        <f t="shared" si="1"/>
        <v>14.408333333333333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.75">
      <c r="A25" s="36">
        <v>2321</v>
      </c>
      <c r="B25" s="38" t="s">
        <v>25</v>
      </c>
      <c r="C25" s="37">
        <v>57.05</v>
      </c>
      <c r="D25" s="37">
        <f t="shared" si="0"/>
        <v>399.34999999999997</v>
      </c>
      <c r="E25" s="37">
        <f t="shared" si="1"/>
        <v>66.55833333333332</v>
      </c>
    </row>
    <row r="26" spans="1:5" ht="15.75">
      <c r="A26" s="36">
        <v>2341</v>
      </c>
      <c r="B26" s="38" t="s">
        <v>27</v>
      </c>
      <c r="C26" s="37">
        <v>56.91</v>
      </c>
      <c r="D26" s="37">
        <f t="shared" si="0"/>
        <v>398.37</v>
      </c>
      <c r="E26" s="37">
        <f t="shared" si="1"/>
        <v>66.395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221.4</v>
      </c>
      <c r="D28" s="37">
        <f t="shared" si="0"/>
        <v>1549.8</v>
      </c>
      <c r="E28" s="37">
        <v>284.2</v>
      </c>
    </row>
    <row r="29" spans="1:5" ht="15.75">
      <c r="A29" s="36">
        <v>5232</v>
      </c>
      <c r="B29" s="38" t="s">
        <v>37</v>
      </c>
      <c r="C29" s="37">
        <v>14.12</v>
      </c>
      <c r="D29" s="37">
        <f>C29*7</f>
        <v>98.83999999999999</v>
      </c>
      <c r="E29" s="37">
        <f>D29/6</f>
        <v>16.473333333333333</v>
      </c>
    </row>
    <row r="30" spans="1:5" ht="15.75">
      <c r="A30" s="36"/>
      <c r="B30" s="39" t="s">
        <v>7</v>
      </c>
      <c r="C30" s="40">
        <f>SUM(C19:C29)</f>
        <v>1314.11</v>
      </c>
      <c r="D30" s="40">
        <f>SUM(D19:D29)</f>
        <v>10210.679999999998</v>
      </c>
      <c r="E30" s="40">
        <f>SUM(E19:E29)</f>
        <v>1654.3916666666669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488.16</v>
      </c>
      <c r="D32" s="37">
        <v>3403.37</v>
      </c>
      <c r="E32" s="37">
        <f aca="true" t="shared" si="2" ref="E32:E73">D32/6</f>
        <v>567.2283333333334</v>
      </c>
    </row>
    <row r="33" spans="1:5" ht="15.75">
      <c r="A33" s="36">
        <v>1200</v>
      </c>
      <c r="B33" s="38" t="s">
        <v>92</v>
      </c>
      <c r="C33" s="37">
        <v>115.16</v>
      </c>
      <c r="D33" s="37">
        <v>819.87</v>
      </c>
      <c r="E33" s="37">
        <f t="shared" si="2"/>
        <v>136.645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3">C34*7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9.22</v>
      </c>
      <c r="D35" s="37">
        <f t="shared" si="3"/>
        <v>64.54</v>
      </c>
      <c r="E35" s="37">
        <f t="shared" si="2"/>
        <v>10.756666666666668</v>
      </c>
    </row>
    <row r="36" spans="1:5" ht="15.75">
      <c r="A36" s="36">
        <v>2222</v>
      </c>
      <c r="B36" s="38" t="s">
        <v>43</v>
      </c>
      <c r="C36" s="37">
        <v>21.69</v>
      </c>
      <c r="D36" s="37">
        <f t="shared" si="3"/>
        <v>151.83</v>
      </c>
      <c r="E36" s="37">
        <f t="shared" si="2"/>
        <v>25.305000000000003</v>
      </c>
    </row>
    <row r="37" spans="1:5" ht="15.75">
      <c r="A37" s="36">
        <v>2223</v>
      </c>
      <c r="B37" s="38" t="s">
        <v>44</v>
      </c>
      <c r="C37" s="37">
        <v>34.79</v>
      </c>
      <c r="D37" s="37">
        <f t="shared" si="3"/>
        <v>243.53</v>
      </c>
      <c r="E37" s="37">
        <f t="shared" si="2"/>
        <v>40.58833333333333</v>
      </c>
    </row>
    <row r="38" spans="1:5" ht="15.75">
      <c r="A38" s="36">
        <v>2230</v>
      </c>
      <c r="B38" s="38" t="s">
        <v>45</v>
      </c>
      <c r="C38" s="37">
        <v>7.12</v>
      </c>
      <c r="D38" s="37">
        <f t="shared" si="3"/>
        <v>49.84</v>
      </c>
      <c r="E38" s="37">
        <f t="shared" si="2"/>
        <v>8.306666666666667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2.12</v>
      </c>
      <c r="D40" s="37">
        <f t="shared" si="3"/>
        <v>14.84</v>
      </c>
      <c r="E40" s="37">
        <f t="shared" si="2"/>
        <v>2.473333333333333</v>
      </c>
    </row>
    <row r="41" spans="1:5" ht="15.75">
      <c r="A41" s="36">
        <v>2243</v>
      </c>
      <c r="B41" s="38" t="s">
        <v>15</v>
      </c>
      <c r="C41" s="37">
        <v>10.52</v>
      </c>
      <c r="D41" s="37">
        <f t="shared" si="3"/>
        <v>73.64</v>
      </c>
      <c r="E41" s="37">
        <f t="shared" si="2"/>
        <v>12.273333333333333</v>
      </c>
    </row>
    <row r="42" spans="1:5" ht="15.75">
      <c r="A42" s="36">
        <v>2244</v>
      </c>
      <c r="B42" s="38" t="s">
        <v>16</v>
      </c>
      <c r="C42" s="37">
        <v>165.81</v>
      </c>
      <c r="D42" s="37">
        <f t="shared" si="3"/>
        <v>1160.67</v>
      </c>
      <c r="E42" s="37">
        <v>292.1</v>
      </c>
    </row>
    <row r="43" spans="1:5" ht="15.75">
      <c r="A43" s="36">
        <v>2247</v>
      </c>
      <c r="B43" s="34" t="s">
        <v>93</v>
      </c>
      <c r="C43" s="37">
        <v>0.56</v>
      </c>
      <c r="D43" s="37">
        <f t="shared" si="3"/>
        <v>3.9200000000000004</v>
      </c>
      <c r="E43" s="37">
        <f t="shared" si="2"/>
        <v>0.6533333333333334</v>
      </c>
    </row>
    <row r="44" spans="1:5" ht="15.75">
      <c r="A44" s="36">
        <v>2249</v>
      </c>
      <c r="B44" s="38" t="s">
        <v>17</v>
      </c>
      <c r="C44" s="37">
        <v>2.44</v>
      </c>
      <c r="D44" s="37">
        <f t="shared" si="3"/>
        <v>17.08</v>
      </c>
      <c r="E44" s="37">
        <v>2.88</v>
      </c>
    </row>
    <row r="45" spans="1:5" ht="15.75">
      <c r="A45" s="36">
        <v>2251</v>
      </c>
      <c r="B45" s="38" t="s">
        <v>94</v>
      </c>
      <c r="C45" s="37">
        <v>23.02</v>
      </c>
      <c r="D45" s="37">
        <f t="shared" si="3"/>
        <v>161.14</v>
      </c>
      <c r="E45" s="37">
        <f t="shared" si="2"/>
        <v>26.856666666666666</v>
      </c>
    </row>
    <row r="46" spans="1:5" ht="15.75">
      <c r="A46" s="36">
        <v>2252</v>
      </c>
      <c r="B46" s="38" t="s">
        <v>96</v>
      </c>
      <c r="C46" s="37">
        <v>0.31</v>
      </c>
      <c r="D46" s="37">
        <f t="shared" si="3"/>
        <v>2.17</v>
      </c>
      <c r="E46" s="37">
        <f t="shared" si="2"/>
        <v>0.36166666666666664</v>
      </c>
    </row>
    <row r="47" spans="1:5" ht="15.75">
      <c r="A47" s="36">
        <v>2259</v>
      </c>
      <c r="B47" s="38" t="s">
        <v>95</v>
      </c>
      <c r="C47" s="37">
        <v>0.05</v>
      </c>
      <c r="D47" s="37">
        <f t="shared" si="3"/>
        <v>0.35000000000000003</v>
      </c>
      <c r="E47" s="37">
        <f t="shared" si="2"/>
        <v>0.05833333333333334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6.21</v>
      </c>
      <c r="D49" s="37">
        <f t="shared" si="3"/>
        <v>43.47</v>
      </c>
      <c r="E49" s="37">
        <f t="shared" si="2"/>
        <v>7.245</v>
      </c>
    </row>
    <row r="50" spans="1:5" ht="15.75">
      <c r="A50" s="36">
        <v>2263</v>
      </c>
      <c r="B50" s="38" t="s">
        <v>20</v>
      </c>
      <c r="C50" s="37">
        <v>22.9</v>
      </c>
      <c r="D50" s="37">
        <f t="shared" si="3"/>
        <v>160.29999999999998</v>
      </c>
      <c r="E50" s="37">
        <f t="shared" si="2"/>
        <v>26.716666666666665</v>
      </c>
    </row>
    <row r="51" spans="1:5" ht="15.75">
      <c r="A51" s="36">
        <v>2264</v>
      </c>
      <c r="B51" s="38" t="s">
        <v>21</v>
      </c>
      <c r="C51" s="37">
        <v>0.12</v>
      </c>
      <c r="D51" s="37">
        <f t="shared" si="3"/>
        <v>0.84</v>
      </c>
      <c r="E51" s="37">
        <f t="shared" si="2"/>
        <v>0.13999999999999999</v>
      </c>
    </row>
    <row r="52" spans="1:5" ht="15.75">
      <c r="A52" s="36">
        <v>2279</v>
      </c>
      <c r="B52" s="38" t="s">
        <v>22</v>
      </c>
      <c r="C52" s="37">
        <v>25.58</v>
      </c>
      <c r="D52" s="37">
        <f t="shared" si="3"/>
        <v>179.06</v>
      </c>
      <c r="E52" s="37">
        <f t="shared" si="2"/>
        <v>29.843333333333334</v>
      </c>
    </row>
    <row r="53" spans="1:5" ht="15.75">
      <c r="A53" s="36">
        <v>2311</v>
      </c>
      <c r="B53" s="38" t="s">
        <v>23</v>
      </c>
      <c r="C53" s="37">
        <v>2.41</v>
      </c>
      <c r="D53" s="37">
        <f t="shared" si="3"/>
        <v>16.87</v>
      </c>
      <c r="E53" s="37">
        <f t="shared" si="2"/>
        <v>2.811666666666667</v>
      </c>
    </row>
    <row r="54" spans="1:5" ht="15.75">
      <c r="A54" s="36">
        <v>2312</v>
      </c>
      <c r="B54" s="38" t="s">
        <v>24</v>
      </c>
      <c r="C54" s="37">
        <v>4.45</v>
      </c>
      <c r="D54" s="37">
        <f t="shared" si="3"/>
        <v>31.150000000000002</v>
      </c>
      <c r="E54" s="37">
        <f t="shared" si="2"/>
        <v>5.191666666666667</v>
      </c>
    </row>
    <row r="55" spans="1:5" ht="15.75">
      <c r="A55" s="36">
        <v>2321</v>
      </c>
      <c r="B55" s="38" t="s">
        <v>25</v>
      </c>
      <c r="C55" s="37">
        <v>95.19</v>
      </c>
      <c r="D55" s="37">
        <f t="shared" si="3"/>
        <v>666.3299999999999</v>
      </c>
      <c r="E55" s="37">
        <f t="shared" si="2"/>
        <v>111.05499999999999</v>
      </c>
    </row>
    <row r="56" spans="1:5" ht="15.75">
      <c r="A56" s="36">
        <v>2322</v>
      </c>
      <c r="B56" s="38" t="s">
        <v>26</v>
      </c>
      <c r="C56" s="37">
        <v>51.35</v>
      </c>
      <c r="D56" s="37">
        <f t="shared" si="3"/>
        <v>359.45</v>
      </c>
      <c r="E56" s="37">
        <f t="shared" si="2"/>
        <v>59.90833333333333</v>
      </c>
    </row>
    <row r="57" spans="1:5" ht="15.75">
      <c r="A57" s="36">
        <v>2341</v>
      </c>
      <c r="B57" s="38" t="s">
        <v>27</v>
      </c>
      <c r="C57" s="37">
        <v>2.25</v>
      </c>
      <c r="D57" s="37">
        <f t="shared" si="3"/>
        <v>15.75</v>
      </c>
      <c r="E57" s="37">
        <f t="shared" si="2"/>
        <v>2.625</v>
      </c>
    </row>
    <row r="58" spans="1:5" ht="15.75">
      <c r="A58" s="36">
        <v>2344</v>
      </c>
      <c r="B58" s="38" t="s">
        <v>28</v>
      </c>
      <c r="C58" s="37">
        <v>0.03</v>
      </c>
      <c r="D58" s="37">
        <f t="shared" si="3"/>
        <v>0.21</v>
      </c>
      <c r="E58" s="37">
        <f t="shared" si="2"/>
        <v>0.034999999999999996</v>
      </c>
    </row>
    <row r="59" spans="1:5" ht="15.75">
      <c r="A59" s="36">
        <v>2350</v>
      </c>
      <c r="B59" s="38" t="s">
        <v>29</v>
      </c>
      <c r="C59" s="37">
        <v>19.05</v>
      </c>
      <c r="D59" s="37">
        <f t="shared" si="3"/>
        <v>133.35</v>
      </c>
      <c r="E59" s="37">
        <f t="shared" si="2"/>
        <v>22.224999999999998</v>
      </c>
    </row>
    <row r="60" spans="1:5" ht="15.75">
      <c r="A60" s="36">
        <v>2361</v>
      </c>
      <c r="B60" s="38" t="s">
        <v>30</v>
      </c>
      <c r="C60" s="37">
        <v>9.23</v>
      </c>
      <c r="D60" s="37">
        <f t="shared" si="3"/>
        <v>64.61</v>
      </c>
      <c r="E60" s="37">
        <f t="shared" si="2"/>
        <v>10.768333333333333</v>
      </c>
    </row>
    <row r="61" spans="1:5" ht="15.75">
      <c r="A61" s="36">
        <v>2362</v>
      </c>
      <c r="B61" s="38" t="s">
        <v>31</v>
      </c>
      <c r="C61" s="37">
        <v>4.81</v>
      </c>
      <c r="D61" s="37">
        <f t="shared" si="3"/>
        <v>33.669999999999995</v>
      </c>
      <c r="E61" s="37">
        <f t="shared" si="2"/>
        <v>5.6116666666666655</v>
      </c>
    </row>
    <row r="62" spans="1:5" ht="15.75">
      <c r="A62" s="36">
        <v>2363</v>
      </c>
      <c r="B62" s="38" t="s">
        <v>32</v>
      </c>
      <c r="C62" s="37">
        <v>42.86</v>
      </c>
      <c r="D62" s="37">
        <f t="shared" si="3"/>
        <v>300.02</v>
      </c>
      <c r="E62" s="37">
        <f t="shared" si="2"/>
        <v>50.00333333333333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0.99</v>
      </c>
      <c r="D64" s="37">
        <f t="shared" si="3"/>
        <v>6.93</v>
      </c>
      <c r="E64" s="37">
        <f t="shared" si="2"/>
        <v>1.155</v>
      </c>
    </row>
    <row r="65" spans="1:5" ht="15.75">
      <c r="A65" s="36">
        <v>2513</v>
      </c>
      <c r="B65" s="38" t="s">
        <v>35</v>
      </c>
      <c r="C65" s="37">
        <v>15.51</v>
      </c>
      <c r="D65" s="37">
        <f t="shared" si="3"/>
        <v>108.57</v>
      </c>
      <c r="E65" s="37">
        <f t="shared" si="2"/>
        <v>18.095</v>
      </c>
    </row>
    <row r="66" spans="1:5" ht="15.75">
      <c r="A66" s="36">
        <v>2515</v>
      </c>
      <c r="B66" s="38" t="s">
        <v>97</v>
      </c>
      <c r="C66" s="37">
        <v>0.69</v>
      </c>
      <c r="D66" s="37">
        <f t="shared" si="3"/>
        <v>4.83</v>
      </c>
      <c r="E66" s="37">
        <f t="shared" si="2"/>
        <v>0.805</v>
      </c>
    </row>
    <row r="67" spans="1:5" ht="15.75">
      <c r="A67" s="36">
        <v>2519</v>
      </c>
      <c r="B67" s="38" t="s">
        <v>38</v>
      </c>
      <c r="C67" s="37">
        <v>3.61</v>
      </c>
      <c r="D67" s="37">
        <f t="shared" si="3"/>
        <v>25.27</v>
      </c>
      <c r="E67" s="37">
        <f t="shared" si="2"/>
        <v>4.211666666666667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2.92</v>
      </c>
      <c r="D70" s="37">
        <f t="shared" si="3"/>
        <v>20.439999999999998</v>
      </c>
      <c r="E70" s="37">
        <f t="shared" si="2"/>
        <v>3.4066666666666663</v>
      </c>
    </row>
    <row r="71" spans="1:5" ht="15.75">
      <c r="A71" s="36">
        <v>5232</v>
      </c>
      <c r="B71" s="38" t="s">
        <v>37</v>
      </c>
      <c r="C71" s="37">
        <v>54.01</v>
      </c>
      <c r="D71" s="37">
        <f t="shared" si="3"/>
        <v>378.07</v>
      </c>
      <c r="E71" s="37">
        <f t="shared" si="2"/>
        <v>63.01166666666666</v>
      </c>
    </row>
    <row r="72" spans="1:5" ht="15.75">
      <c r="A72" s="36">
        <v>5238</v>
      </c>
      <c r="B72" s="38" t="s">
        <v>39</v>
      </c>
      <c r="C72" s="37">
        <v>32.44</v>
      </c>
      <c r="D72" s="37">
        <f t="shared" si="3"/>
        <v>227.07999999999998</v>
      </c>
      <c r="E72" s="37">
        <f t="shared" si="2"/>
        <v>37.846666666666664</v>
      </c>
    </row>
    <row r="73" spans="1:5" ht="15.75">
      <c r="A73" s="36">
        <v>5240</v>
      </c>
      <c r="B73" s="38" t="s">
        <v>40</v>
      </c>
      <c r="C73" s="37">
        <v>23.41</v>
      </c>
      <c r="D73" s="37">
        <f t="shared" si="3"/>
        <v>163.87</v>
      </c>
      <c r="E73" s="37">
        <f t="shared" si="2"/>
        <v>27.311666666666667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1300.99</v>
      </c>
      <c r="D75" s="40">
        <f>SUM(D32:D74)</f>
        <v>9106.930000000002</v>
      </c>
      <c r="E75" s="40">
        <f>SUM(E32:E74)</f>
        <v>1616.5100000000004</v>
      </c>
    </row>
    <row r="76" spans="1:5" ht="15.75">
      <c r="A76" s="41"/>
      <c r="B76" s="45" t="s">
        <v>48</v>
      </c>
      <c r="C76" s="40">
        <f>C75+C30</f>
        <v>2615.1</v>
      </c>
      <c r="D76" s="40">
        <f>D75+D30</f>
        <v>19317.61</v>
      </c>
      <c r="E76" s="40">
        <f>E75+E30</f>
        <v>3270.9016666666676</v>
      </c>
    </row>
    <row r="77" spans="1:5" ht="15.75">
      <c r="A77" s="46"/>
      <c r="B77" s="29"/>
      <c r="C77" s="14"/>
      <c r="D77" s="14"/>
      <c r="E77" s="71"/>
    </row>
    <row r="78" spans="1:5" ht="15.75" customHeight="1">
      <c r="A78" s="142" t="s">
        <v>63</v>
      </c>
      <c r="B78" s="142"/>
      <c r="C78" s="30">
        <v>30</v>
      </c>
      <c r="D78" s="30">
        <v>30</v>
      </c>
      <c r="E78" s="116">
        <v>5</v>
      </c>
    </row>
    <row r="79" spans="1:5" ht="15.75" customHeight="1">
      <c r="A79" s="142" t="s">
        <v>64</v>
      </c>
      <c r="B79" s="142"/>
      <c r="C79" s="48">
        <f>C76/C78</f>
        <v>87.17</v>
      </c>
      <c r="D79" s="48">
        <f>D76/D78</f>
        <v>643.9203333333334</v>
      </c>
      <c r="E79" s="117">
        <f>E76/E78</f>
        <v>654.1803333333335</v>
      </c>
    </row>
    <row r="80" spans="1:5" ht="15.75">
      <c r="A80" s="18"/>
      <c r="B80" s="18"/>
      <c r="C80" s="47"/>
      <c r="D80" s="47"/>
      <c r="E80" s="80"/>
    </row>
    <row r="81" spans="1:5" ht="15.75" customHeight="1">
      <c r="A81" s="146" t="s">
        <v>56</v>
      </c>
      <c r="B81" s="147"/>
      <c r="C81" s="25">
        <v>87.17</v>
      </c>
      <c r="D81" s="25">
        <v>610.19</v>
      </c>
      <c r="E81" s="81"/>
    </row>
    <row r="82" spans="1:5" ht="15.75" customHeight="1">
      <c r="A82" s="146" t="s">
        <v>85</v>
      </c>
      <c r="B82" s="147"/>
      <c r="C82" s="25">
        <f>87.17*7</f>
        <v>610.19</v>
      </c>
      <c r="D82" s="25"/>
      <c r="E82" s="81"/>
    </row>
    <row r="83" spans="1:5" ht="15.75">
      <c r="A83" s="26"/>
      <c r="B83" s="26"/>
      <c r="C83" s="26">
        <f>C82*5</f>
        <v>3050.9500000000003</v>
      </c>
      <c r="D83" s="26"/>
      <c r="E83" s="82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  <row r="90" ht="12.75">
      <c r="E90" s="69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140625" style="3" customWidth="1"/>
    <col min="2" max="2" width="97.28125" style="3" customWidth="1"/>
    <col min="3" max="3" width="24.8515625" style="5" hidden="1" customWidth="1"/>
    <col min="4" max="4" width="25.8515625" style="3" hidden="1" customWidth="1"/>
    <col min="5" max="6" width="22.421875" style="3" hidden="1" customWidth="1"/>
    <col min="7" max="7" width="33.57421875" style="3" customWidth="1"/>
  </cols>
  <sheetData>
    <row r="1" spans="1:7" ht="15.75" customHeight="1">
      <c r="A1" s="9"/>
      <c r="B1" s="46"/>
      <c r="C1" s="46" t="s">
        <v>53</v>
      </c>
      <c r="D1" s="46" t="s">
        <v>53</v>
      </c>
      <c r="E1" s="46" t="s">
        <v>53</v>
      </c>
      <c r="F1" s="46"/>
      <c r="G1" s="46" t="s">
        <v>53</v>
      </c>
    </row>
    <row r="2" spans="1:7" ht="15.75">
      <c r="A2" s="9"/>
      <c r="B2" s="46"/>
      <c r="C2" s="46" t="s">
        <v>58</v>
      </c>
      <c r="D2" s="46" t="s">
        <v>58</v>
      </c>
      <c r="E2" s="46" t="s">
        <v>58</v>
      </c>
      <c r="F2" s="46"/>
      <c r="G2" s="46" t="s">
        <v>58</v>
      </c>
    </row>
    <row r="3" spans="1:7" ht="15.75">
      <c r="A3" s="9"/>
      <c r="B3" s="67"/>
      <c r="C3" s="67" t="s">
        <v>87</v>
      </c>
      <c r="D3" s="67" t="s">
        <v>87</v>
      </c>
      <c r="E3" s="67" t="s">
        <v>87</v>
      </c>
      <c r="F3" s="67"/>
      <c r="G3" s="120" t="s">
        <v>196</v>
      </c>
    </row>
    <row r="4" spans="1:7" ht="15.75">
      <c r="A4" s="9"/>
      <c r="B4" s="46"/>
      <c r="C4" s="46" t="s">
        <v>54</v>
      </c>
      <c r="D4" s="46" t="s">
        <v>54</v>
      </c>
      <c r="E4" s="46" t="s">
        <v>54</v>
      </c>
      <c r="F4" s="46"/>
      <c r="G4" s="46"/>
    </row>
    <row r="5" spans="1:7" ht="15.75">
      <c r="A5" s="9"/>
      <c r="B5" s="46"/>
      <c r="C5" s="46" t="s">
        <v>88</v>
      </c>
      <c r="D5" s="46" t="s">
        <v>88</v>
      </c>
      <c r="E5" s="46" t="s">
        <v>88</v>
      </c>
      <c r="F5" s="46"/>
      <c r="G5" s="46" t="s">
        <v>197</v>
      </c>
    </row>
    <row r="6" spans="1:7" ht="15">
      <c r="A6" s="9"/>
      <c r="B6" s="2"/>
      <c r="C6" s="2"/>
      <c r="D6" s="2"/>
      <c r="E6" s="2"/>
      <c r="F6" s="2"/>
      <c r="G6" s="2"/>
    </row>
    <row r="7" spans="1:7" ht="17.25" customHeight="1">
      <c r="A7" s="144" t="s">
        <v>10</v>
      </c>
      <c r="B7" s="144"/>
      <c r="C7" s="144"/>
      <c r="D7" s="144"/>
      <c r="E7" s="144"/>
      <c r="F7" s="144"/>
      <c r="G7" s="144"/>
    </row>
    <row r="8" spans="1:6" ht="14.25">
      <c r="A8" s="15"/>
      <c r="B8" s="16"/>
      <c r="C8" s="16"/>
      <c r="D8" s="16"/>
      <c r="E8" s="10"/>
      <c r="F8" s="10"/>
    </row>
    <row r="9" spans="1:7" ht="15" customHeight="1">
      <c r="A9" s="142" t="s">
        <v>1</v>
      </c>
      <c r="B9" s="145"/>
      <c r="C9" s="18"/>
      <c r="D9" s="18"/>
      <c r="E9" s="18"/>
      <c r="F9" s="18"/>
      <c r="G9" s="14"/>
    </row>
    <row r="10" spans="1:7" ht="15" customHeight="1">
      <c r="A10" s="142" t="s">
        <v>0</v>
      </c>
      <c r="B10" s="145"/>
      <c r="C10" s="18"/>
      <c r="D10" s="18"/>
      <c r="E10" s="18"/>
      <c r="F10" s="18"/>
      <c r="G10" s="14"/>
    </row>
    <row r="11" spans="1:7" ht="15" customHeight="1">
      <c r="A11" s="18"/>
      <c r="B11" s="18" t="s">
        <v>49</v>
      </c>
      <c r="C11" s="18"/>
      <c r="D11" s="18"/>
      <c r="E11" s="18"/>
      <c r="F11" s="18"/>
      <c r="G11" s="14"/>
    </row>
    <row r="12" spans="1:7" ht="15" customHeight="1">
      <c r="A12" s="18"/>
      <c r="B12" s="142" t="s">
        <v>75</v>
      </c>
      <c r="C12" s="145"/>
      <c r="D12" s="145"/>
      <c r="E12" s="18"/>
      <c r="F12" s="18"/>
      <c r="G12" s="23"/>
    </row>
    <row r="13" spans="1:7" ht="15.75" customHeight="1">
      <c r="A13" s="18"/>
      <c r="B13" s="142" t="s">
        <v>76</v>
      </c>
      <c r="C13" s="142"/>
      <c r="D13" s="142"/>
      <c r="E13" s="142"/>
      <c r="F13" s="142"/>
      <c r="G13" s="143"/>
    </row>
    <row r="14" spans="1:7" ht="15.75" customHeight="1">
      <c r="A14" s="18"/>
      <c r="B14" s="142" t="s">
        <v>170</v>
      </c>
      <c r="C14" s="145"/>
      <c r="D14" s="145"/>
      <c r="E14" s="145"/>
      <c r="F14" s="145"/>
      <c r="G14" s="145"/>
    </row>
    <row r="15" spans="1:7" ht="15" customHeight="1">
      <c r="A15" s="18"/>
      <c r="B15" s="142" t="s">
        <v>171</v>
      </c>
      <c r="C15" s="145"/>
      <c r="D15" s="145"/>
      <c r="E15" s="145"/>
      <c r="F15" s="145"/>
      <c r="G15" s="145"/>
    </row>
    <row r="16" spans="1:7" ht="15.75" customHeight="1">
      <c r="A16" s="18" t="s">
        <v>2</v>
      </c>
      <c r="B16" s="18" t="str">
        <f>'4.1.1.1.'!B13</f>
        <v>2019.gadā un turpmāk</v>
      </c>
      <c r="C16" s="18"/>
      <c r="D16" s="18"/>
      <c r="E16" s="18"/>
      <c r="F16" s="18"/>
      <c r="G16" s="14"/>
    </row>
    <row r="17" spans="1:7" ht="63" customHeight="1">
      <c r="A17" s="65" t="s">
        <v>3</v>
      </c>
      <c r="B17" s="65" t="s">
        <v>4</v>
      </c>
      <c r="C17" s="65" t="s">
        <v>61</v>
      </c>
      <c r="D17" s="65" t="s">
        <v>82</v>
      </c>
      <c r="E17" s="65" t="s">
        <v>62</v>
      </c>
      <c r="F17" s="65"/>
      <c r="G17" s="65" t="s">
        <v>83</v>
      </c>
    </row>
    <row r="18" spans="1:7" ht="15.75">
      <c r="A18" s="31">
        <v>1</v>
      </c>
      <c r="B18" s="32">
        <v>2</v>
      </c>
      <c r="C18" s="32">
        <v>3</v>
      </c>
      <c r="D18" s="32">
        <v>3</v>
      </c>
      <c r="E18" s="32">
        <v>4</v>
      </c>
      <c r="F18" s="32"/>
      <c r="G18" s="32">
        <v>3</v>
      </c>
    </row>
    <row r="19" spans="1:8" ht="15.75">
      <c r="A19" s="33"/>
      <c r="B19" s="34" t="s">
        <v>6</v>
      </c>
      <c r="C19" s="35"/>
      <c r="D19" s="34"/>
      <c r="E19" s="34"/>
      <c r="F19" s="34"/>
      <c r="G19" s="35"/>
      <c r="H19" s="68"/>
    </row>
    <row r="20" spans="1:10" ht="15" customHeight="1">
      <c r="A20" s="36">
        <v>1100</v>
      </c>
      <c r="B20" s="36" t="s">
        <v>91</v>
      </c>
      <c r="C20" s="37">
        <v>5814.67</v>
      </c>
      <c r="D20" s="37">
        <v>0</v>
      </c>
      <c r="E20" s="37">
        <v>3087.7</v>
      </c>
      <c r="F20" s="37">
        <f>9146.19+600*2.72</f>
        <v>10778.19</v>
      </c>
      <c r="G20" s="37">
        <v>6522.1</v>
      </c>
      <c r="I20" s="107"/>
      <c r="J20" s="68"/>
    </row>
    <row r="21" spans="1:10" ht="15.75">
      <c r="A21" s="36">
        <v>1200</v>
      </c>
      <c r="B21" s="38" t="s">
        <v>92</v>
      </c>
      <c r="C21" s="37">
        <v>1371.68</v>
      </c>
      <c r="D21" s="37">
        <v>0</v>
      </c>
      <c r="E21" s="37">
        <v>728.39</v>
      </c>
      <c r="F21" s="37">
        <f>2203.32+600*0.66</f>
        <v>2599.32</v>
      </c>
      <c r="G21" s="37">
        <v>1571.17</v>
      </c>
      <c r="I21" s="107"/>
      <c r="J21" s="68"/>
    </row>
    <row r="22" spans="1:10" ht="15.75">
      <c r="A22" s="36">
        <v>2222</v>
      </c>
      <c r="B22" s="38" t="s">
        <v>43</v>
      </c>
      <c r="C22" s="37">
        <v>523.1</v>
      </c>
      <c r="D22" s="37">
        <v>0</v>
      </c>
      <c r="E22" s="37">
        <f aca="true" t="shared" si="0" ref="E22:E30">ROUND(C22/2,2)</f>
        <v>261.55</v>
      </c>
      <c r="F22" s="37">
        <v>701.58</v>
      </c>
      <c r="G22" s="37">
        <f>F22/600*290</f>
        <v>339.097</v>
      </c>
      <c r="I22" s="114"/>
      <c r="J22" s="68"/>
    </row>
    <row r="23" spans="1:9" ht="15.75">
      <c r="A23" s="36">
        <v>2223</v>
      </c>
      <c r="B23" s="38" t="s">
        <v>44</v>
      </c>
      <c r="C23" s="37">
        <v>181.73</v>
      </c>
      <c r="D23" s="37">
        <v>0</v>
      </c>
      <c r="E23" s="37">
        <f t="shared" si="0"/>
        <v>90.87</v>
      </c>
      <c r="F23" s="37">
        <v>761.7</v>
      </c>
      <c r="G23" s="37">
        <f>F23/600*290</f>
        <v>368.15500000000003</v>
      </c>
      <c r="I23" s="115"/>
    </row>
    <row r="24" spans="1:9" ht="15.75">
      <c r="A24" s="36">
        <v>2243</v>
      </c>
      <c r="B24" s="38" t="s">
        <v>15</v>
      </c>
      <c r="C24" s="37">
        <v>125.47</v>
      </c>
      <c r="D24" s="37">
        <v>0</v>
      </c>
      <c r="E24" s="37">
        <f t="shared" si="0"/>
        <v>62.74</v>
      </c>
      <c r="F24" s="37">
        <v>182.63</v>
      </c>
      <c r="G24" s="37">
        <f>F24/600*290</f>
        <v>88.27116666666667</v>
      </c>
      <c r="I24" s="115"/>
    </row>
    <row r="25" spans="1:9" ht="15.75" hidden="1">
      <c r="A25" s="36">
        <v>2249</v>
      </c>
      <c r="B25" s="38" t="s">
        <v>17</v>
      </c>
      <c r="C25" s="37">
        <v>388.24</v>
      </c>
      <c r="D25" s="37">
        <v>0</v>
      </c>
      <c r="E25" s="37">
        <f t="shared" si="0"/>
        <v>194.12</v>
      </c>
      <c r="F25" s="37">
        <v>0</v>
      </c>
      <c r="G25" s="37">
        <f>F25/600*40</f>
        <v>0</v>
      </c>
      <c r="I25" s="115"/>
    </row>
    <row r="26" spans="1:9" ht="15.75">
      <c r="A26" s="36">
        <v>2321</v>
      </c>
      <c r="B26" s="38" t="s">
        <v>25</v>
      </c>
      <c r="C26" s="37">
        <v>241.52</v>
      </c>
      <c r="D26" s="37">
        <v>0</v>
      </c>
      <c r="E26" s="37">
        <f t="shared" si="0"/>
        <v>120.76</v>
      </c>
      <c r="F26" s="37">
        <v>912</v>
      </c>
      <c r="G26" s="37">
        <f>F26/600*290</f>
        <v>440.8</v>
      </c>
      <c r="I26" s="115"/>
    </row>
    <row r="27" spans="1:9" ht="15.75">
      <c r="A27" s="36">
        <v>2341</v>
      </c>
      <c r="B27" s="38" t="s">
        <v>27</v>
      </c>
      <c r="C27" s="37">
        <v>320.47</v>
      </c>
      <c r="D27" s="37">
        <v>0</v>
      </c>
      <c r="E27" s="37">
        <f t="shared" si="0"/>
        <v>160.24</v>
      </c>
      <c r="F27" s="37">
        <v>1356.9</v>
      </c>
      <c r="G27" s="37">
        <f>F27/600*290</f>
        <v>655.835</v>
      </c>
      <c r="I27" s="115"/>
    </row>
    <row r="28" spans="1:9" ht="15.75" hidden="1">
      <c r="A28" s="36">
        <v>2350</v>
      </c>
      <c r="B28" s="38" t="s">
        <v>29</v>
      </c>
      <c r="C28" s="37">
        <v>35.27</v>
      </c>
      <c r="D28" s="37">
        <v>0</v>
      </c>
      <c r="E28" s="37">
        <f t="shared" si="0"/>
        <v>17.64</v>
      </c>
      <c r="F28" s="37">
        <v>0</v>
      </c>
      <c r="G28" s="37">
        <f>F28/600*40</f>
        <v>0</v>
      </c>
      <c r="I28" s="115"/>
    </row>
    <row r="29" spans="1:9" ht="15.75">
      <c r="A29" s="36">
        <v>2363</v>
      </c>
      <c r="B29" s="38" t="s">
        <v>32</v>
      </c>
      <c r="C29" s="37">
        <v>2915.72</v>
      </c>
      <c r="D29" s="37">
        <v>0</v>
      </c>
      <c r="E29" s="37">
        <f t="shared" si="0"/>
        <v>1457.86</v>
      </c>
      <c r="F29" s="37">
        <v>4428</v>
      </c>
      <c r="G29" s="37">
        <f>8.12*290</f>
        <v>2354.7999999999997</v>
      </c>
      <c r="I29" s="115"/>
    </row>
    <row r="30" spans="1:9" ht="15" customHeight="1">
      <c r="A30" s="36">
        <v>5232</v>
      </c>
      <c r="B30" s="38" t="s">
        <v>37</v>
      </c>
      <c r="C30" s="37">
        <v>1.8</v>
      </c>
      <c r="D30" s="37">
        <v>0</v>
      </c>
      <c r="E30" s="37">
        <f t="shared" si="0"/>
        <v>0.9</v>
      </c>
      <c r="F30" s="37">
        <v>783.25</v>
      </c>
      <c r="G30" s="37">
        <f>F30/600*290</f>
        <v>378.5708333333333</v>
      </c>
      <c r="I30" s="115"/>
    </row>
    <row r="31" spans="1:9" ht="15" customHeight="1">
      <c r="A31" s="36"/>
      <c r="B31" s="39" t="s">
        <v>7</v>
      </c>
      <c r="C31" s="40">
        <f>SUM(C20:C30)</f>
        <v>11919.67</v>
      </c>
      <c r="D31" s="40">
        <f>SUM(D20:D30)</f>
        <v>0</v>
      </c>
      <c r="E31" s="40">
        <f>SUM(E20:E30)</f>
        <v>6182.7699999999995</v>
      </c>
      <c r="F31" s="40">
        <f>SUM(F20:F30)</f>
        <v>22503.57</v>
      </c>
      <c r="G31" s="40">
        <f>SUM(G20:G30)</f>
        <v>12718.799</v>
      </c>
      <c r="I31" s="115"/>
    </row>
    <row r="32" spans="1:9" ht="15" customHeight="1">
      <c r="A32" s="41"/>
      <c r="B32" s="36" t="s">
        <v>8</v>
      </c>
      <c r="C32" s="35"/>
      <c r="D32" s="36"/>
      <c r="E32" s="36"/>
      <c r="F32" s="35"/>
      <c r="G32" s="35"/>
      <c r="I32" s="115"/>
    </row>
    <row r="33" spans="1:9" ht="15" customHeight="1">
      <c r="A33" s="36">
        <v>1100</v>
      </c>
      <c r="B33" s="36" t="s">
        <v>91</v>
      </c>
      <c r="C33" s="37">
        <v>4429</v>
      </c>
      <c r="D33" s="37">
        <v>0</v>
      </c>
      <c r="E33" s="37">
        <f aca="true" t="shared" si="1" ref="E33:E74">ROUND(C33/2,2)</f>
        <v>2214.5</v>
      </c>
      <c r="F33" s="37">
        <v>5987.98</v>
      </c>
      <c r="G33" s="37">
        <f>F33/600*290</f>
        <v>2894.190333333333</v>
      </c>
      <c r="I33" s="107"/>
    </row>
    <row r="34" spans="1:10" ht="15.75">
      <c r="A34" s="36">
        <v>1200</v>
      </c>
      <c r="B34" s="38" t="s">
        <v>92</v>
      </c>
      <c r="C34" s="37">
        <v>1044.8</v>
      </c>
      <c r="D34" s="37">
        <v>0</v>
      </c>
      <c r="E34" s="37">
        <f t="shared" si="1"/>
        <v>522.4</v>
      </c>
      <c r="F34" s="37">
        <v>1442.51</v>
      </c>
      <c r="G34" s="37">
        <f>F34/600*290</f>
        <v>697.2131666666666</v>
      </c>
      <c r="I34" s="107"/>
      <c r="J34" s="68"/>
    </row>
    <row r="35" spans="1:10" ht="15.75" hidden="1">
      <c r="A35" s="36">
        <v>2100</v>
      </c>
      <c r="B35" s="42" t="s">
        <v>46</v>
      </c>
      <c r="C35" s="37"/>
      <c r="D35" s="37">
        <v>0</v>
      </c>
      <c r="E35" s="37">
        <f t="shared" si="1"/>
        <v>0</v>
      </c>
      <c r="F35" s="37">
        <v>0</v>
      </c>
      <c r="G35" s="37">
        <f>F35/600*40</f>
        <v>0</v>
      </c>
      <c r="I35" s="68"/>
      <c r="J35" s="68"/>
    </row>
    <row r="36" spans="1:10" ht="15.75">
      <c r="A36" s="43">
        <v>2210</v>
      </c>
      <c r="B36" s="38" t="s">
        <v>42</v>
      </c>
      <c r="C36" s="37">
        <v>93.67</v>
      </c>
      <c r="D36" s="37">
        <v>0</v>
      </c>
      <c r="E36" s="37">
        <f t="shared" si="1"/>
        <v>46.84</v>
      </c>
      <c r="F36" s="37">
        <v>127.17</v>
      </c>
      <c r="G36" s="37">
        <f>F36/600*290</f>
        <v>61.4655</v>
      </c>
      <c r="I36" s="68"/>
      <c r="J36" s="68"/>
    </row>
    <row r="37" spans="1:7" ht="15" customHeight="1">
      <c r="A37" s="36">
        <v>2222</v>
      </c>
      <c r="B37" s="38" t="s">
        <v>43</v>
      </c>
      <c r="C37" s="37">
        <v>43.75</v>
      </c>
      <c r="D37" s="37">
        <v>0</v>
      </c>
      <c r="E37" s="37">
        <f t="shared" si="1"/>
        <v>21.88</v>
      </c>
      <c r="F37" s="37">
        <v>899.61</v>
      </c>
      <c r="G37" s="37">
        <f>F37/600*290</f>
        <v>434.81149999999997</v>
      </c>
    </row>
    <row r="38" spans="1:7" ht="15" customHeight="1">
      <c r="A38" s="36">
        <v>2223</v>
      </c>
      <c r="B38" s="38" t="s">
        <v>44</v>
      </c>
      <c r="C38" s="37">
        <v>590.62</v>
      </c>
      <c r="D38" s="37">
        <v>0</v>
      </c>
      <c r="E38" s="37">
        <f t="shared" si="1"/>
        <v>295.31</v>
      </c>
      <c r="F38" s="37">
        <v>801.75</v>
      </c>
      <c r="G38" s="37">
        <f>F38/600*290</f>
        <v>387.5125</v>
      </c>
    </row>
    <row r="39" spans="1:7" ht="15.75">
      <c r="A39" s="36">
        <v>2230</v>
      </c>
      <c r="B39" s="38" t="s">
        <v>45</v>
      </c>
      <c r="C39" s="37">
        <v>72.35</v>
      </c>
      <c r="D39" s="37">
        <v>0</v>
      </c>
      <c r="E39" s="37">
        <f t="shared" si="1"/>
        <v>36.18</v>
      </c>
      <c r="F39" s="37">
        <v>98.22</v>
      </c>
      <c r="G39" s="37">
        <f>F39/600*290</f>
        <v>47.473</v>
      </c>
    </row>
    <row r="40" spans="1:7" ht="15.75" hidden="1">
      <c r="A40" s="36">
        <v>2241</v>
      </c>
      <c r="B40" s="38" t="s">
        <v>13</v>
      </c>
      <c r="C40" s="37">
        <v>0.1</v>
      </c>
      <c r="D40" s="37">
        <v>0</v>
      </c>
      <c r="E40" s="37">
        <f t="shared" si="1"/>
        <v>0.05</v>
      </c>
      <c r="F40" s="37"/>
      <c r="G40" s="37">
        <f>F40/600*40</f>
        <v>0</v>
      </c>
    </row>
    <row r="41" spans="1:7" ht="15.75">
      <c r="A41" s="36">
        <v>2242</v>
      </c>
      <c r="B41" s="38" t="s">
        <v>14</v>
      </c>
      <c r="C41" s="37">
        <v>21.56</v>
      </c>
      <c r="D41" s="37">
        <v>0</v>
      </c>
      <c r="E41" s="37">
        <f t="shared" si="1"/>
        <v>10.78</v>
      </c>
      <c r="F41" s="37">
        <v>29.28</v>
      </c>
      <c r="G41" s="37">
        <f>F41/600*290</f>
        <v>14.152000000000001</v>
      </c>
    </row>
    <row r="42" spans="1:9" ht="15" customHeight="1">
      <c r="A42" s="36">
        <v>2243</v>
      </c>
      <c r="B42" s="38" t="s">
        <v>15</v>
      </c>
      <c r="C42" s="37">
        <v>68.84</v>
      </c>
      <c r="D42" s="37">
        <v>0</v>
      </c>
      <c r="E42" s="37">
        <f t="shared" si="1"/>
        <v>34.42</v>
      </c>
      <c r="F42" s="37">
        <v>93.45</v>
      </c>
      <c r="G42" s="37">
        <f>F42/600*290</f>
        <v>45.1675</v>
      </c>
      <c r="I42" s="126"/>
    </row>
    <row r="43" spans="1:8" ht="15.75">
      <c r="A43" s="36">
        <v>2244</v>
      </c>
      <c r="B43" s="38" t="s">
        <v>16</v>
      </c>
      <c r="C43" s="37">
        <v>994.33</v>
      </c>
      <c r="D43" s="37">
        <v>0</v>
      </c>
      <c r="E43" s="37">
        <f t="shared" si="1"/>
        <v>497.17</v>
      </c>
      <c r="F43" s="37">
        <v>1818.2</v>
      </c>
      <c r="G43" s="37">
        <v>2032.42</v>
      </c>
      <c r="H43" s="126"/>
    </row>
    <row r="44" spans="1:7" ht="15.75">
      <c r="A44" s="36">
        <v>2247</v>
      </c>
      <c r="B44" s="34" t="s">
        <v>93</v>
      </c>
      <c r="C44" s="37">
        <v>5.71</v>
      </c>
      <c r="D44" s="37">
        <v>0</v>
      </c>
      <c r="E44" s="37">
        <f t="shared" si="1"/>
        <v>2.86</v>
      </c>
      <c r="F44" s="37">
        <v>7.77</v>
      </c>
      <c r="G44" s="37">
        <f>F44/600*290</f>
        <v>3.7555</v>
      </c>
    </row>
    <row r="45" spans="1:7" ht="14.25" customHeight="1">
      <c r="A45" s="36">
        <v>2249</v>
      </c>
      <c r="B45" s="38" t="s">
        <v>17</v>
      </c>
      <c r="C45" s="37">
        <v>24.84</v>
      </c>
      <c r="D45" s="37">
        <v>0</v>
      </c>
      <c r="E45" s="37">
        <f t="shared" si="1"/>
        <v>12.42</v>
      </c>
      <c r="F45" s="37">
        <v>33.72</v>
      </c>
      <c r="G45" s="37">
        <f>F45/600*290</f>
        <v>16.298</v>
      </c>
    </row>
    <row r="46" spans="1:7" ht="15" customHeight="1">
      <c r="A46" s="36">
        <v>2251</v>
      </c>
      <c r="B46" s="38" t="s">
        <v>94</v>
      </c>
      <c r="C46" s="37">
        <v>145.52</v>
      </c>
      <c r="D46" s="37">
        <v>0</v>
      </c>
      <c r="E46" s="37">
        <f t="shared" si="1"/>
        <v>72.76</v>
      </c>
      <c r="F46" s="37">
        <v>497.88</v>
      </c>
      <c r="G46" s="37">
        <f>F46/600*290</f>
        <v>240.642</v>
      </c>
    </row>
    <row r="47" spans="1:7" ht="15" customHeight="1">
      <c r="A47" s="36">
        <v>2252</v>
      </c>
      <c r="B47" s="38" t="s">
        <v>96</v>
      </c>
      <c r="C47" s="37">
        <v>3.12</v>
      </c>
      <c r="D47" s="37">
        <v>0</v>
      </c>
      <c r="E47" s="37">
        <f t="shared" si="1"/>
        <v>1.56</v>
      </c>
      <c r="F47" s="37">
        <v>4.23</v>
      </c>
      <c r="G47" s="37">
        <f>F47/600*290</f>
        <v>2.0445</v>
      </c>
    </row>
    <row r="48" spans="1:7" ht="15.75">
      <c r="A48" s="36">
        <v>2259</v>
      </c>
      <c r="B48" s="38" t="s">
        <v>95</v>
      </c>
      <c r="C48" s="37">
        <v>0.48</v>
      </c>
      <c r="D48" s="37">
        <v>0</v>
      </c>
      <c r="E48" s="37">
        <f t="shared" si="1"/>
        <v>0.24</v>
      </c>
      <c r="F48" s="37">
        <v>0.66</v>
      </c>
      <c r="G48" s="37">
        <f>F48/600*290</f>
        <v>0.319</v>
      </c>
    </row>
    <row r="49" spans="1:7" ht="15.75" hidden="1">
      <c r="A49" s="36">
        <v>2261</v>
      </c>
      <c r="B49" s="38" t="s">
        <v>18</v>
      </c>
      <c r="C49" s="37">
        <v>17.63</v>
      </c>
      <c r="D49" s="37">
        <v>0</v>
      </c>
      <c r="E49" s="37">
        <f t="shared" si="1"/>
        <v>8.82</v>
      </c>
      <c r="F49" s="37"/>
      <c r="G49" s="37">
        <f>F49/600*40</f>
        <v>0</v>
      </c>
    </row>
    <row r="50" spans="1:7" ht="15.75">
      <c r="A50" s="36">
        <v>2262</v>
      </c>
      <c r="B50" s="38" t="s">
        <v>19</v>
      </c>
      <c r="C50" s="37">
        <v>63.08</v>
      </c>
      <c r="D50" s="37">
        <v>0</v>
      </c>
      <c r="E50" s="37">
        <f t="shared" si="1"/>
        <v>31.54</v>
      </c>
      <c r="F50" s="37">
        <v>85.62</v>
      </c>
      <c r="G50" s="37">
        <f aca="true" t="shared" si="2" ref="G50:G62">F50/600*290</f>
        <v>41.383</v>
      </c>
    </row>
    <row r="51" spans="1:7" ht="15.75">
      <c r="A51" s="36">
        <v>2263</v>
      </c>
      <c r="B51" s="38" t="s">
        <v>20</v>
      </c>
      <c r="C51" s="37">
        <v>232.67</v>
      </c>
      <c r="D51" s="37">
        <v>0</v>
      </c>
      <c r="E51" s="37">
        <f t="shared" si="1"/>
        <v>116.34</v>
      </c>
      <c r="F51" s="37">
        <v>315.87</v>
      </c>
      <c r="G51" s="37">
        <f t="shared" si="2"/>
        <v>152.6705</v>
      </c>
    </row>
    <row r="52" spans="1:7" ht="15.75">
      <c r="A52" s="36">
        <v>2264</v>
      </c>
      <c r="B52" s="38" t="s">
        <v>21</v>
      </c>
      <c r="C52" s="37">
        <v>1.18</v>
      </c>
      <c r="D52" s="37">
        <v>0</v>
      </c>
      <c r="E52" s="37">
        <f t="shared" si="1"/>
        <v>0.59</v>
      </c>
      <c r="F52" s="37">
        <v>1.59</v>
      </c>
      <c r="G52" s="37">
        <f t="shared" si="2"/>
        <v>0.7685</v>
      </c>
    </row>
    <row r="53" spans="1:7" ht="15.75">
      <c r="A53" s="36">
        <v>2279</v>
      </c>
      <c r="B53" s="38" t="s">
        <v>22</v>
      </c>
      <c r="C53" s="37">
        <v>259.89</v>
      </c>
      <c r="D53" s="37">
        <v>0</v>
      </c>
      <c r="E53" s="37">
        <f t="shared" si="1"/>
        <v>129.95</v>
      </c>
      <c r="F53" s="37">
        <v>352.8</v>
      </c>
      <c r="G53" s="37">
        <f t="shared" si="2"/>
        <v>170.51999999999998</v>
      </c>
    </row>
    <row r="54" spans="1:7" ht="15" customHeight="1">
      <c r="A54" s="36">
        <v>2311</v>
      </c>
      <c r="B54" s="38" t="s">
        <v>23</v>
      </c>
      <c r="C54" s="37">
        <v>24.47</v>
      </c>
      <c r="D54" s="37">
        <v>0</v>
      </c>
      <c r="E54" s="37">
        <f t="shared" si="1"/>
        <v>12.24</v>
      </c>
      <c r="F54" s="37">
        <v>163.98</v>
      </c>
      <c r="G54" s="37">
        <f t="shared" si="2"/>
        <v>79.25699999999999</v>
      </c>
    </row>
    <row r="55" spans="1:7" ht="15" customHeight="1">
      <c r="A55" s="36">
        <v>2312</v>
      </c>
      <c r="B55" s="38" t="s">
        <v>24</v>
      </c>
      <c r="C55" s="37">
        <v>45.22</v>
      </c>
      <c r="D55" s="37">
        <v>0</v>
      </c>
      <c r="E55" s="37">
        <f t="shared" si="1"/>
        <v>22.61</v>
      </c>
      <c r="F55" s="37">
        <v>61.38</v>
      </c>
      <c r="G55" s="37">
        <f t="shared" si="2"/>
        <v>29.667</v>
      </c>
    </row>
    <row r="56" spans="1:7" ht="15" customHeight="1">
      <c r="A56" s="36">
        <v>2321</v>
      </c>
      <c r="B56" s="38" t="s">
        <v>25</v>
      </c>
      <c r="C56" s="37">
        <v>970.94</v>
      </c>
      <c r="D56" s="37">
        <v>0</v>
      </c>
      <c r="E56" s="37">
        <f t="shared" si="1"/>
        <v>485.47</v>
      </c>
      <c r="F56" s="37">
        <v>1318.5</v>
      </c>
      <c r="G56" s="37">
        <f t="shared" si="2"/>
        <v>637.275</v>
      </c>
    </row>
    <row r="57" spans="1:7" ht="15" customHeight="1">
      <c r="A57" s="36">
        <v>2322</v>
      </c>
      <c r="B57" s="38" t="s">
        <v>26</v>
      </c>
      <c r="C57" s="37">
        <v>170.2</v>
      </c>
      <c r="D57" s="37">
        <v>0</v>
      </c>
      <c r="E57" s="37">
        <f t="shared" si="1"/>
        <v>85.1</v>
      </c>
      <c r="F57" s="37">
        <v>230.82</v>
      </c>
      <c r="G57" s="37">
        <f t="shared" si="2"/>
        <v>111.563</v>
      </c>
    </row>
    <row r="58" spans="1:7" ht="15" customHeight="1">
      <c r="A58" s="36">
        <v>2341</v>
      </c>
      <c r="B58" s="38" t="s">
        <v>27</v>
      </c>
      <c r="C58" s="37">
        <v>22.84</v>
      </c>
      <c r="D58" s="37">
        <v>0</v>
      </c>
      <c r="E58" s="37">
        <f t="shared" si="1"/>
        <v>11.42</v>
      </c>
      <c r="F58" s="37">
        <v>30.99</v>
      </c>
      <c r="G58" s="37">
        <f t="shared" si="2"/>
        <v>14.978499999999999</v>
      </c>
    </row>
    <row r="59" spans="1:7" ht="15" customHeight="1">
      <c r="A59" s="36">
        <v>2344</v>
      </c>
      <c r="B59" s="38" t="s">
        <v>28</v>
      </c>
      <c r="C59" s="37">
        <v>0.31</v>
      </c>
      <c r="D59" s="37">
        <v>0</v>
      </c>
      <c r="E59" s="37">
        <f t="shared" si="1"/>
        <v>0.16</v>
      </c>
      <c r="F59" s="37">
        <v>0.45</v>
      </c>
      <c r="G59" s="37">
        <f t="shared" si="2"/>
        <v>0.2175</v>
      </c>
    </row>
    <row r="60" spans="1:7" ht="15.75" customHeight="1">
      <c r="A60" s="36">
        <v>2350</v>
      </c>
      <c r="B60" s="38" t="s">
        <v>29</v>
      </c>
      <c r="C60" s="37">
        <v>193.6</v>
      </c>
      <c r="D60" s="37">
        <v>0</v>
      </c>
      <c r="E60" s="37">
        <f t="shared" si="1"/>
        <v>96.8</v>
      </c>
      <c r="F60" s="37">
        <v>555.9</v>
      </c>
      <c r="G60" s="37">
        <f t="shared" si="2"/>
        <v>268.685</v>
      </c>
    </row>
    <row r="61" spans="1:7" ht="15.75">
      <c r="A61" s="36">
        <v>2361</v>
      </c>
      <c r="B61" s="38" t="s">
        <v>30</v>
      </c>
      <c r="C61" s="37">
        <v>93.78</v>
      </c>
      <c r="D61" s="37">
        <v>0</v>
      </c>
      <c r="E61" s="37">
        <f t="shared" si="1"/>
        <v>46.89</v>
      </c>
      <c r="F61" s="37">
        <v>127.02</v>
      </c>
      <c r="G61" s="37">
        <f t="shared" si="2"/>
        <v>61.393</v>
      </c>
    </row>
    <row r="62" spans="1:7" ht="15.75">
      <c r="A62" s="36">
        <v>2362</v>
      </c>
      <c r="B62" s="38" t="s">
        <v>31</v>
      </c>
      <c r="C62" s="37">
        <v>4.52</v>
      </c>
      <c r="D62" s="37">
        <v>0</v>
      </c>
      <c r="E62" s="37">
        <f t="shared" si="1"/>
        <v>2.26</v>
      </c>
      <c r="F62" s="37">
        <v>75.18</v>
      </c>
      <c r="G62" s="37">
        <f t="shared" si="2"/>
        <v>36.337</v>
      </c>
    </row>
    <row r="63" spans="1:7" ht="15.75" hidden="1">
      <c r="A63" s="36">
        <v>2363</v>
      </c>
      <c r="B63" s="38" t="s">
        <v>32</v>
      </c>
      <c r="C63" s="37">
        <v>25.74</v>
      </c>
      <c r="D63" s="37">
        <v>0</v>
      </c>
      <c r="E63" s="37">
        <f t="shared" si="1"/>
        <v>12.87</v>
      </c>
      <c r="F63" s="37">
        <v>0</v>
      </c>
      <c r="G63" s="37">
        <f>F63/600*40</f>
        <v>0</v>
      </c>
    </row>
    <row r="64" spans="1:7" ht="15.75" hidden="1">
      <c r="A64" s="36">
        <v>2370</v>
      </c>
      <c r="B64" s="38" t="s">
        <v>33</v>
      </c>
      <c r="C64" s="37"/>
      <c r="D64" s="37">
        <v>0</v>
      </c>
      <c r="E64" s="37">
        <f t="shared" si="1"/>
        <v>0</v>
      </c>
      <c r="F64" s="37">
        <v>0</v>
      </c>
      <c r="G64" s="37">
        <f>F64/600*40</f>
        <v>0</v>
      </c>
    </row>
    <row r="65" spans="1:7" ht="15.75">
      <c r="A65" s="36">
        <v>2400</v>
      </c>
      <c r="B65" s="38" t="s">
        <v>47</v>
      </c>
      <c r="C65" s="37">
        <v>10.07</v>
      </c>
      <c r="D65" s="37">
        <v>0</v>
      </c>
      <c r="E65" s="37">
        <f t="shared" si="1"/>
        <v>5.04</v>
      </c>
      <c r="F65" s="37">
        <v>13.68</v>
      </c>
      <c r="G65" s="37">
        <f>F65/600*290</f>
        <v>6.612</v>
      </c>
    </row>
    <row r="66" spans="1:7" ht="15" customHeight="1">
      <c r="A66" s="36">
        <v>2513</v>
      </c>
      <c r="B66" s="38" t="s">
        <v>35</v>
      </c>
      <c r="C66" s="37">
        <v>157.54</v>
      </c>
      <c r="D66" s="37">
        <v>0</v>
      </c>
      <c r="E66" s="37">
        <f t="shared" si="1"/>
        <v>78.77</v>
      </c>
      <c r="F66" s="37">
        <v>213.87</v>
      </c>
      <c r="G66" s="37">
        <f>F66/600*290</f>
        <v>103.37049999999999</v>
      </c>
    </row>
    <row r="67" spans="1:7" ht="15.75">
      <c r="A67" s="36">
        <v>2515</v>
      </c>
      <c r="B67" s="38" t="s">
        <v>97</v>
      </c>
      <c r="C67" s="37">
        <v>6.97</v>
      </c>
      <c r="D67" s="37">
        <v>0</v>
      </c>
      <c r="E67" s="37">
        <f t="shared" si="1"/>
        <v>3.49</v>
      </c>
      <c r="F67" s="37">
        <v>9.48</v>
      </c>
      <c r="G67" s="37">
        <f>F67/600*290</f>
        <v>4.582000000000001</v>
      </c>
    </row>
    <row r="68" spans="1:7" ht="15.75">
      <c r="A68" s="36">
        <v>2519</v>
      </c>
      <c r="B68" s="38" t="s">
        <v>38</v>
      </c>
      <c r="C68" s="37">
        <v>36.72</v>
      </c>
      <c r="D68" s="37">
        <v>0</v>
      </c>
      <c r="E68" s="37">
        <f t="shared" si="1"/>
        <v>18.36</v>
      </c>
      <c r="F68" s="37">
        <v>49.86</v>
      </c>
      <c r="G68" s="37">
        <f>F68/600*290</f>
        <v>24.098999999999997</v>
      </c>
    </row>
    <row r="69" spans="1:7" ht="15.75" hidden="1">
      <c r="A69" s="36">
        <v>6240</v>
      </c>
      <c r="B69" s="38" t="s">
        <v>50</v>
      </c>
      <c r="C69" s="37"/>
      <c r="D69" s="37">
        <v>0</v>
      </c>
      <c r="E69" s="37">
        <f t="shared" si="1"/>
        <v>0</v>
      </c>
      <c r="F69" s="37">
        <v>0</v>
      </c>
      <c r="G69" s="37">
        <f>F69/600*40</f>
        <v>0</v>
      </c>
    </row>
    <row r="70" spans="1:7" ht="15.75" hidden="1">
      <c r="A70" s="36">
        <v>6290</v>
      </c>
      <c r="B70" s="38" t="s">
        <v>51</v>
      </c>
      <c r="C70" s="37"/>
      <c r="D70" s="37">
        <v>0</v>
      </c>
      <c r="E70" s="37">
        <f t="shared" si="1"/>
        <v>0</v>
      </c>
      <c r="F70" s="37">
        <v>0</v>
      </c>
      <c r="G70" s="37">
        <f>F70/600*40</f>
        <v>0</v>
      </c>
    </row>
    <row r="71" spans="1:7" ht="15.75">
      <c r="A71" s="36">
        <v>5121</v>
      </c>
      <c r="B71" s="38" t="s">
        <v>36</v>
      </c>
      <c r="C71" s="37">
        <v>29.7</v>
      </c>
      <c r="D71" s="37">
        <v>0</v>
      </c>
      <c r="E71" s="37">
        <f t="shared" si="1"/>
        <v>14.85</v>
      </c>
      <c r="F71" s="37">
        <v>40.32</v>
      </c>
      <c r="G71" s="37">
        <f>F71/600*290</f>
        <v>19.488</v>
      </c>
    </row>
    <row r="72" spans="1:7" ht="15.75">
      <c r="A72" s="36">
        <v>5232</v>
      </c>
      <c r="B72" s="38" t="s">
        <v>37</v>
      </c>
      <c r="C72" s="37">
        <v>106.17</v>
      </c>
      <c r="D72" s="37">
        <v>0</v>
      </c>
      <c r="E72" s="37">
        <v>53.39</v>
      </c>
      <c r="F72" s="37">
        <v>298.66</v>
      </c>
      <c r="G72" s="37">
        <f>F72/600*290</f>
        <v>144.35233333333335</v>
      </c>
    </row>
    <row r="73" spans="1:7" ht="15.75">
      <c r="A73" s="36">
        <v>5238</v>
      </c>
      <c r="B73" s="38" t="s">
        <v>39</v>
      </c>
      <c r="C73" s="37">
        <v>329.67</v>
      </c>
      <c r="D73" s="37">
        <v>0</v>
      </c>
      <c r="E73" s="37">
        <f t="shared" si="1"/>
        <v>164.84</v>
      </c>
      <c r="F73" s="37">
        <v>447.54</v>
      </c>
      <c r="G73" s="37">
        <f>F73/600*290</f>
        <v>216.311</v>
      </c>
    </row>
    <row r="74" spans="1:7" ht="15.75" hidden="1">
      <c r="A74" s="36">
        <v>5240</v>
      </c>
      <c r="B74" s="38" t="s">
        <v>40</v>
      </c>
      <c r="C74" s="37">
        <v>2.07</v>
      </c>
      <c r="D74" s="37">
        <v>0</v>
      </c>
      <c r="E74" s="37">
        <f t="shared" si="1"/>
        <v>1.04</v>
      </c>
      <c r="F74" s="37"/>
      <c r="G74" s="37">
        <f>F74/600*40</f>
        <v>0</v>
      </c>
    </row>
    <row r="75" spans="1:7" ht="15.75">
      <c r="A75" s="36">
        <v>5250</v>
      </c>
      <c r="B75" s="38" t="s">
        <v>41</v>
      </c>
      <c r="C75" s="58">
        <v>5975.84</v>
      </c>
      <c r="D75" s="37">
        <v>0</v>
      </c>
      <c r="E75" s="37">
        <f>ROUND(C75/2,2)</f>
        <v>2987.92</v>
      </c>
      <c r="F75" s="37">
        <v>8114.49</v>
      </c>
      <c r="G75" s="37">
        <f>F75/600*290</f>
        <v>3922.0035</v>
      </c>
    </row>
    <row r="76" spans="1:7" ht="15.75">
      <c r="A76" s="41"/>
      <c r="B76" s="45" t="s">
        <v>9</v>
      </c>
      <c r="C76" s="40">
        <f>SUM(C33:C75)</f>
        <v>16319.510000000004</v>
      </c>
      <c r="D76" s="40">
        <f>SUM(D33:D75)</f>
        <v>0</v>
      </c>
      <c r="E76" s="40">
        <f>SUM(E33:E75)</f>
        <v>8160.130000000003</v>
      </c>
      <c r="F76" s="40">
        <f>SUM(F33:F75)</f>
        <v>24350.43</v>
      </c>
      <c r="G76" s="40">
        <f>SUM(G33:G75)</f>
        <v>12922.997833333331</v>
      </c>
    </row>
    <row r="77" spans="1:7" ht="15.75">
      <c r="A77" s="41"/>
      <c r="B77" s="45" t="s">
        <v>48</v>
      </c>
      <c r="C77" s="40">
        <f>C76+C31</f>
        <v>28239.180000000004</v>
      </c>
      <c r="D77" s="40">
        <f>D76+D31</f>
        <v>0</v>
      </c>
      <c r="E77" s="40">
        <f>E76+E31</f>
        <v>14342.900000000001</v>
      </c>
      <c r="F77" s="40">
        <f>F76+F31</f>
        <v>46854</v>
      </c>
      <c r="G77" s="40">
        <f>G76+G31</f>
        <v>25641.796833333334</v>
      </c>
    </row>
    <row r="78" spans="1:7" ht="15.75">
      <c r="A78" s="52"/>
      <c r="B78" s="53"/>
      <c r="C78" s="63"/>
      <c r="D78" s="63"/>
      <c r="E78" s="53"/>
      <c r="F78" s="63"/>
      <c r="G78" s="63"/>
    </row>
    <row r="79" spans="1:7" ht="15" customHeight="1">
      <c r="A79" s="146" t="s">
        <v>55</v>
      </c>
      <c r="B79" s="147"/>
      <c r="C79" s="55">
        <v>442</v>
      </c>
      <c r="D79" s="49">
        <v>0</v>
      </c>
      <c r="E79" s="49">
        <v>221</v>
      </c>
      <c r="F79" s="49">
        <v>600</v>
      </c>
      <c r="G79" s="44">
        <v>290</v>
      </c>
    </row>
    <row r="80" spans="1:7" ht="15.75" customHeight="1">
      <c r="A80" s="146" t="s">
        <v>84</v>
      </c>
      <c r="B80" s="147"/>
      <c r="C80" s="56">
        <f>C77/C79</f>
        <v>63.88954751131222</v>
      </c>
      <c r="D80" s="59">
        <v>0</v>
      </c>
      <c r="E80" s="40">
        <f>E77/E79</f>
        <v>64.9</v>
      </c>
      <c r="F80" s="40">
        <f>F77/F79</f>
        <v>78.09</v>
      </c>
      <c r="G80" s="113">
        <f>G77/G79</f>
        <v>88.41998908045977</v>
      </c>
    </row>
    <row r="81" spans="1:8" ht="15.75" customHeight="1">
      <c r="A81" s="29"/>
      <c r="B81" s="22"/>
      <c r="C81" s="47"/>
      <c r="D81" s="61"/>
      <c r="E81" s="47"/>
      <c r="F81" s="56"/>
      <c r="G81" s="56"/>
      <c r="H81" s="68"/>
    </row>
    <row r="82" spans="1:7" s="7" customFormat="1" ht="15.75" customHeight="1">
      <c r="A82" s="146" t="s">
        <v>56</v>
      </c>
      <c r="B82" s="147"/>
      <c r="C82" s="50"/>
      <c r="D82" s="50"/>
      <c r="E82" s="50"/>
      <c r="F82" s="50">
        <v>74.71</v>
      </c>
      <c r="G82" s="50"/>
    </row>
    <row r="83" spans="1:7" s="7" customFormat="1" ht="15.75" customHeight="1">
      <c r="A83" s="146" t="s">
        <v>86</v>
      </c>
      <c r="B83" s="147"/>
      <c r="C83" s="25"/>
      <c r="D83" s="51"/>
      <c r="E83" s="50"/>
      <c r="F83" s="50"/>
      <c r="G83" s="50"/>
    </row>
    <row r="84" spans="1:7" s="7" customFormat="1" ht="15.75">
      <c r="A84" s="67"/>
      <c r="B84" s="22"/>
      <c r="C84" s="26"/>
      <c r="D84" s="26"/>
      <c r="E84" s="26"/>
      <c r="F84" s="26"/>
      <c r="G84" s="26"/>
    </row>
    <row r="85" spans="1:7" s="7" customFormat="1" ht="15.75">
      <c r="A85" s="26" t="s">
        <v>57</v>
      </c>
      <c r="B85" s="26"/>
      <c r="C85" s="26"/>
      <c r="D85" s="26"/>
      <c r="E85" s="26"/>
      <c r="F85" s="26"/>
      <c r="G85" s="26"/>
    </row>
    <row r="86" spans="1:7" s="7" customFormat="1" ht="15.75">
      <c r="A86" s="26"/>
      <c r="B86" s="26"/>
      <c r="C86" s="26"/>
      <c r="D86" s="26"/>
      <c r="E86" s="26"/>
      <c r="F86" s="26"/>
      <c r="G86" s="26"/>
    </row>
    <row r="87" spans="1:7" s="7" customFormat="1" ht="15.75">
      <c r="A87" s="26" t="s">
        <v>78</v>
      </c>
      <c r="B87" s="27"/>
      <c r="C87" s="27"/>
      <c r="D87" s="27"/>
      <c r="E87" s="27"/>
      <c r="F87" s="27"/>
      <c r="G87" s="27"/>
    </row>
    <row r="88" spans="1:7" s="7" customFormat="1" ht="13.5" customHeight="1">
      <c r="A88" s="26"/>
      <c r="B88" s="28"/>
      <c r="C88" s="28"/>
      <c r="D88" s="28"/>
      <c r="E88" s="26"/>
      <c r="F88" s="26"/>
      <c r="G88" s="26"/>
    </row>
    <row r="89" s="7" customFormat="1" ht="13.5" customHeight="1">
      <c r="B89" s="8"/>
    </row>
    <row r="90" s="3" customFormat="1" ht="14.25">
      <c r="C90" s="5"/>
    </row>
  </sheetData>
  <sheetProtection/>
  <mergeCells count="11">
    <mergeCell ref="B12:D12"/>
    <mergeCell ref="B13:G13"/>
    <mergeCell ref="A7:G7"/>
    <mergeCell ref="B14:G14"/>
    <mergeCell ref="A82:B82"/>
    <mergeCell ref="A83:B83"/>
    <mergeCell ref="A79:B79"/>
    <mergeCell ref="A80:B80"/>
    <mergeCell ref="A9:B9"/>
    <mergeCell ref="A10:B10"/>
    <mergeCell ref="B15:G15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90" zoomScalePageLayoutView="90" workbookViewId="0" topLeftCell="A55">
      <selection activeCell="A3" sqref="A3:J3"/>
    </sheetView>
  </sheetViews>
  <sheetFormatPr defaultColWidth="9.140625" defaultRowHeight="12.75"/>
  <cols>
    <col min="1" max="1" width="12.140625" style="11" customWidth="1"/>
    <col min="2" max="2" width="99.7109375" style="11" customWidth="1"/>
    <col min="3" max="4" width="20.421875" style="11" hidden="1" customWidth="1"/>
    <col min="5" max="5" width="34.421875" style="11" customWidth="1"/>
  </cols>
  <sheetData>
    <row r="1" spans="1:5" ht="15.75">
      <c r="A1" s="21"/>
      <c r="B1" s="148" t="s">
        <v>53</v>
      </c>
      <c r="C1" s="148"/>
      <c r="D1" s="148"/>
      <c r="E1" s="143"/>
    </row>
    <row r="2" spans="1:5" ht="15.75">
      <c r="A2" s="21"/>
      <c r="B2" s="149" t="s">
        <v>58</v>
      </c>
      <c r="C2" s="149"/>
      <c r="D2" s="149"/>
      <c r="E2" s="150"/>
    </row>
    <row r="3" spans="1:5" ht="15.75">
      <c r="A3" s="21"/>
      <c r="B3" s="19"/>
      <c r="C3" s="19"/>
      <c r="D3" s="19"/>
      <c r="E3" s="120" t="s">
        <v>196</v>
      </c>
    </row>
    <row r="4" spans="1:5" ht="15.75">
      <c r="A4" s="21"/>
      <c r="B4" s="19"/>
      <c r="C4" s="19"/>
      <c r="D4" s="19"/>
      <c r="E4" s="46"/>
    </row>
    <row r="5" spans="1:5" ht="15.75">
      <c r="A5" s="21"/>
      <c r="B5" s="24"/>
      <c r="C5" s="24"/>
      <c r="D5" s="24"/>
      <c r="E5" s="46" t="str">
        <f>'4.3.2.5.'!E5</f>
        <v>2019. gada  15. martā</v>
      </c>
    </row>
    <row r="6" spans="1:5" ht="15.75">
      <c r="A6" s="21"/>
      <c r="B6" s="19"/>
      <c r="C6" s="19"/>
      <c r="D6" s="19"/>
      <c r="E6" s="19"/>
    </row>
    <row r="7" spans="1:5" ht="18.75">
      <c r="A7" s="138" t="s">
        <v>10</v>
      </c>
      <c r="B7" s="138"/>
      <c r="C7" s="138"/>
      <c r="D7" s="138"/>
      <c r="E7" s="138"/>
    </row>
    <row r="8" spans="1:5" ht="15.75">
      <c r="A8" s="57"/>
      <c r="B8" s="57"/>
      <c r="C8" s="57"/>
      <c r="D8" s="57"/>
      <c r="E8" s="14"/>
    </row>
    <row r="9" spans="1:5" ht="15.75" customHeight="1">
      <c r="A9" s="142" t="s">
        <v>1</v>
      </c>
      <c r="B9" s="142"/>
      <c r="C9" s="18"/>
      <c r="D9" s="18"/>
      <c r="E9" s="14"/>
    </row>
    <row r="10" spans="1:5" ht="15.75" customHeight="1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167</v>
      </c>
      <c r="C14" s="142"/>
      <c r="D14" s="142"/>
      <c r="E14" s="143"/>
    </row>
    <row r="15" spans="1:5" ht="15.75">
      <c r="A15" s="18" t="s">
        <v>2</v>
      </c>
      <c r="B15" s="18" t="str">
        <f>'4.3.2.5.'!B15</f>
        <v>2019.gadā un turpmāk</v>
      </c>
      <c r="C15" s="18"/>
      <c r="D15" s="18"/>
      <c r="E15" s="14"/>
    </row>
    <row r="16" spans="1:5" ht="58.5" customHeight="1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741.4</v>
      </c>
      <c r="D19" s="37">
        <f>5168.96+30*27.18</f>
        <v>5984.36</v>
      </c>
      <c r="E19" s="37">
        <v>938.34</v>
      </c>
    </row>
    <row r="20" spans="1:5" ht="15.75">
      <c r="A20" s="36">
        <v>1200</v>
      </c>
      <c r="B20" s="38" t="s">
        <v>92</v>
      </c>
      <c r="C20" s="37">
        <v>174.9</v>
      </c>
      <c r="D20" s="37">
        <f>1245.2+30*6.55</f>
        <v>1441.7</v>
      </c>
      <c r="E20" s="37">
        <v>226.05</v>
      </c>
    </row>
    <row r="21" spans="1:5" ht="15.75">
      <c r="A21" s="36">
        <v>2222</v>
      </c>
      <c r="B21" s="38" t="s">
        <v>43</v>
      </c>
      <c r="C21" s="37">
        <v>27.37</v>
      </c>
      <c r="D21" s="37">
        <f aca="true" t="shared" si="0" ref="D21:D29">C21*7</f>
        <v>191.59</v>
      </c>
      <c r="E21" s="37">
        <v>31.93</v>
      </c>
    </row>
    <row r="22" spans="1:5" ht="15.75">
      <c r="A22" s="36">
        <v>2223</v>
      </c>
      <c r="B22" s="38" t="s">
        <v>44</v>
      </c>
      <c r="C22" s="37">
        <v>33.72</v>
      </c>
      <c r="D22" s="37">
        <f t="shared" si="0"/>
        <v>236.04</v>
      </c>
      <c r="E22" s="37">
        <v>39.34</v>
      </c>
    </row>
    <row r="23" spans="1:5" ht="15.75">
      <c r="A23" s="36">
        <v>2243</v>
      </c>
      <c r="B23" s="38" t="s">
        <v>15</v>
      </c>
      <c r="C23" s="37">
        <v>9.38</v>
      </c>
      <c r="D23" s="37">
        <f t="shared" si="0"/>
        <v>65.66000000000001</v>
      </c>
      <c r="E23" s="37">
        <f aca="true" t="shared" si="1" ref="E23:E29">D23/6</f>
        <v>10.943333333333335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.75">
      <c r="A25" s="36">
        <v>2321</v>
      </c>
      <c r="B25" s="38" t="s">
        <v>25</v>
      </c>
      <c r="C25" s="37">
        <v>52.33</v>
      </c>
      <c r="D25" s="37">
        <f t="shared" si="0"/>
        <v>366.31</v>
      </c>
      <c r="E25" s="37">
        <f t="shared" si="1"/>
        <v>61.05166666666667</v>
      </c>
    </row>
    <row r="26" spans="1:5" ht="15.75">
      <c r="A26" s="36">
        <v>2341</v>
      </c>
      <c r="B26" s="38" t="s">
        <v>27</v>
      </c>
      <c r="C26" s="37">
        <v>52.2</v>
      </c>
      <c r="D26" s="37">
        <f t="shared" si="0"/>
        <v>365.40000000000003</v>
      </c>
      <c r="E26" s="37">
        <f t="shared" si="1"/>
        <v>60.900000000000006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221.4</v>
      </c>
      <c r="D28" s="37">
        <f t="shared" si="0"/>
        <v>1549.8</v>
      </c>
      <c r="E28" s="37">
        <v>284.2</v>
      </c>
    </row>
    <row r="29" spans="1:5" ht="15.75">
      <c r="A29" s="36">
        <v>5232</v>
      </c>
      <c r="B29" s="38" t="s">
        <v>37</v>
      </c>
      <c r="C29" s="37">
        <v>12.95</v>
      </c>
      <c r="D29" s="37">
        <f t="shared" si="0"/>
        <v>90.64999999999999</v>
      </c>
      <c r="E29" s="37">
        <f t="shared" si="1"/>
        <v>15.108333333333333</v>
      </c>
    </row>
    <row r="30" spans="1:5" ht="15.75">
      <c r="A30" s="36"/>
      <c r="B30" s="39" t="s">
        <v>7</v>
      </c>
      <c r="C30" s="40">
        <f>SUM(C19:C29)</f>
        <v>1325.65</v>
      </c>
      <c r="D30" s="40">
        <f>SUM(D19:D29)</f>
        <v>10291.509999999998</v>
      </c>
      <c r="E30" s="40">
        <f>SUM(E19:E29)</f>
        <v>1667.8633333333337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447.86</v>
      </c>
      <c r="D32" s="37">
        <v>3122.27</v>
      </c>
      <c r="E32" s="37">
        <f aca="true" t="shared" si="2" ref="E32:E73">D32/6</f>
        <v>520.3783333333333</v>
      </c>
    </row>
    <row r="33" spans="1:5" ht="15.75">
      <c r="A33" s="36">
        <v>1200</v>
      </c>
      <c r="B33" s="38" t="s">
        <v>92</v>
      </c>
      <c r="C33" s="37">
        <v>105.63</v>
      </c>
      <c r="D33" s="37">
        <v>752.16</v>
      </c>
      <c r="E33" s="37">
        <f t="shared" si="2"/>
        <v>125.36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3">C34*7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8.45</v>
      </c>
      <c r="D35" s="37">
        <f t="shared" si="3"/>
        <v>59.14999999999999</v>
      </c>
      <c r="E35" s="37">
        <f t="shared" si="2"/>
        <v>9.858333333333333</v>
      </c>
    </row>
    <row r="36" spans="1:5" ht="15.75">
      <c r="A36" s="36">
        <v>2222</v>
      </c>
      <c r="B36" s="38" t="s">
        <v>43</v>
      </c>
      <c r="C36" s="37">
        <v>20.94</v>
      </c>
      <c r="D36" s="37">
        <f t="shared" si="3"/>
        <v>146.58</v>
      </c>
      <c r="E36" s="37">
        <f t="shared" si="2"/>
        <v>24.430000000000003</v>
      </c>
    </row>
    <row r="37" spans="1:5" ht="15.75">
      <c r="A37" s="36">
        <v>2223</v>
      </c>
      <c r="B37" s="38" t="s">
        <v>44</v>
      </c>
      <c r="C37" s="37">
        <v>32.96</v>
      </c>
      <c r="D37" s="37">
        <f t="shared" si="3"/>
        <v>230.72</v>
      </c>
      <c r="E37" s="37">
        <f t="shared" si="2"/>
        <v>38.45333333333333</v>
      </c>
    </row>
    <row r="38" spans="1:5" ht="15.75">
      <c r="A38" s="36">
        <v>2230</v>
      </c>
      <c r="B38" s="38" t="s">
        <v>45</v>
      </c>
      <c r="C38" s="37">
        <v>6.53</v>
      </c>
      <c r="D38" s="37">
        <f t="shared" si="3"/>
        <v>45.71</v>
      </c>
      <c r="E38" s="37">
        <f t="shared" si="2"/>
        <v>7.618333333333333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1.95</v>
      </c>
      <c r="D40" s="37">
        <f t="shared" si="3"/>
        <v>13.65</v>
      </c>
      <c r="E40" s="37">
        <f t="shared" si="2"/>
        <v>2.275</v>
      </c>
    </row>
    <row r="41" spans="1:5" ht="15.75">
      <c r="A41" s="36">
        <v>2243</v>
      </c>
      <c r="B41" s="38" t="s">
        <v>15</v>
      </c>
      <c r="C41" s="37">
        <v>9.65</v>
      </c>
      <c r="D41" s="37">
        <f t="shared" si="3"/>
        <v>67.55</v>
      </c>
      <c r="E41" s="37">
        <f t="shared" si="2"/>
        <v>11.258333333333333</v>
      </c>
    </row>
    <row r="42" spans="1:5" ht="15.75">
      <c r="A42" s="36">
        <v>2244</v>
      </c>
      <c r="B42" s="38" t="s">
        <v>16</v>
      </c>
      <c r="C42" s="37">
        <v>154.08</v>
      </c>
      <c r="D42" s="37">
        <f t="shared" si="3"/>
        <v>1078.5600000000002</v>
      </c>
      <c r="E42" s="37">
        <v>266.9</v>
      </c>
    </row>
    <row r="43" spans="1:5" ht="15.75">
      <c r="A43" s="36">
        <v>2247</v>
      </c>
      <c r="B43" s="34" t="s">
        <v>93</v>
      </c>
      <c r="C43" s="37">
        <v>0.51</v>
      </c>
      <c r="D43" s="37">
        <f t="shared" si="3"/>
        <v>3.5700000000000003</v>
      </c>
      <c r="E43" s="37">
        <f t="shared" si="2"/>
        <v>0.5950000000000001</v>
      </c>
    </row>
    <row r="44" spans="1:5" ht="15.75">
      <c r="A44" s="36">
        <v>2249</v>
      </c>
      <c r="B44" s="38" t="s">
        <v>17</v>
      </c>
      <c r="C44" s="37">
        <v>2.24</v>
      </c>
      <c r="D44" s="37">
        <f t="shared" si="3"/>
        <v>15.680000000000001</v>
      </c>
      <c r="E44" s="37">
        <f t="shared" si="2"/>
        <v>2.6133333333333337</v>
      </c>
    </row>
    <row r="45" spans="1:5" ht="15.75">
      <c r="A45" s="36">
        <v>2251</v>
      </c>
      <c r="B45" s="38" t="s">
        <v>94</v>
      </c>
      <c r="C45" s="37">
        <v>21.12</v>
      </c>
      <c r="D45" s="37">
        <f t="shared" si="3"/>
        <v>147.84</v>
      </c>
      <c r="E45" s="37">
        <f t="shared" si="2"/>
        <v>24.64</v>
      </c>
    </row>
    <row r="46" spans="1:5" ht="15.75">
      <c r="A46" s="36">
        <v>2252</v>
      </c>
      <c r="B46" s="38" t="s">
        <v>96</v>
      </c>
      <c r="C46" s="37">
        <v>0.28</v>
      </c>
      <c r="D46" s="37">
        <f t="shared" si="3"/>
        <v>1.9600000000000002</v>
      </c>
      <c r="E46" s="37">
        <f t="shared" si="2"/>
        <v>0.3266666666666667</v>
      </c>
    </row>
    <row r="47" spans="1:5" ht="15.75">
      <c r="A47" s="36">
        <v>2259</v>
      </c>
      <c r="B47" s="38" t="s">
        <v>95</v>
      </c>
      <c r="C47" s="37">
        <v>0.04</v>
      </c>
      <c r="D47" s="37">
        <f t="shared" si="3"/>
        <v>0.28</v>
      </c>
      <c r="E47" s="37">
        <f t="shared" si="2"/>
        <v>0.04666666666666667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5.69</v>
      </c>
      <c r="D49" s="37">
        <f t="shared" si="3"/>
        <v>39.830000000000005</v>
      </c>
      <c r="E49" s="37">
        <f t="shared" si="2"/>
        <v>6.6383333333333345</v>
      </c>
    </row>
    <row r="50" spans="1:5" ht="15.75">
      <c r="A50" s="36">
        <v>2263</v>
      </c>
      <c r="B50" s="38" t="s">
        <v>20</v>
      </c>
      <c r="C50" s="37">
        <v>21</v>
      </c>
      <c r="D50" s="37">
        <f t="shared" si="3"/>
        <v>147</v>
      </c>
      <c r="E50" s="37">
        <f t="shared" si="2"/>
        <v>24.5</v>
      </c>
    </row>
    <row r="51" spans="1:5" ht="15.75">
      <c r="A51" s="36">
        <v>2264</v>
      </c>
      <c r="B51" s="38" t="s">
        <v>21</v>
      </c>
      <c r="C51" s="37">
        <v>0.11</v>
      </c>
      <c r="D51" s="37">
        <f t="shared" si="3"/>
        <v>0.77</v>
      </c>
      <c r="E51" s="37">
        <f t="shared" si="2"/>
        <v>0.12833333333333333</v>
      </c>
    </row>
    <row r="52" spans="1:5" ht="15.75">
      <c r="A52" s="36">
        <v>2279</v>
      </c>
      <c r="B52" s="38" t="s">
        <v>22</v>
      </c>
      <c r="C52" s="37">
        <v>23.46</v>
      </c>
      <c r="D52" s="37">
        <f t="shared" si="3"/>
        <v>164.22</v>
      </c>
      <c r="E52" s="37">
        <f t="shared" si="2"/>
        <v>27.37</v>
      </c>
    </row>
    <row r="53" spans="1:5" ht="15.75">
      <c r="A53" s="36">
        <v>2311</v>
      </c>
      <c r="B53" s="38" t="s">
        <v>23</v>
      </c>
      <c r="C53" s="37">
        <v>2.21</v>
      </c>
      <c r="D53" s="37">
        <f t="shared" si="3"/>
        <v>15.469999999999999</v>
      </c>
      <c r="E53" s="37">
        <f t="shared" si="2"/>
        <v>2.578333333333333</v>
      </c>
    </row>
    <row r="54" spans="1:5" ht="15.75">
      <c r="A54" s="36">
        <v>2312</v>
      </c>
      <c r="B54" s="38" t="s">
        <v>24</v>
      </c>
      <c r="C54" s="37">
        <v>4.08</v>
      </c>
      <c r="D54" s="37">
        <f t="shared" si="3"/>
        <v>28.560000000000002</v>
      </c>
      <c r="E54" s="37">
        <f t="shared" si="2"/>
        <v>4.760000000000001</v>
      </c>
    </row>
    <row r="55" spans="1:5" ht="15.75">
      <c r="A55" s="36">
        <v>2321</v>
      </c>
      <c r="B55" s="38" t="s">
        <v>25</v>
      </c>
      <c r="C55" s="37">
        <v>87.31</v>
      </c>
      <c r="D55" s="37">
        <f t="shared" si="3"/>
        <v>611.1700000000001</v>
      </c>
      <c r="E55" s="37">
        <f t="shared" si="2"/>
        <v>101.86166666666668</v>
      </c>
    </row>
    <row r="56" spans="1:5" ht="15.75">
      <c r="A56" s="36">
        <v>2322</v>
      </c>
      <c r="B56" s="38" t="s">
        <v>26</v>
      </c>
      <c r="C56" s="37">
        <v>47.54</v>
      </c>
      <c r="D56" s="37">
        <f t="shared" si="3"/>
        <v>332.78</v>
      </c>
      <c r="E56" s="37">
        <f t="shared" si="2"/>
        <v>55.46333333333333</v>
      </c>
    </row>
    <row r="57" spans="1:5" ht="15.75">
      <c r="A57" s="36">
        <v>2341</v>
      </c>
      <c r="B57" s="38" t="s">
        <v>27</v>
      </c>
      <c r="C57" s="37">
        <v>2.06</v>
      </c>
      <c r="D57" s="37">
        <f t="shared" si="3"/>
        <v>14.42</v>
      </c>
      <c r="E57" s="37">
        <f t="shared" si="2"/>
        <v>2.4033333333333333</v>
      </c>
    </row>
    <row r="58" spans="1:5" ht="15.75">
      <c r="A58" s="36">
        <v>2344</v>
      </c>
      <c r="B58" s="38" t="s">
        <v>28</v>
      </c>
      <c r="C58" s="37">
        <v>0.03</v>
      </c>
      <c r="D58" s="37">
        <f t="shared" si="3"/>
        <v>0.21</v>
      </c>
      <c r="E58" s="37">
        <f t="shared" si="2"/>
        <v>0.034999999999999996</v>
      </c>
    </row>
    <row r="59" spans="1:5" ht="15.75">
      <c r="A59" s="36">
        <v>2350</v>
      </c>
      <c r="B59" s="38" t="s">
        <v>29</v>
      </c>
      <c r="C59" s="37">
        <v>17.48</v>
      </c>
      <c r="D59" s="37">
        <f t="shared" si="3"/>
        <v>122.36</v>
      </c>
      <c r="E59" s="37">
        <f t="shared" si="2"/>
        <v>20.393333333333334</v>
      </c>
    </row>
    <row r="60" spans="1:5" ht="15.75">
      <c r="A60" s="36">
        <v>2361</v>
      </c>
      <c r="B60" s="38" t="s">
        <v>30</v>
      </c>
      <c r="C60" s="37">
        <v>8.47</v>
      </c>
      <c r="D60" s="37">
        <f t="shared" si="3"/>
        <v>59.290000000000006</v>
      </c>
      <c r="E60" s="37">
        <f t="shared" si="2"/>
        <v>9.881666666666668</v>
      </c>
    </row>
    <row r="61" spans="1:5" ht="15.75">
      <c r="A61" s="36">
        <v>2362</v>
      </c>
      <c r="B61" s="38" t="s">
        <v>31</v>
      </c>
      <c r="C61" s="37">
        <v>4.41</v>
      </c>
      <c r="D61" s="37">
        <f t="shared" si="3"/>
        <v>30.87</v>
      </c>
      <c r="E61" s="37">
        <f t="shared" si="2"/>
        <v>5.1450000000000005</v>
      </c>
    </row>
    <row r="62" spans="1:5" ht="15.75">
      <c r="A62" s="36">
        <v>2363</v>
      </c>
      <c r="B62" s="38" t="s">
        <v>32</v>
      </c>
      <c r="C62" s="37">
        <v>42.86</v>
      </c>
      <c r="D62" s="37">
        <f t="shared" si="3"/>
        <v>300.02</v>
      </c>
      <c r="E62" s="37">
        <f t="shared" si="2"/>
        <v>50.00333333333333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0.91</v>
      </c>
      <c r="D64" s="37">
        <f t="shared" si="3"/>
        <v>6.37</v>
      </c>
      <c r="E64" s="37">
        <f t="shared" si="2"/>
        <v>1.0616666666666668</v>
      </c>
    </row>
    <row r="65" spans="1:5" ht="15.75">
      <c r="A65" s="36">
        <v>2513</v>
      </c>
      <c r="B65" s="38" t="s">
        <v>35</v>
      </c>
      <c r="C65" s="37">
        <v>14.22</v>
      </c>
      <c r="D65" s="37">
        <f t="shared" si="3"/>
        <v>99.54</v>
      </c>
      <c r="E65" s="37">
        <f t="shared" si="2"/>
        <v>16.59</v>
      </c>
    </row>
    <row r="66" spans="1:5" ht="15.75">
      <c r="A66" s="36">
        <v>2515</v>
      </c>
      <c r="B66" s="38" t="s">
        <v>97</v>
      </c>
      <c r="C66" s="37">
        <v>0.63</v>
      </c>
      <c r="D66" s="37">
        <f t="shared" si="3"/>
        <v>4.41</v>
      </c>
      <c r="E66" s="37">
        <f t="shared" si="2"/>
        <v>0.735</v>
      </c>
    </row>
    <row r="67" spans="1:5" ht="15.75">
      <c r="A67" s="36">
        <v>2519</v>
      </c>
      <c r="B67" s="38" t="s">
        <v>38</v>
      </c>
      <c r="C67" s="37">
        <v>3.32</v>
      </c>
      <c r="D67" s="37">
        <f t="shared" si="3"/>
        <v>23.24</v>
      </c>
      <c r="E67" s="37">
        <f t="shared" si="2"/>
        <v>3.873333333333333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2.68</v>
      </c>
      <c r="D70" s="37">
        <f t="shared" si="3"/>
        <v>18.76</v>
      </c>
      <c r="E70" s="37">
        <f t="shared" si="2"/>
        <v>3.126666666666667</v>
      </c>
    </row>
    <row r="71" spans="1:5" ht="15.75">
      <c r="A71" s="36">
        <v>5232</v>
      </c>
      <c r="B71" s="38" t="s">
        <v>37</v>
      </c>
      <c r="C71" s="37">
        <v>49.54</v>
      </c>
      <c r="D71" s="37">
        <v>346.72</v>
      </c>
      <c r="E71" s="37">
        <f t="shared" si="2"/>
        <v>57.78666666666667</v>
      </c>
    </row>
    <row r="72" spans="1:5" ht="15.75">
      <c r="A72" s="36">
        <v>5238</v>
      </c>
      <c r="B72" s="38" t="s">
        <v>39</v>
      </c>
      <c r="C72" s="37">
        <v>29.76</v>
      </c>
      <c r="D72" s="37">
        <f t="shared" si="3"/>
        <v>208.32000000000002</v>
      </c>
      <c r="E72" s="37">
        <f t="shared" si="2"/>
        <v>34.720000000000006</v>
      </c>
    </row>
    <row r="73" spans="1:5" ht="15.75">
      <c r="A73" s="36">
        <v>5240</v>
      </c>
      <c r="B73" s="38" t="s">
        <v>40</v>
      </c>
      <c r="C73" s="37">
        <v>33.54</v>
      </c>
      <c r="D73" s="37">
        <f t="shared" si="3"/>
        <v>234.78</v>
      </c>
      <c r="E73" s="37">
        <f t="shared" si="2"/>
        <v>39.13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1213.5500000000004</v>
      </c>
      <c r="D75" s="40">
        <f>SUM(D32:D74)</f>
        <v>8494.790000000003</v>
      </c>
      <c r="E75" s="40">
        <f>SUM(E32:E74)</f>
        <v>1502.9383333333335</v>
      </c>
    </row>
    <row r="76" spans="1:5" ht="15.75">
      <c r="A76" s="41"/>
      <c r="B76" s="45" t="s">
        <v>48</v>
      </c>
      <c r="C76" s="40">
        <f>C75+C30</f>
        <v>2539.2000000000007</v>
      </c>
      <c r="D76" s="40">
        <f>D75+D30</f>
        <v>18786.300000000003</v>
      </c>
      <c r="E76" s="40">
        <f>E75+E30</f>
        <v>3170.801666666667</v>
      </c>
    </row>
    <row r="77" spans="1:5" ht="15.75">
      <c r="A77" s="46"/>
      <c r="B77" s="29"/>
      <c r="C77" s="14"/>
      <c r="D77" s="14"/>
      <c r="E77" s="14"/>
    </row>
    <row r="78" spans="1:5" ht="15.75" customHeight="1">
      <c r="A78" s="142" t="s">
        <v>63</v>
      </c>
      <c r="B78" s="142"/>
      <c r="C78" s="30">
        <v>30</v>
      </c>
      <c r="D78" s="30">
        <v>30</v>
      </c>
      <c r="E78" s="116">
        <v>5</v>
      </c>
    </row>
    <row r="79" spans="1:5" ht="15.75" customHeight="1">
      <c r="A79" s="142" t="s">
        <v>64</v>
      </c>
      <c r="B79" s="142"/>
      <c r="C79" s="48">
        <f>C76/C78</f>
        <v>84.64000000000003</v>
      </c>
      <c r="D79" s="48">
        <f>D76/D78</f>
        <v>626.2100000000002</v>
      </c>
      <c r="E79" s="117">
        <f>E76/E78</f>
        <v>634.1603333333335</v>
      </c>
    </row>
    <row r="80" spans="1:5" ht="15.75">
      <c r="A80" s="18"/>
      <c r="B80" s="18"/>
      <c r="C80" s="18"/>
      <c r="D80" s="18"/>
      <c r="E80" s="47"/>
    </row>
    <row r="81" spans="1:5" ht="15.75" customHeight="1">
      <c r="A81" s="146" t="s">
        <v>56</v>
      </c>
      <c r="B81" s="147"/>
      <c r="C81" s="25"/>
      <c r="D81" s="25">
        <v>592.48</v>
      </c>
      <c r="E81" s="50"/>
    </row>
    <row r="82" spans="1:5" ht="15.75" customHeight="1">
      <c r="A82" s="146" t="s">
        <v>85</v>
      </c>
      <c r="B82" s="147"/>
      <c r="C82" s="25">
        <v>84.64</v>
      </c>
      <c r="D82" s="25"/>
      <c r="E82" s="50"/>
    </row>
    <row r="83" spans="1:5" ht="12.75" customHeight="1">
      <c r="A83" s="26"/>
      <c r="B83" s="26"/>
      <c r="C83" s="26">
        <f>84.64*7</f>
        <v>592.48</v>
      </c>
      <c r="D83" s="26"/>
      <c r="E83" s="26"/>
    </row>
    <row r="84" spans="1:5" ht="15.75">
      <c r="A84" s="26" t="s">
        <v>57</v>
      </c>
      <c r="B84" s="26"/>
      <c r="C84" s="26">
        <f>C83*5</f>
        <v>2962.4</v>
      </c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90"/>
  <sheetViews>
    <sheetView view="pageLayout" zoomScale="90" zoomScalePageLayoutView="90" workbookViewId="0" topLeftCell="A58">
      <selection activeCell="A3" sqref="A3:J3"/>
    </sheetView>
  </sheetViews>
  <sheetFormatPr defaultColWidth="9.140625" defaultRowHeight="12.75"/>
  <cols>
    <col min="1" max="1" width="11.57421875" style="11" customWidth="1"/>
    <col min="2" max="2" width="94.8515625" style="11" customWidth="1"/>
    <col min="3" max="4" width="26.00390625" style="11" hidden="1" customWidth="1"/>
    <col min="5" max="5" width="31.421875" style="11" customWidth="1"/>
  </cols>
  <sheetData>
    <row r="1" spans="1:5" ht="15.75">
      <c r="A1" s="1"/>
      <c r="B1" s="148" t="s">
        <v>53</v>
      </c>
      <c r="C1" s="148"/>
      <c r="D1" s="148"/>
      <c r="E1" s="143"/>
    </row>
    <row r="2" spans="1:5" ht="15.75">
      <c r="A2" s="1"/>
      <c r="B2" s="149" t="s">
        <v>58</v>
      </c>
      <c r="C2" s="149"/>
      <c r="D2" s="149"/>
      <c r="E2" s="150"/>
    </row>
    <row r="3" spans="1:5" ht="15.75">
      <c r="A3" s="1"/>
      <c r="B3" s="19"/>
      <c r="C3" s="19"/>
      <c r="D3" s="19"/>
      <c r="E3" s="120" t="s">
        <v>196</v>
      </c>
    </row>
    <row r="4" spans="1:5" ht="15.75">
      <c r="A4" s="1"/>
      <c r="B4" s="19"/>
      <c r="C4" s="19"/>
      <c r="D4" s="19"/>
      <c r="E4" s="46"/>
    </row>
    <row r="5" spans="1:5" ht="15.75">
      <c r="A5" s="1"/>
      <c r="B5" s="24"/>
      <c r="C5" s="24"/>
      <c r="D5" s="24"/>
      <c r="E5" s="46" t="str">
        <f>'4.3.2.6.'!E5</f>
        <v>2019. gada  15. martā</v>
      </c>
    </row>
    <row r="6" spans="1:5" ht="15">
      <c r="A6" s="1"/>
      <c r="B6" s="2"/>
      <c r="C6" s="2"/>
      <c r="D6" s="2"/>
      <c r="E6" s="2"/>
    </row>
    <row r="7" spans="1:5" ht="18.75">
      <c r="A7" s="138" t="s">
        <v>10</v>
      </c>
      <c r="B7" s="138"/>
      <c r="C7" s="138"/>
      <c r="D7" s="138"/>
      <c r="E7" s="138"/>
    </row>
    <row r="8" spans="1:5" ht="14.25">
      <c r="A8" s="10"/>
      <c r="B8" s="10"/>
      <c r="C8" s="10"/>
      <c r="D8" s="10"/>
      <c r="E8" s="3"/>
    </row>
    <row r="9" spans="1:5" ht="15.75">
      <c r="A9" s="142" t="s">
        <v>1</v>
      </c>
      <c r="B9" s="142"/>
      <c r="C9" s="18"/>
      <c r="D9" s="18"/>
      <c r="E9" s="14"/>
    </row>
    <row r="10" spans="1:5" ht="15.75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184</v>
      </c>
      <c r="C14" s="142"/>
      <c r="D14" s="142"/>
      <c r="E14" s="143"/>
    </row>
    <row r="15" spans="1:5" ht="15.75">
      <c r="A15" s="18" t="s">
        <v>2</v>
      </c>
      <c r="B15" s="18" t="str">
        <f>'4.3.2.6.'!B15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531.46</v>
      </c>
      <c r="D19" s="37">
        <f>5293.17+24.79*30</f>
        <v>6036.87</v>
      </c>
      <c r="E19" s="37">
        <v>1059.8</v>
      </c>
    </row>
    <row r="20" spans="1:5" ht="31.5">
      <c r="A20" s="36">
        <v>1200</v>
      </c>
      <c r="B20" s="38" t="s">
        <v>92</v>
      </c>
      <c r="C20" s="37">
        <v>125.37</v>
      </c>
      <c r="D20" s="37">
        <f>1275.13+30*5.97</f>
        <v>1454.23</v>
      </c>
      <c r="E20" s="37">
        <v>255.31</v>
      </c>
    </row>
    <row r="21" spans="1:5" ht="15.75">
      <c r="A21" s="36">
        <v>2222</v>
      </c>
      <c r="B21" s="38" t="s">
        <v>43</v>
      </c>
      <c r="C21" s="37">
        <v>26.5</v>
      </c>
      <c r="D21" s="37">
        <f aca="true" t="shared" si="0" ref="D21:D29">C21*10</f>
        <v>265</v>
      </c>
      <c r="E21" s="37">
        <f aca="true" t="shared" si="1" ref="E21:E29">D21/30*4</f>
        <v>35.333333333333336</v>
      </c>
    </row>
    <row r="22" spans="1:5" ht="15.75">
      <c r="A22" s="36">
        <v>2223</v>
      </c>
      <c r="B22" s="38" t="s">
        <v>44</v>
      </c>
      <c r="C22" s="37">
        <v>29.16</v>
      </c>
      <c r="D22" s="37">
        <f t="shared" si="0"/>
        <v>291.6</v>
      </c>
      <c r="E22" s="37">
        <f t="shared" si="1"/>
        <v>38.88</v>
      </c>
    </row>
    <row r="23" spans="1:5" ht="15" customHeight="1">
      <c r="A23" s="36">
        <v>2243</v>
      </c>
      <c r="B23" s="38" t="s">
        <v>15</v>
      </c>
      <c r="C23" s="37">
        <v>9.79</v>
      </c>
      <c r="D23" s="37">
        <f t="shared" si="0"/>
        <v>97.89999999999999</v>
      </c>
      <c r="E23" s="37">
        <f t="shared" si="1"/>
        <v>13.053333333333333</v>
      </c>
    </row>
    <row r="24" spans="1:5" ht="15" customHeight="1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" customHeight="1">
      <c r="A25" s="36">
        <v>2321</v>
      </c>
      <c r="B25" s="38" t="s">
        <v>25</v>
      </c>
      <c r="C25" s="37">
        <v>45.25</v>
      </c>
      <c r="D25" s="37">
        <f t="shared" si="0"/>
        <v>452.5</v>
      </c>
      <c r="E25" s="37">
        <f t="shared" si="1"/>
        <v>60.333333333333336</v>
      </c>
    </row>
    <row r="26" spans="1:5" ht="15" customHeight="1">
      <c r="A26" s="36">
        <v>2341</v>
      </c>
      <c r="B26" s="38" t="s">
        <v>27</v>
      </c>
      <c r="C26" s="37">
        <v>45.14</v>
      </c>
      <c r="D26" s="37">
        <f t="shared" si="0"/>
        <v>451.4</v>
      </c>
      <c r="E26" s="37">
        <f t="shared" si="1"/>
        <v>60.18666666666666</v>
      </c>
    </row>
    <row r="27" spans="1:5" ht="15" customHeight="1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" customHeight="1">
      <c r="A28" s="36">
        <v>2363</v>
      </c>
      <c r="B28" s="38" t="s">
        <v>32</v>
      </c>
      <c r="C28" s="37">
        <v>221.4</v>
      </c>
      <c r="D28" s="37">
        <f t="shared" si="0"/>
        <v>2214</v>
      </c>
      <c r="E28" s="37">
        <v>324.8</v>
      </c>
    </row>
    <row r="29" spans="1:5" ht="15" customHeight="1">
      <c r="A29" s="36">
        <v>5232</v>
      </c>
      <c r="B29" s="38" t="s">
        <v>37</v>
      </c>
      <c r="C29" s="37">
        <v>11.2</v>
      </c>
      <c r="D29" s="37">
        <f t="shared" si="0"/>
        <v>112</v>
      </c>
      <c r="E29" s="37">
        <f t="shared" si="1"/>
        <v>14.933333333333334</v>
      </c>
    </row>
    <row r="30" spans="1:5" ht="15" customHeight="1">
      <c r="A30" s="36"/>
      <c r="B30" s="39" t="s">
        <v>7</v>
      </c>
      <c r="C30" s="40">
        <f>SUM(C19:C29)</f>
        <v>1045.27</v>
      </c>
      <c r="D30" s="40">
        <f>SUM(D19:D29)</f>
        <v>11375.5</v>
      </c>
      <c r="E30" s="40">
        <f>SUM(E19:E29)</f>
        <v>1862.6299999999999</v>
      </c>
    </row>
    <row r="31" spans="1:5" ht="15" customHeight="1">
      <c r="A31" s="41"/>
      <c r="B31" s="36" t="s">
        <v>8</v>
      </c>
      <c r="C31" s="35"/>
      <c r="D31" s="35"/>
      <c r="E31" s="35"/>
    </row>
    <row r="32" spans="1:5" ht="15" customHeight="1">
      <c r="A32" s="36">
        <v>1100</v>
      </c>
      <c r="B32" s="36" t="s">
        <v>91</v>
      </c>
      <c r="C32" s="37">
        <v>390.76</v>
      </c>
      <c r="D32" s="37">
        <v>3891.85</v>
      </c>
      <c r="E32" s="37">
        <f aca="true" t="shared" si="2" ref="E32:E73">D32/30*4</f>
        <v>518.9133333333333</v>
      </c>
    </row>
    <row r="33" spans="1:5" ht="31.5">
      <c r="A33" s="36">
        <v>1200</v>
      </c>
      <c r="B33" s="38" t="s">
        <v>92</v>
      </c>
      <c r="C33" s="37">
        <v>92.18</v>
      </c>
      <c r="D33" s="37">
        <v>937.55</v>
      </c>
      <c r="E33" s="37">
        <f t="shared" si="2"/>
        <v>125.00666666666666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2">C34*10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7.31</v>
      </c>
      <c r="D35" s="37">
        <f t="shared" si="3"/>
        <v>73.1</v>
      </c>
      <c r="E35" s="37">
        <f t="shared" si="2"/>
        <v>9.746666666666666</v>
      </c>
    </row>
    <row r="36" spans="1:5" ht="15.75">
      <c r="A36" s="36">
        <v>2222</v>
      </c>
      <c r="B36" s="38" t="s">
        <v>43</v>
      </c>
      <c r="C36" s="37">
        <v>17.2</v>
      </c>
      <c r="D36" s="37">
        <f t="shared" si="3"/>
        <v>172</v>
      </c>
      <c r="E36" s="37">
        <f t="shared" si="2"/>
        <v>22.933333333333334</v>
      </c>
    </row>
    <row r="37" spans="1:5" ht="15.75">
      <c r="A37" s="36">
        <v>2223</v>
      </c>
      <c r="B37" s="38" t="s">
        <v>44</v>
      </c>
      <c r="C37" s="37">
        <v>27.59</v>
      </c>
      <c r="D37" s="37">
        <f t="shared" si="3"/>
        <v>275.9</v>
      </c>
      <c r="E37" s="37">
        <f t="shared" si="2"/>
        <v>36.78666666666666</v>
      </c>
    </row>
    <row r="38" spans="1:5" ht="15" customHeight="1">
      <c r="A38" s="36">
        <v>2230</v>
      </c>
      <c r="B38" s="38" t="s">
        <v>45</v>
      </c>
      <c r="C38" s="37">
        <v>5.65</v>
      </c>
      <c r="D38" s="37">
        <f t="shared" si="3"/>
        <v>56.5</v>
      </c>
      <c r="E38" s="37">
        <f t="shared" si="2"/>
        <v>7.533333333333333</v>
      </c>
    </row>
    <row r="39" spans="1:5" ht="15" customHeight="1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" customHeight="1">
      <c r="A40" s="36">
        <v>2242</v>
      </c>
      <c r="B40" s="38" t="s">
        <v>14</v>
      </c>
      <c r="C40" s="37">
        <v>1.68</v>
      </c>
      <c r="D40" s="37">
        <f t="shared" si="3"/>
        <v>16.8</v>
      </c>
      <c r="E40" s="37">
        <f t="shared" si="2"/>
        <v>2.24</v>
      </c>
    </row>
    <row r="41" spans="1:5" ht="15" customHeight="1">
      <c r="A41" s="36">
        <v>2243</v>
      </c>
      <c r="B41" s="38" t="s">
        <v>15</v>
      </c>
      <c r="C41" s="37">
        <v>8.34</v>
      </c>
      <c r="D41" s="37">
        <f t="shared" si="3"/>
        <v>83.4</v>
      </c>
      <c r="E41" s="37">
        <f t="shared" si="2"/>
        <v>11.120000000000001</v>
      </c>
    </row>
    <row r="42" spans="1:5" ht="15" customHeight="1">
      <c r="A42" s="36">
        <v>2244</v>
      </c>
      <c r="B42" s="38" t="s">
        <v>16</v>
      </c>
      <c r="C42" s="37">
        <v>131.5</v>
      </c>
      <c r="D42" s="37">
        <f t="shared" si="3"/>
        <v>1315</v>
      </c>
      <c r="E42" s="37">
        <v>287.36</v>
      </c>
    </row>
    <row r="43" spans="1:5" ht="15" customHeight="1">
      <c r="A43" s="36">
        <v>2247</v>
      </c>
      <c r="B43" s="34" t="s">
        <v>93</v>
      </c>
      <c r="C43" s="37">
        <v>0.45</v>
      </c>
      <c r="D43" s="37">
        <f t="shared" si="3"/>
        <v>4.5</v>
      </c>
      <c r="E43" s="37">
        <f t="shared" si="2"/>
        <v>0.6</v>
      </c>
    </row>
    <row r="44" spans="1:5" ht="15" customHeight="1">
      <c r="A44" s="36">
        <v>2249</v>
      </c>
      <c r="B44" s="38" t="s">
        <v>17</v>
      </c>
      <c r="C44" s="37">
        <v>1.94</v>
      </c>
      <c r="D44" s="37">
        <f t="shared" si="3"/>
        <v>19.4</v>
      </c>
      <c r="E44" s="37">
        <f t="shared" si="2"/>
        <v>2.5866666666666664</v>
      </c>
    </row>
    <row r="45" spans="1:5" ht="15" customHeight="1">
      <c r="A45" s="36">
        <v>2251</v>
      </c>
      <c r="B45" s="38" t="s">
        <v>94</v>
      </c>
      <c r="C45" s="37">
        <v>18.26</v>
      </c>
      <c r="D45" s="37">
        <f t="shared" si="3"/>
        <v>182.60000000000002</v>
      </c>
      <c r="E45" s="37">
        <f t="shared" si="2"/>
        <v>24.34666666666667</v>
      </c>
    </row>
    <row r="46" spans="1:5" ht="15" customHeight="1">
      <c r="A46" s="36">
        <v>2252</v>
      </c>
      <c r="B46" s="38" t="s">
        <v>96</v>
      </c>
      <c r="C46" s="37">
        <v>0.24</v>
      </c>
      <c r="D46" s="37">
        <f t="shared" si="3"/>
        <v>2.4</v>
      </c>
      <c r="E46" s="37">
        <f t="shared" si="2"/>
        <v>0.32</v>
      </c>
    </row>
    <row r="47" spans="1:5" ht="15" customHeight="1">
      <c r="A47" s="36">
        <v>2259</v>
      </c>
      <c r="B47" s="38" t="s">
        <v>95</v>
      </c>
      <c r="C47" s="37">
        <v>0.04</v>
      </c>
      <c r="D47" s="37">
        <f t="shared" si="3"/>
        <v>0.4</v>
      </c>
      <c r="E47" s="37">
        <f t="shared" si="2"/>
        <v>0.05333333333333334</v>
      </c>
    </row>
    <row r="48" spans="1:5" ht="15" customHeight="1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" customHeight="1">
      <c r="A49" s="36">
        <v>2262</v>
      </c>
      <c r="B49" s="38" t="s">
        <v>19</v>
      </c>
      <c r="C49" s="37">
        <v>4.92</v>
      </c>
      <c r="D49" s="37">
        <f t="shared" si="3"/>
        <v>49.2</v>
      </c>
      <c r="E49" s="37">
        <f t="shared" si="2"/>
        <v>6.5600000000000005</v>
      </c>
    </row>
    <row r="50" spans="1:5" ht="15" customHeight="1">
      <c r="A50" s="36">
        <v>2263</v>
      </c>
      <c r="B50" s="38" t="s">
        <v>20</v>
      </c>
      <c r="C50" s="37">
        <v>18.16</v>
      </c>
      <c r="D50" s="37">
        <f t="shared" si="3"/>
        <v>181.6</v>
      </c>
      <c r="E50" s="37">
        <f t="shared" si="2"/>
        <v>24.21333333333333</v>
      </c>
    </row>
    <row r="51" spans="1:5" ht="15" customHeight="1">
      <c r="A51" s="36">
        <v>2264</v>
      </c>
      <c r="B51" s="38" t="s">
        <v>21</v>
      </c>
      <c r="C51" s="37">
        <v>0.09</v>
      </c>
      <c r="D51" s="37">
        <f t="shared" si="3"/>
        <v>0.8999999999999999</v>
      </c>
      <c r="E51" s="37">
        <f t="shared" si="2"/>
        <v>0.11999999999999998</v>
      </c>
    </row>
    <row r="52" spans="1:5" ht="15" customHeight="1">
      <c r="A52" s="36">
        <v>2279</v>
      </c>
      <c r="B52" s="38" t="s">
        <v>22</v>
      </c>
      <c r="C52" s="37">
        <v>20.29</v>
      </c>
      <c r="D52" s="37">
        <f t="shared" si="3"/>
        <v>202.89999999999998</v>
      </c>
      <c r="E52" s="37">
        <f t="shared" si="2"/>
        <v>27.05333333333333</v>
      </c>
    </row>
    <row r="53" spans="1:5" ht="15.75">
      <c r="A53" s="36">
        <v>2311</v>
      </c>
      <c r="B53" s="38" t="s">
        <v>23</v>
      </c>
      <c r="C53" s="37">
        <v>1.91</v>
      </c>
      <c r="D53" s="37">
        <f t="shared" si="3"/>
        <v>19.099999999999998</v>
      </c>
      <c r="E53" s="37">
        <f t="shared" si="2"/>
        <v>2.5466666666666664</v>
      </c>
    </row>
    <row r="54" spans="1:5" ht="15" customHeight="1">
      <c r="A54" s="36">
        <v>2312</v>
      </c>
      <c r="B54" s="38" t="s">
        <v>24</v>
      </c>
      <c r="C54" s="37">
        <v>3.53</v>
      </c>
      <c r="D54" s="37">
        <f t="shared" si="3"/>
        <v>35.3</v>
      </c>
      <c r="E54" s="37">
        <f t="shared" si="2"/>
        <v>4.706666666666666</v>
      </c>
    </row>
    <row r="55" spans="1:5" ht="15.75">
      <c r="A55" s="36">
        <v>2321</v>
      </c>
      <c r="B55" s="38" t="s">
        <v>25</v>
      </c>
      <c r="C55" s="37">
        <v>75.5</v>
      </c>
      <c r="D55" s="37">
        <f t="shared" si="3"/>
        <v>755</v>
      </c>
      <c r="E55" s="37">
        <f t="shared" si="2"/>
        <v>100.66666666666667</v>
      </c>
    </row>
    <row r="56" spans="1:5" ht="15" customHeight="1">
      <c r="A56" s="36">
        <v>2322</v>
      </c>
      <c r="B56" s="38" t="s">
        <v>26</v>
      </c>
      <c r="C56" s="37">
        <v>40.73</v>
      </c>
      <c r="D56" s="37">
        <f t="shared" si="3"/>
        <v>407.29999999999995</v>
      </c>
      <c r="E56" s="37">
        <f t="shared" si="2"/>
        <v>54.30666666666666</v>
      </c>
    </row>
    <row r="57" spans="1:5" ht="15" customHeight="1">
      <c r="A57" s="36">
        <v>2341</v>
      </c>
      <c r="B57" s="38" t="s">
        <v>27</v>
      </c>
      <c r="C57" s="37">
        <v>1.78</v>
      </c>
      <c r="D57" s="37">
        <f t="shared" si="3"/>
        <v>17.8</v>
      </c>
      <c r="E57" s="37">
        <f t="shared" si="2"/>
        <v>2.3733333333333335</v>
      </c>
    </row>
    <row r="58" spans="1:5" ht="15" customHeight="1">
      <c r="A58" s="36">
        <v>2344</v>
      </c>
      <c r="B58" s="38" t="s">
        <v>28</v>
      </c>
      <c r="C58" s="37">
        <v>0.03</v>
      </c>
      <c r="D58" s="37">
        <f t="shared" si="3"/>
        <v>0.3</v>
      </c>
      <c r="E58" s="37">
        <f t="shared" si="2"/>
        <v>0.04</v>
      </c>
    </row>
    <row r="59" spans="1:5" ht="15.75">
      <c r="A59" s="36">
        <v>2350</v>
      </c>
      <c r="B59" s="38" t="s">
        <v>29</v>
      </c>
      <c r="C59" s="37">
        <v>15.11</v>
      </c>
      <c r="D59" s="37">
        <f t="shared" si="3"/>
        <v>151.1</v>
      </c>
      <c r="E59" s="37">
        <f t="shared" si="2"/>
        <v>20.146666666666665</v>
      </c>
    </row>
    <row r="60" spans="1:5" ht="15" customHeight="1">
      <c r="A60" s="36">
        <v>2361</v>
      </c>
      <c r="B60" s="38" t="s">
        <v>30</v>
      </c>
      <c r="C60" s="37">
        <v>7.32</v>
      </c>
      <c r="D60" s="37">
        <f t="shared" si="3"/>
        <v>73.2</v>
      </c>
      <c r="E60" s="37">
        <f t="shared" si="2"/>
        <v>9.76</v>
      </c>
    </row>
    <row r="61" spans="1:5" ht="15.75">
      <c r="A61" s="36">
        <v>2362</v>
      </c>
      <c r="B61" s="38" t="s">
        <v>31</v>
      </c>
      <c r="C61" s="37">
        <v>3.81</v>
      </c>
      <c r="D61" s="37">
        <f t="shared" si="3"/>
        <v>38.1</v>
      </c>
      <c r="E61" s="37">
        <f t="shared" si="2"/>
        <v>5.08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3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0.79</v>
      </c>
      <c r="D64" s="37">
        <f t="shared" si="3"/>
        <v>7.9</v>
      </c>
      <c r="E64" s="37">
        <f t="shared" si="2"/>
        <v>1.0533333333333335</v>
      </c>
    </row>
    <row r="65" spans="1:5" ht="15" customHeight="1">
      <c r="A65" s="36">
        <v>2513</v>
      </c>
      <c r="B65" s="38" t="s">
        <v>35</v>
      </c>
      <c r="C65" s="37">
        <v>12.3</v>
      </c>
      <c r="D65" s="37">
        <f t="shared" si="3"/>
        <v>123</v>
      </c>
      <c r="E65" s="37">
        <f t="shared" si="2"/>
        <v>16.4</v>
      </c>
    </row>
    <row r="66" spans="1:5" ht="15.75">
      <c r="A66" s="36">
        <v>2515</v>
      </c>
      <c r="B66" s="38" t="s">
        <v>97</v>
      </c>
      <c r="C66" s="37">
        <v>0.54</v>
      </c>
      <c r="D66" s="37">
        <f t="shared" si="3"/>
        <v>5.4</v>
      </c>
      <c r="E66" s="37">
        <f t="shared" si="2"/>
        <v>0.7200000000000001</v>
      </c>
    </row>
    <row r="67" spans="1:5" ht="16.5" customHeight="1">
      <c r="A67" s="36">
        <v>2519</v>
      </c>
      <c r="B67" s="38" t="s">
        <v>38</v>
      </c>
      <c r="C67" s="37">
        <v>2.87</v>
      </c>
      <c r="D67" s="37">
        <f t="shared" si="3"/>
        <v>28.700000000000003</v>
      </c>
      <c r="E67" s="37">
        <f t="shared" si="2"/>
        <v>3.826666666666667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2.32</v>
      </c>
      <c r="D70" s="37">
        <f t="shared" si="3"/>
        <v>23.2</v>
      </c>
      <c r="E70" s="37">
        <f t="shared" si="2"/>
        <v>3.0933333333333333</v>
      </c>
    </row>
    <row r="71" spans="1:5" ht="15" customHeight="1">
      <c r="A71" s="36">
        <v>5232</v>
      </c>
      <c r="B71" s="38" t="s">
        <v>37</v>
      </c>
      <c r="C71" s="37">
        <v>42.83</v>
      </c>
      <c r="D71" s="37">
        <f t="shared" si="3"/>
        <v>428.29999999999995</v>
      </c>
      <c r="E71" s="37">
        <f t="shared" si="2"/>
        <v>57.10666666666666</v>
      </c>
    </row>
    <row r="72" spans="1:5" ht="15.75">
      <c r="A72" s="36">
        <v>5238</v>
      </c>
      <c r="B72" s="38" t="s">
        <v>39</v>
      </c>
      <c r="C72" s="37">
        <v>25.73</v>
      </c>
      <c r="D72" s="37">
        <f t="shared" si="3"/>
        <v>257.3</v>
      </c>
      <c r="E72" s="37">
        <f t="shared" si="2"/>
        <v>34.306666666666665</v>
      </c>
    </row>
    <row r="73" spans="1:5" ht="15" customHeight="1">
      <c r="A73" s="36">
        <v>5240</v>
      </c>
      <c r="B73" s="38" t="s">
        <v>40</v>
      </c>
      <c r="C73" s="37">
        <v>18.83</v>
      </c>
      <c r="D73" s="37">
        <f>C73*10</f>
        <v>188.29999999999998</v>
      </c>
      <c r="E73" s="37">
        <f t="shared" si="2"/>
        <v>25.106666666666666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1002.5299999999999</v>
      </c>
      <c r="D75" s="40">
        <f>SUM(D32:D74)</f>
        <v>10025.299999999996</v>
      </c>
      <c r="E75" s="40">
        <f>SUM(E32:E74)</f>
        <v>1448.7333333333324</v>
      </c>
    </row>
    <row r="76" spans="1:5" ht="15.75">
      <c r="A76" s="41"/>
      <c r="B76" s="45" t="s">
        <v>48</v>
      </c>
      <c r="C76" s="40">
        <f>C75+C30</f>
        <v>2047.7999999999997</v>
      </c>
      <c r="D76" s="40">
        <f>D75+D30</f>
        <v>21400.799999999996</v>
      </c>
      <c r="E76" s="40">
        <f>E75+E30</f>
        <v>3311.3633333333323</v>
      </c>
    </row>
    <row r="77" spans="1:5" ht="15.75">
      <c r="A77" s="46"/>
      <c r="B77" s="29"/>
      <c r="C77" s="14"/>
      <c r="D77" s="14"/>
      <c r="E77" s="14"/>
    </row>
    <row r="78" spans="1:5" ht="15.75">
      <c r="A78" s="142" t="s">
        <v>63</v>
      </c>
      <c r="B78" s="142"/>
      <c r="C78" s="30">
        <v>30</v>
      </c>
      <c r="D78" s="30">
        <v>30</v>
      </c>
      <c r="E78" s="116">
        <v>4</v>
      </c>
    </row>
    <row r="79" spans="1:5" ht="15.75">
      <c r="A79" s="142" t="s">
        <v>64</v>
      </c>
      <c r="B79" s="142"/>
      <c r="C79" s="48">
        <f>C76/C78</f>
        <v>68.25999999999999</v>
      </c>
      <c r="D79" s="48">
        <f>D76/D78</f>
        <v>713.3599999999999</v>
      </c>
      <c r="E79" s="117">
        <f>E76/E78</f>
        <v>827.8408333333331</v>
      </c>
    </row>
    <row r="80" spans="1:5" ht="15.75">
      <c r="A80" s="18"/>
      <c r="B80" s="18"/>
      <c r="C80" s="47"/>
      <c r="D80" s="47"/>
      <c r="E80" s="47"/>
    </row>
    <row r="81" spans="1:5" ht="15.75">
      <c r="A81" s="146" t="s">
        <v>56</v>
      </c>
      <c r="B81" s="147"/>
      <c r="C81" s="25">
        <v>68.26</v>
      </c>
      <c r="D81" s="25">
        <v>682.6</v>
      </c>
      <c r="E81" s="50"/>
    </row>
    <row r="82" spans="1:5" ht="15.75">
      <c r="A82" s="146" t="s">
        <v>85</v>
      </c>
      <c r="B82" s="147"/>
      <c r="C82" s="25">
        <v>682.6</v>
      </c>
      <c r="D82" s="25"/>
      <c r="E82" s="50"/>
    </row>
    <row r="83" spans="1:5" ht="15.75">
      <c r="A83" s="26"/>
      <c r="B83" s="26"/>
      <c r="C83" s="26">
        <f>C82*5</f>
        <v>3413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  <row r="90" ht="12.75">
      <c r="E90" s="69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90" zoomScalePageLayoutView="90" workbookViewId="0" topLeftCell="A56">
      <selection activeCell="A3" sqref="A3:J3"/>
    </sheetView>
  </sheetViews>
  <sheetFormatPr defaultColWidth="9.140625" defaultRowHeight="12.75"/>
  <cols>
    <col min="1" max="1" width="11.8515625" style="11" customWidth="1"/>
    <col min="2" max="2" width="94.00390625" style="11" customWidth="1"/>
    <col min="3" max="4" width="22.421875" style="11" hidden="1" customWidth="1"/>
    <col min="5" max="5" width="31.8515625" style="11" customWidth="1"/>
  </cols>
  <sheetData>
    <row r="1" spans="1:5" ht="15.75">
      <c r="A1" s="21"/>
      <c r="B1" s="148" t="s">
        <v>53</v>
      </c>
      <c r="C1" s="148"/>
      <c r="D1" s="148"/>
      <c r="E1" s="143"/>
    </row>
    <row r="2" spans="1:5" ht="15.75">
      <c r="A2" s="21"/>
      <c r="B2" s="149" t="s">
        <v>58</v>
      </c>
      <c r="C2" s="149"/>
      <c r="D2" s="149"/>
      <c r="E2" s="150"/>
    </row>
    <row r="3" spans="1:5" ht="15.75">
      <c r="A3" s="21"/>
      <c r="B3" s="19"/>
      <c r="C3" s="19"/>
      <c r="D3" s="19"/>
      <c r="E3" s="120" t="s">
        <v>196</v>
      </c>
    </row>
    <row r="4" spans="1:5" ht="15.75">
      <c r="A4" s="21"/>
      <c r="B4" s="19"/>
      <c r="C4" s="19"/>
      <c r="D4" s="19"/>
      <c r="E4" s="46"/>
    </row>
    <row r="5" spans="1:5" ht="15.75">
      <c r="A5" s="21"/>
      <c r="B5" s="24"/>
      <c r="C5" s="24"/>
      <c r="D5" s="24"/>
      <c r="E5" s="46" t="str">
        <f>'4.3.2.7.'!E5</f>
        <v>2019. gada  15. martā</v>
      </c>
    </row>
    <row r="6" spans="1:5" ht="15.75">
      <c r="A6" s="21"/>
      <c r="B6" s="19"/>
      <c r="C6" s="19"/>
      <c r="D6" s="19"/>
      <c r="E6" s="19"/>
    </row>
    <row r="7" spans="1:5" ht="18.75">
      <c r="A7" s="138" t="s">
        <v>10</v>
      </c>
      <c r="B7" s="138"/>
      <c r="C7" s="138"/>
      <c r="D7" s="138"/>
      <c r="E7" s="138"/>
    </row>
    <row r="8" spans="1:5" ht="15.75">
      <c r="A8" s="57"/>
      <c r="B8" s="57"/>
      <c r="C8" s="57"/>
      <c r="D8" s="57"/>
      <c r="E8" s="14"/>
    </row>
    <row r="9" spans="1:5" ht="15.75">
      <c r="A9" s="142" t="s">
        <v>1</v>
      </c>
      <c r="B9" s="142"/>
      <c r="C9" s="18"/>
      <c r="D9" s="18"/>
      <c r="E9" s="14"/>
    </row>
    <row r="10" spans="1:5" ht="15.75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185</v>
      </c>
      <c r="C14" s="142"/>
      <c r="D14" s="142"/>
      <c r="E14" s="143"/>
    </row>
    <row r="15" spans="1:5" ht="15.75">
      <c r="A15" s="18" t="s">
        <v>2</v>
      </c>
      <c r="B15" s="18" t="str">
        <f>'4.3.2.7.'!B15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" customHeight="1">
      <c r="A19" s="36">
        <v>1100</v>
      </c>
      <c r="B19" s="36" t="s">
        <v>91</v>
      </c>
      <c r="C19" s="37">
        <v>509.28</v>
      </c>
      <c r="D19" s="37">
        <f>5080.59+30*24.79</f>
        <v>5824.29</v>
      </c>
      <c r="E19" s="37">
        <v>1031.45</v>
      </c>
    </row>
    <row r="20" spans="1:5" ht="31.5">
      <c r="A20" s="36">
        <v>1200</v>
      </c>
      <c r="B20" s="38" t="s">
        <v>92</v>
      </c>
      <c r="C20" s="37">
        <v>121.17</v>
      </c>
      <c r="D20" s="37">
        <f>1223.91+30*5.97</f>
        <v>1403.01</v>
      </c>
      <c r="E20" s="37">
        <v>248.48</v>
      </c>
    </row>
    <row r="21" spans="1:5" ht="15.75">
      <c r="A21" s="36">
        <v>2222</v>
      </c>
      <c r="B21" s="38" t="s">
        <v>43</v>
      </c>
      <c r="C21" s="37">
        <v>25.4</v>
      </c>
      <c r="D21" s="37">
        <f aca="true" t="shared" si="0" ref="D21:D29">C21*10</f>
        <v>254</v>
      </c>
      <c r="E21" s="37">
        <f aca="true" t="shared" si="1" ref="E21:E29">D21/30*4</f>
        <v>33.86666666666667</v>
      </c>
    </row>
    <row r="22" spans="1:5" ht="15.75">
      <c r="A22" s="36">
        <v>2223</v>
      </c>
      <c r="B22" s="38" t="s">
        <v>44</v>
      </c>
      <c r="C22" s="37">
        <v>27.94</v>
      </c>
      <c r="D22" s="37">
        <f t="shared" si="0"/>
        <v>279.40000000000003</v>
      </c>
      <c r="E22" s="37">
        <f t="shared" si="1"/>
        <v>37.25333333333334</v>
      </c>
    </row>
    <row r="23" spans="1:5" ht="15.75">
      <c r="A23" s="36">
        <v>2243</v>
      </c>
      <c r="B23" s="38" t="s">
        <v>15</v>
      </c>
      <c r="C23" s="37">
        <v>9.38</v>
      </c>
      <c r="D23" s="37">
        <f t="shared" si="0"/>
        <v>93.80000000000001</v>
      </c>
      <c r="E23" s="37">
        <f t="shared" si="1"/>
        <v>12.506666666666668</v>
      </c>
    </row>
    <row r="24" spans="1:5" ht="15" customHeight="1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" customHeight="1">
      <c r="A25" s="36">
        <v>2321</v>
      </c>
      <c r="B25" s="38" t="s">
        <v>25</v>
      </c>
      <c r="C25" s="37">
        <v>43.36</v>
      </c>
      <c r="D25" s="37">
        <f t="shared" si="0"/>
        <v>433.6</v>
      </c>
      <c r="E25" s="37">
        <f t="shared" si="1"/>
        <v>57.81333333333334</v>
      </c>
    </row>
    <row r="26" spans="1:5" ht="15" customHeight="1">
      <c r="A26" s="36">
        <v>2341</v>
      </c>
      <c r="B26" s="38" t="s">
        <v>27</v>
      </c>
      <c r="C26" s="37">
        <v>43.25</v>
      </c>
      <c r="D26" s="37">
        <f t="shared" si="0"/>
        <v>432.5</v>
      </c>
      <c r="E26" s="37">
        <f t="shared" si="1"/>
        <v>57.666666666666664</v>
      </c>
    </row>
    <row r="27" spans="1:5" ht="17.25" customHeight="1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221.4</v>
      </c>
      <c r="D28" s="37">
        <f t="shared" si="0"/>
        <v>2214</v>
      </c>
      <c r="E28" s="37">
        <v>324.8</v>
      </c>
    </row>
    <row r="29" spans="1:5" ht="15.75">
      <c r="A29" s="36">
        <v>5232</v>
      </c>
      <c r="B29" s="38" t="s">
        <v>37</v>
      </c>
      <c r="C29" s="37">
        <v>10.73</v>
      </c>
      <c r="D29" s="37">
        <f t="shared" si="0"/>
        <v>107.30000000000001</v>
      </c>
      <c r="E29" s="37">
        <f t="shared" si="1"/>
        <v>14.306666666666668</v>
      </c>
    </row>
    <row r="30" spans="1:5" ht="15.75">
      <c r="A30" s="36"/>
      <c r="B30" s="39" t="s">
        <v>7</v>
      </c>
      <c r="C30" s="40">
        <f>SUM(C19:C29)</f>
        <v>1011.91</v>
      </c>
      <c r="D30" s="40">
        <f>SUM(D19:D29)</f>
        <v>11041.9</v>
      </c>
      <c r="E30" s="40">
        <f>SUM(E19:E29)</f>
        <v>1818.1433333333332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371.09</v>
      </c>
      <c r="D32" s="37">
        <v>3695.79</v>
      </c>
      <c r="E32" s="37">
        <f aca="true" t="shared" si="2" ref="E32:E73">D32/30*4</f>
        <v>492.772</v>
      </c>
    </row>
    <row r="33" spans="1:5" ht="31.5">
      <c r="A33" s="36">
        <v>1200</v>
      </c>
      <c r="B33" s="38" t="s">
        <v>92</v>
      </c>
      <c r="C33" s="37">
        <v>87.52</v>
      </c>
      <c r="D33" s="37">
        <v>890.31</v>
      </c>
      <c r="E33" s="37">
        <f t="shared" si="2"/>
        <v>118.708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2">C34*10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7.01</v>
      </c>
      <c r="D35" s="37">
        <f t="shared" si="3"/>
        <v>70.1</v>
      </c>
      <c r="E35" s="37">
        <f t="shared" si="2"/>
        <v>9.346666666666666</v>
      </c>
    </row>
    <row r="36" spans="1:5" ht="15.75">
      <c r="A36" s="36">
        <v>2222</v>
      </c>
      <c r="B36" s="38" t="s">
        <v>43</v>
      </c>
      <c r="C36" s="37">
        <v>17.35</v>
      </c>
      <c r="D36" s="37">
        <f t="shared" si="3"/>
        <v>173.5</v>
      </c>
      <c r="E36" s="37">
        <f t="shared" si="2"/>
        <v>23.133333333333333</v>
      </c>
    </row>
    <row r="37" spans="1:5" ht="15.75">
      <c r="A37" s="36">
        <v>2223</v>
      </c>
      <c r="B37" s="38" t="s">
        <v>44</v>
      </c>
      <c r="C37" s="37">
        <v>27.31</v>
      </c>
      <c r="D37" s="37">
        <f t="shared" si="3"/>
        <v>273.09999999999997</v>
      </c>
      <c r="E37" s="37">
        <f t="shared" si="2"/>
        <v>36.41333333333333</v>
      </c>
    </row>
    <row r="38" spans="1:5" ht="15" customHeight="1">
      <c r="A38" s="36">
        <v>2230</v>
      </c>
      <c r="B38" s="38" t="s">
        <v>45</v>
      </c>
      <c r="C38" s="37">
        <v>5.41</v>
      </c>
      <c r="D38" s="37">
        <f t="shared" si="3"/>
        <v>54.1</v>
      </c>
      <c r="E38" s="37">
        <f t="shared" si="2"/>
        <v>7.213333333333334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1.61</v>
      </c>
      <c r="D40" s="37">
        <f t="shared" si="3"/>
        <v>16.1</v>
      </c>
      <c r="E40" s="37">
        <f t="shared" si="2"/>
        <v>2.146666666666667</v>
      </c>
    </row>
    <row r="41" spans="1:5" ht="15.75">
      <c r="A41" s="36">
        <v>2243</v>
      </c>
      <c r="B41" s="38" t="s">
        <v>15</v>
      </c>
      <c r="C41" s="37">
        <v>7.99</v>
      </c>
      <c r="D41" s="37">
        <f t="shared" si="3"/>
        <v>79.9</v>
      </c>
      <c r="E41" s="37">
        <f t="shared" si="2"/>
        <v>10.653333333333334</v>
      </c>
    </row>
    <row r="42" spans="1:5" ht="15.75">
      <c r="A42" s="36">
        <v>2244</v>
      </c>
      <c r="B42" s="38" t="s">
        <v>16</v>
      </c>
      <c r="C42" s="37">
        <v>127.67</v>
      </c>
      <c r="D42" s="37">
        <f t="shared" si="3"/>
        <v>1276.7</v>
      </c>
      <c r="E42" s="37">
        <v>269.06</v>
      </c>
    </row>
    <row r="43" spans="1:5" ht="15.75">
      <c r="A43" s="36">
        <v>2247</v>
      </c>
      <c r="B43" s="34" t="s">
        <v>93</v>
      </c>
      <c r="C43" s="37">
        <v>0.43</v>
      </c>
      <c r="D43" s="37">
        <f t="shared" si="3"/>
        <v>4.3</v>
      </c>
      <c r="E43" s="37">
        <f t="shared" si="2"/>
        <v>0.5733333333333334</v>
      </c>
    </row>
    <row r="44" spans="1:5" ht="15.75">
      <c r="A44" s="36">
        <v>2249</v>
      </c>
      <c r="B44" s="38" t="s">
        <v>17</v>
      </c>
      <c r="C44" s="37">
        <v>1.86</v>
      </c>
      <c r="D44" s="37">
        <f t="shared" si="3"/>
        <v>18.6</v>
      </c>
      <c r="E44" s="37">
        <f t="shared" si="2"/>
        <v>2.48</v>
      </c>
    </row>
    <row r="45" spans="1:5" ht="15.75">
      <c r="A45" s="36">
        <v>2251</v>
      </c>
      <c r="B45" s="38" t="s">
        <v>94</v>
      </c>
      <c r="C45" s="37">
        <v>17.5</v>
      </c>
      <c r="D45" s="37">
        <f t="shared" si="3"/>
        <v>175</v>
      </c>
      <c r="E45" s="37">
        <f t="shared" si="2"/>
        <v>23.333333333333332</v>
      </c>
    </row>
    <row r="46" spans="1:5" ht="15.75">
      <c r="A46" s="36">
        <v>2252</v>
      </c>
      <c r="B46" s="38" t="s">
        <v>96</v>
      </c>
      <c r="C46" s="37">
        <v>0.23</v>
      </c>
      <c r="D46" s="37">
        <f t="shared" si="3"/>
        <v>2.3000000000000003</v>
      </c>
      <c r="E46" s="37">
        <f t="shared" si="2"/>
        <v>0.3066666666666667</v>
      </c>
    </row>
    <row r="47" spans="1:5" ht="15.75">
      <c r="A47" s="36">
        <v>2259</v>
      </c>
      <c r="B47" s="38" t="s">
        <v>95</v>
      </c>
      <c r="C47" s="37">
        <v>0.04</v>
      </c>
      <c r="D47" s="37">
        <f t="shared" si="3"/>
        <v>0.4</v>
      </c>
      <c r="E47" s="37">
        <f t="shared" si="2"/>
        <v>0.05333333333333334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4.72</v>
      </c>
      <c r="D49" s="37">
        <f t="shared" si="3"/>
        <v>47.199999999999996</v>
      </c>
      <c r="E49" s="37">
        <f t="shared" si="2"/>
        <v>6.293333333333333</v>
      </c>
    </row>
    <row r="50" spans="1:5" ht="15.75">
      <c r="A50" s="36">
        <v>2263</v>
      </c>
      <c r="B50" s="38" t="s">
        <v>20</v>
      </c>
      <c r="C50" s="37">
        <v>17.4</v>
      </c>
      <c r="D50" s="37">
        <f t="shared" si="3"/>
        <v>174</v>
      </c>
      <c r="E50" s="37">
        <f t="shared" si="2"/>
        <v>23.2</v>
      </c>
    </row>
    <row r="51" spans="1:5" ht="15.75">
      <c r="A51" s="36">
        <v>2264</v>
      </c>
      <c r="B51" s="38" t="s">
        <v>21</v>
      </c>
      <c r="C51" s="37">
        <v>0.09</v>
      </c>
      <c r="D51" s="37">
        <f t="shared" si="3"/>
        <v>0.8999999999999999</v>
      </c>
      <c r="E51" s="37">
        <f t="shared" si="2"/>
        <v>0.11999999999999998</v>
      </c>
    </row>
    <row r="52" spans="1:5" ht="15.75" customHeight="1">
      <c r="A52" s="36">
        <v>2279</v>
      </c>
      <c r="B52" s="38" t="s">
        <v>22</v>
      </c>
      <c r="C52" s="37">
        <v>19.44</v>
      </c>
      <c r="D52" s="37">
        <f t="shared" si="3"/>
        <v>194.4</v>
      </c>
      <c r="E52" s="37">
        <f t="shared" si="2"/>
        <v>25.92</v>
      </c>
    </row>
    <row r="53" spans="1:5" ht="15.75">
      <c r="A53" s="36">
        <v>2311</v>
      </c>
      <c r="B53" s="38" t="s">
        <v>23</v>
      </c>
      <c r="C53" s="37">
        <v>1.83</v>
      </c>
      <c r="D53" s="37">
        <f t="shared" si="3"/>
        <v>18.3</v>
      </c>
      <c r="E53" s="37">
        <f t="shared" si="2"/>
        <v>2.44</v>
      </c>
    </row>
    <row r="54" spans="1:5" ht="15.75">
      <c r="A54" s="36">
        <v>2312</v>
      </c>
      <c r="B54" s="38" t="s">
        <v>24</v>
      </c>
      <c r="C54" s="37">
        <v>3.38</v>
      </c>
      <c r="D54" s="37">
        <f t="shared" si="3"/>
        <v>33.8</v>
      </c>
      <c r="E54" s="37">
        <f t="shared" si="2"/>
        <v>4.506666666666666</v>
      </c>
    </row>
    <row r="55" spans="1:5" ht="15.75">
      <c r="A55" s="36">
        <v>2321</v>
      </c>
      <c r="B55" s="38" t="s">
        <v>25</v>
      </c>
      <c r="C55" s="37">
        <v>72.35</v>
      </c>
      <c r="D55" s="37">
        <f t="shared" si="3"/>
        <v>723.5</v>
      </c>
      <c r="E55" s="37">
        <f t="shared" si="2"/>
        <v>96.46666666666667</v>
      </c>
    </row>
    <row r="56" spans="1:5" ht="15.75">
      <c r="A56" s="36">
        <v>2322</v>
      </c>
      <c r="B56" s="38" t="s">
        <v>26</v>
      </c>
      <c r="C56" s="37">
        <v>39.39</v>
      </c>
      <c r="D56" s="37">
        <f t="shared" si="3"/>
        <v>393.9</v>
      </c>
      <c r="E56" s="37">
        <f t="shared" si="2"/>
        <v>52.519999999999996</v>
      </c>
    </row>
    <row r="57" spans="1:5" ht="15.75">
      <c r="A57" s="36">
        <v>2341</v>
      </c>
      <c r="B57" s="38" t="s">
        <v>27</v>
      </c>
      <c r="C57" s="37">
        <v>1.71</v>
      </c>
      <c r="D57" s="37">
        <f t="shared" si="3"/>
        <v>17.1</v>
      </c>
      <c r="E57" s="37">
        <f t="shared" si="2"/>
        <v>2.2800000000000002</v>
      </c>
    </row>
    <row r="58" spans="1:5" ht="15.75">
      <c r="A58" s="36">
        <v>2344</v>
      </c>
      <c r="B58" s="38" t="s">
        <v>28</v>
      </c>
      <c r="C58" s="37">
        <v>0.02</v>
      </c>
      <c r="D58" s="37">
        <f t="shared" si="3"/>
        <v>0.2</v>
      </c>
      <c r="E58" s="37">
        <f t="shared" si="2"/>
        <v>0.02666666666666667</v>
      </c>
    </row>
    <row r="59" spans="1:5" ht="15" customHeight="1">
      <c r="A59" s="36">
        <v>2350</v>
      </c>
      <c r="B59" s="38" t="s">
        <v>29</v>
      </c>
      <c r="C59" s="37">
        <v>14.48</v>
      </c>
      <c r="D59" s="37">
        <f t="shared" si="3"/>
        <v>144.8</v>
      </c>
      <c r="E59" s="37">
        <f t="shared" si="2"/>
        <v>19.30666666666667</v>
      </c>
    </row>
    <row r="60" spans="1:5" ht="15.75">
      <c r="A60" s="36">
        <v>2361</v>
      </c>
      <c r="B60" s="38" t="s">
        <v>30</v>
      </c>
      <c r="C60" s="37">
        <v>7.01</v>
      </c>
      <c r="D60" s="37">
        <f t="shared" si="3"/>
        <v>70.1</v>
      </c>
      <c r="E60" s="37">
        <f t="shared" si="2"/>
        <v>9.346666666666666</v>
      </c>
    </row>
    <row r="61" spans="1:5" ht="15.75">
      <c r="A61" s="36">
        <v>2362</v>
      </c>
      <c r="B61" s="38" t="s">
        <v>31</v>
      </c>
      <c r="C61" s="37">
        <v>3.65</v>
      </c>
      <c r="D61" s="37">
        <f t="shared" si="3"/>
        <v>36.5</v>
      </c>
      <c r="E61" s="37">
        <f t="shared" si="2"/>
        <v>4.866666666666666</v>
      </c>
    </row>
    <row r="62" spans="1:5" ht="15" customHeight="1" hidden="1">
      <c r="A62" s="36">
        <v>2363</v>
      </c>
      <c r="B62" s="38" t="s">
        <v>32</v>
      </c>
      <c r="C62" s="37">
        <v>0</v>
      </c>
      <c r="D62" s="37">
        <f t="shared" si="3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0.75</v>
      </c>
      <c r="D64" s="37">
        <f t="shared" si="3"/>
        <v>7.5</v>
      </c>
      <c r="E64" s="37">
        <f t="shared" si="2"/>
        <v>1</v>
      </c>
    </row>
    <row r="65" spans="1:5" ht="15.75">
      <c r="A65" s="36">
        <v>2513</v>
      </c>
      <c r="B65" s="38" t="s">
        <v>35</v>
      </c>
      <c r="C65" s="37">
        <v>11.78</v>
      </c>
      <c r="D65" s="37">
        <f t="shared" si="3"/>
        <v>117.8</v>
      </c>
      <c r="E65" s="37">
        <f t="shared" si="2"/>
        <v>15.706666666666667</v>
      </c>
    </row>
    <row r="66" spans="1:5" ht="15" customHeight="1">
      <c r="A66" s="36">
        <v>2515</v>
      </c>
      <c r="B66" s="38" t="s">
        <v>97</v>
      </c>
      <c r="C66" s="37">
        <v>0.52</v>
      </c>
      <c r="D66" s="37">
        <f t="shared" si="3"/>
        <v>5.2</v>
      </c>
      <c r="E66" s="37">
        <f t="shared" si="2"/>
        <v>0.6933333333333334</v>
      </c>
    </row>
    <row r="67" spans="1:5" ht="16.5" customHeight="1">
      <c r="A67" s="36">
        <v>2519</v>
      </c>
      <c r="B67" s="38" t="s">
        <v>38</v>
      </c>
      <c r="C67" s="37">
        <v>2.75</v>
      </c>
      <c r="D67" s="37">
        <f t="shared" si="3"/>
        <v>27.5</v>
      </c>
      <c r="E67" s="37">
        <f t="shared" si="2"/>
        <v>3.6666666666666665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2.22</v>
      </c>
      <c r="D70" s="37">
        <f t="shared" si="3"/>
        <v>22.200000000000003</v>
      </c>
      <c r="E70" s="37">
        <f t="shared" si="2"/>
        <v>2.9600000000000004</v>
      </c>
    </row>
    <row r="71" spans="1:5" ht="15.75">
      <c r="A71" s="36">
        <v>5232</v>
      </c>
      <c r="B71" s="38" t="s">
        <v>37</v>
      </c>
      <c r="C71" s="37">
        <v>41.05</v>
      </c>
      <c r="D71" s="37">
        <f t="shared" si="3"/>
        <v>410.5</v>
      </c>
      <c r="E71" s="37">
        <f t="shared" si="2"/>
        <v>54.733333333333334</v>
      </c>
    </row>
    <row r="72" spans="1:5" ht="15.75">
      <c r="A72" s="36">
        <v>5238</v>
      </c>
      <c r="B72" s="38" t="s">
        <v>39</v>
      </c>
      <c r="C72" s="37">
        <v>24.38</v>
      </c>
      <c r="D72" s="37">
        <f t="shared" si="3"/>
        <v>243.79999999999998</v>
      </c>
      <c r="E72" s="37">
        <f t="shared" si="2"/>
        <v>32.50666666666667</v>
      </c>
    </row>
    <row r="73" spans="1:5" ht="15" customHeight="1">
      <c r="A73" s="36">
        <v>5240</v>
      </c>
      <c r="B73" s="38" t="s">
        <v>40</v>
      </c>
      <c r="C73" s="37">
        <v>18.05</v>
      </c>
      <c r="D73" s="37">
        <f>C73*10</f>
        <v>180.5</v>
      </c>
      <c r="E73" s="37">
        <f t="shared" si="2"/>
        <v>24.066666666666666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959.9899999999999</v>
      </c>
      <c r="D75" s="40">
        <f>SUM(D32:D74)</f>
        <v>9599.900000000001</v>
      </c>
      <c r="E75" s="40">
        <f>SUM(E32:E74)</f>
        <v>1378.82</v>
      </c>
    </row>
    <row r="76" spans="1:5" ht="15.75">
      <c r="A76" s="41"/>
      <c r="B76" s="45" t="s">
        <v>48</v>
      </c>
      <c r="C76" s="40">
        <f>C75+C30</f>
        <v>1971.8999999999999</v>
      </c>
      <c r="D76" s="40">
        <f>D75+D30</f>
        <v>20641.800000000003</v>
      </c>
      <c r="E76" s="40">
        <f>E75+E30</f>
        <v>3196.963333333333</v>
      </c>
    </row>
    <row r="77" spans="1:5" ht="12.75" customHeight="1">
      <c r="A77" s="46"/>
      <c r="B77" s="29"/>
      <c r="C77" s="14"/>
      <c r="D77" s="14"/>
      <c r="E77" s="14"/>
    </row>
    <row r="78" spans="1:5" ht="15.75">
      <c r="A78" s="142" t="s">
        <v>63</v>
      </c>
      <c r="B78" s="142"/>
      <c r="C78" s="30">
        <v>30</v>
      </c>
      <c r="D78" s="30">
        <v>30</v>
      </c>
      <c r="E78" s="116">
        <v>4</v>
      </c>
    </row>
    <row r="79" spans="1:5" ht="15.75">
      <c r="A79" s="142" t="s">
        <v>64</v>
      </c>
      <c r="B79" s="142"/>
      <c r="C79" s="48">
        <f>C76/C78</f>
        <v>65.72999999999999</v>
      </c>
      <c r="D79" s="48">
        <f>D76/D78</f>
        <v>688.0600000000001</v>
      </c>
      <c r="E79" s="117">
        <f>E76/E78</f>
        <v>799.2408333333333</v>
      </c>
    </row>
    <row r="80" spans="1:5" ht="15.75">
      <c r="A80" s="18"/>
      <c r="B80" s="18"/>
      <c r="C80" s="47"/>
      <c r="D80" s="47"/>
      <c r="E80" s="47"/>
    </row>
    <row r="81" spans="1:5" ht="15.75">
      <c r="A81" s="146" t="s">
        <v>56</v>
      </c>
      <c r="B81" s="147"/>
      <c r="C81" s="50"/>
      <c r="D81" s="50"/>
      <c r="E81" s="50"/>
    </row>
    <row r="82" spans="1:5" ht="15.75">
      <c r="A82" s="146" t="s">
        <v>85</v>
      </c>
      <c r="B82" s="147"/>
      <c r="C82" s="25"/>
      <c r="D82" s="25">
        <v>657.3</v>
      </c>
      <c r="E82" s="50"/>
    </row>
    <row r="83" spans="1:5" ht="15.75">
      <c r="A83" s="26"/>
      <c r="B83" s="26"/>
      <c r="C83" s="26">
        <v>65.73</v>
      </c>
      <c r="D83" s="26"/>
      <c r="E83" s="26"/>
    </row>
    <row r="84" spans="1:5" ht="15.75">
      <c r="A84" s="26" t="s">
        <v>57</v>
      </c>
      <c r="B84" s="26"/>
      <c r="C84" s="26">
        <v>657.3</v>
      </c>
      <c r="D84" s="26"/>
      <c r="E84" s="26"/>
    </row>
    <row r="85" spans="1:5" ht="15.75">
      <c r="A85" s="26"/>
      <c r="B85" s="26"/>
      <c r="C85" s="26">
        <f>C84*5</f>
        <v>3286.5</v>
      </c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90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1.28125" style="11" customWidth="1"/>
    <col min="2" max="2" width="94.421875" style="11" customWidth="1"/>
    <col min="3" max="4" width="31.28125" style="11" hidden="1" customWidth="1"/>
    <col min="5" max="5" width="33.421875" style="11" customWidth="1"/>
    <col min="6" max="9" width="0" style="0" hidden="1" customWidth="1"/>
  </cols>
  <sheetData>
    <row r="1" spans="1:5" ht="15.75">
      <c r="A1" s="1"/>
      <c r="B1" s="148" t="s">
        <v>53</v>
      </c>
      <c r="C1" s="148"/>
      <c r="D1" s="148"/>
      <c r="E1" s="143"/>
    </row>
    <row r="2" spans="1:5" ht="15.75">
      <c r="A2" s="1"/>
      <c r="B2" s="149" t="s">
        <v>58</v>
      </c>
      <c r="C2" s="149"/>
      <c r="D2" s="149"/>
      <c r="E2" s="150"/>
    </row>
    <row r="3" spans="1:5" ht="15.75">
      <c r="A3" s="1"/>
      <c r="B3" s="19"/>
      <c r="C3" s="19"/>
      <c r="D3" s="19"/>
      <c r="E3" s="120" t="s">
        <v>196</v>
      </c>
    </row>
    <row r="4" spans="1:5" ht="15.75">
      <c r="A4" s="1"/>
      <c r="B4" s="19"/>
      <c r="C4" s="19"/>
      <c r="D4" s="19"/>
      <c r="E4" s="46"/>
    </row>
    <row r="5" spans="1:5" ht="15.75">
      <c r="A5" s="1"/>
      <c r="B5" s="24"/>
      <c r="C5" s="24"/>
      <c r="D5" s="24"/>
      <c r="E5" s="46" t="str">
        <f>'4.3.2.8.'!E5</f>
        <v>2019. gada  15. martā</v>
      </c>
    </row>
    <row r="6" spans="1:5" ht="15">
      <c r="A6" s="1"/>
      <c r="B6" s="2"/>
      <c r="C6" s="2"/>
      <c r="D6" s="2"/>
      <c r="E6" s="2"/>
    </row>
    <row r="7" spans="1:5" ht="18.75">
      <c r="A7" s="138" t="s">
        <v>10</v>
      </c>
      <c r="B7" s="138"/>
      <c r="C7" s="138"/>
      <c r="D7" s="138"/>
      <c r="E7" s="138"/>
    </row>
    <row r="8" spans="1:5" ht="14.25">
      <c r="A8" s="10"/>
      <c r="B8" s="10"/>
      <c r="C8" s="10"/>
      <c r="D8" s="10"/>
      <c r="E8" s="3"/>
    </row>
    <row r="9" spans="1:5" ht="15.75" customHeight="1">
      <c r="A9" s="142" t="s">
        <v>1</v>
      </c>
      <c r="B9" s="142"/>
      <c r="C9" s="18"/>
      <c r="D9" s="18"/>
      <c r="E9" s="14"/>
    </row>
    <row r="10" spans="1:5" ht="15.75" customHeight="1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165</v>
      </c>
      <c r="C14" s="142"/>
      <c r="D14" s="142"/>
      <c r="E14" s="143"/>
    </row>
    <row r="15" spans="1:5" ht="15.75">
      <c r="A15" s="18" t="s">
        <v>2</v>
      </c>
      <c r="B15" s="18" t="str">
        <f>'4.3.2.8.'!B15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633.13</v>
      </c>
      <c r="D19" s="37">
        <f>1891.75+30*11.57</f>
        <v>2238.85</v>
      </c>
      <c r="E19" s="37">
        <v>443.99</v>
      </c>
    </row>
    <row r="20" spans="1:5" ht="21" customHeight="1">
      <c r="A20" s="36">
        <v>1200</v>
      </c>
      <c r="B20" s="38" t="s">
        <v>92</v>
      </c>
      <c r="C20" s="37">
        <v>149.36</v>
      </c>
      <c r="D20" s="37">
        <f>455.72+30*2.79</f>
        <v>539.4200000000001</v>
      </c>
      <c r="E20" s="37">
        <v>106.96</v>
      </c>
    </row>
    <row r="21" spans="1:5" ht="15.75">
      <c r="A21" s="36">
        <v>2222</v>
      </c>
      <c r="B21" s="38" t="s">
        <v>43</v>
      </c>
      <c r="C21" s="37">
        <v>31.57</v>
      </c>
      <c r="D21" s="37">
        <f aca="true" t="shared" si="0" ref="D21:D28">C21*3</f>
        <v>94.71000000000001</v>
      </c>
      <c r="E21" s="37">
        <f aca="true" t="shared" si="1" ref="E21:E29">D21/6</f>
        <v>15.785000000000002</v>
      </c>
    </row>
    <row r="22" spans="1:5" ht="15.75">
      <c r="A22" s="36">
        <v>2223</v>
      </c>
      <c r="B22" s="38" t="s">
        <v>44</v>
      </c>
      <c r="C22" s="37">
        <v>34.74</v>
      </c>
      <c r="D22" s="37">
        <f t="shared" si="0"/>
        <v>104.22</v>
      </c>
      <c r="E22" s="37">
        <f t="shared" si="1"/>
        <v>17.37</v>
      </c>
    </row>
    <row r="23" spans="1:5" ht="15.75">
      <c r="A23" s="36">
        <v>2243</v>
      </c>
      <c r="B23" s="38" t="s">
        <v>15</v>
      </c>
      <c r="C23" s="37">
        <v>11.67</v>
      </c>
      <c r="D23" s="37">
        <f t="shared" si="0"/>
        <v>35.01</v>
      </c>
      <c r="E23" s="37">
        <f t="shared" si="1"/>
        <v>5.835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.75">
      <c r="A25" s="36">
        <v>2321</v>
      </c>
      <c r="B25" s="38" t="s">
        <v>25</v>
      </c>
      <c r="C25" s="37">
        <v>53.91</v>
      </c>
      <c r="D25" s="37">
        <f t="shared" si="0"/>
        <v>161.73</v>
      </c>
      <c r="E25" s="37">
        <f t="shared" si="1"/>
        <v>26.955</v>
      </c>
    </row>
    <row r="26" spans="1:5" ht="15.75">
      <c r="A26" s="36">
        <v>2341</v>
      </c>
      <c r="B26" s="38" t="s">
        <v>27</v>
      </c>
      <c r="C26" s="37">
        <v>53.77</v>
      </c>
      <c r="D26" s="37">
        <f t="shared" si="0"/>
        <v>161.31</v>
      </c>
      <c r="E26" s="37">
        <f t="shared" si="1"/>
        <v>26.885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221.4</v>
      </c>
      <c r="D28" s="37">
        <f t="shared" si="0"/>
        <v>664.2</v>
      </c>
      <c r="E28" s="37">
        <v>121.8</v>
      </c>
    </row>
    <row r="29" spans="1:5" ht="15.75">
      <c r="A29" s="36">
        <v>5232</v>
      </c>
      <c r="B29" s="38" t="s">
        <v>37</v>
      </c>
      <c r="C29" s="37">
        <v>13.34</v>
      </c>
      <c r="D29" s="37">
        <f>C29*3</f>
        <v>40.019999999999996</v>
      </c>
      <c r="E29" s="37">
        <f t="shared" si="1"/>
        <v>6.669999999999999</v>
      </c>
    </row>
    <row r="30" spans="1:5" ht="15.75">
      <c r="A30" s="36"/>
      <c r="B30" s="39" t="s">
        <v>7</v>
      </c>
      <c r="C30" s="40">
        <f>SUM(C19:C29)</f>
        <v>1202.8899999999999</v>
      </c>
      <c r="D30" s="40">
        <f>SUM(D19:D29)</f>
        <v>4039.47</v>
      </c>
      <c r="E30" s="40">
        <f>SUM(E19:E29)</f>
        <v>772.25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461.22</v>
      </c>
      <c r="D32" s="37">
        <v>1378.08</v>
      </c>
      <c r="E32" s="37">
        <f aca="true" t="shared" si="2" ref="E32:E73">D32/6</f>
        <v>229.67999999999998</v>
      </c>
    </row>
    <row r="33" spans="1:5" ht="31.5">
      <c r="A33" s="36">
        <v>1200</v>
      </c>
      <c r="B33" s="38" t="s">
        <v>92</v>
      </c>
      <c r="C33" s="37">
        <v>108.8</v>
      </c>
      <c r="D33" s="37">
        <v>331.98</v>
      </c>
      <c r="E33" s="37">
        <f t="shared" si="2"/>
        <v>55.330000000000005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2">C34*3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8.71</v>
      </c>
      <c r="D35" s="37">
        <f t="shared" si="3"/>
        <v>26.130000000000003</v>
      </c>
      <c r="E35" s="37">
        <f t="shared" si="2"/>
        <v>4.355</v>
      </c>
    </row>
    <row r="36" spans="1:5" ht="15.75">
      <c r="A36" s="36">
        <v>2222</v>
      </c>
      <c r="B36" s="38" t="s">
        <v>43</v>
      </c>
      <c r="C36" s="37">
        <v>20.49</v>
      </c>
      <c r="D36" s="37">
        <f t="shared" si="3"/>
        <v>61.47</v>
      </c>
      <c r="E36" s="37">
        <f t="shared" si="2"/>
        <v>10.245</v>
      </c>
    </row>
    <row r="37" spans="1:5" ht="15.75">
      <c r="A37" s="36">
        <v>2223</v>
      </c>
      <c r="B37" s="38" t="s">
        <v>44</v>
      </c>
      <c r="C37" s="37">
        <v>32.87</v>
      </c>
      <c r="D37" s="37">
        <f t="shared" si="3"/>
        <v>98.60999999999999</v>
      </c>
      <c r="E37" s="37">
        <f t="shared" si="2"/>
        <v>16.435</v>
      </c>
    </row>
    <row r="38" spans="1:5" ht="15.75">
      <c r="A38" s="36">
        <v>2230</v>
      </c>
      <c r="B38" s="38" t="s">
        <v>45</v>
      </c>
      <c r="C38" s="37">
        <v>6.73</v>
      </c>
      <c r="D38" s="37">
        <f t="shared" si="3"/>
        <v>20.19</v>
      </c>
      <c r="E38" s="37">
        <f t="shared" si="2"/>
        <v>3.365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2</v>
      </c>
      <c r="D40" s="37">
        <f t="shared" si="3"/>
        <v>6</v>
      </c>
      <c r="E40" s="37">
        <f t="shared" si="2"/>
        <v>1</v>
      </c>
    </row>
    <row r="41" spans="1:5" ht="15.75">
      <c r="A41" s="36">
        <v>2243</v>
      </c>
      <c r="B41" s="38" t="s">
        <v>15</v>
      </c>
      <c r="C41" s="37">
        <v>9.94</v>
      </c>
      <c r="D41" s="37">
        <f t="shared" si="3"/>
        <v>29.82</v>
      </c>
      <c r="E41" s="37">
        <f t="shared" si="2"/>
        <v>4.97</v>
      </c>
    </row>
    <row r="42" spans="1:5" ht="15.75">
      <c r="A42" s="36">
        <v>2244</v>
      </c>
      <c r="B42" s="38" t="s">
        <v>16</v>
      </c>
      <c r="C42" s="37">
        <v>156.66</v>
      </c>
      <c r="D42" s="37">
        <f t="shared" si="3"/>
        <v>469.98</v>
      </c>
      <c r="E42" s="37">
        <v>121.77</v>
      </c>
    </row>
    <row r="43" spans="1:5" ht="15.75">
      <c r="A43" s="36">
        <v>2247</v>
      </c>
      <c r="B43" s="34" t="s">
        <v>93</v>
      </c>
      <c r="C43" s="37">
        <v>0.53</v>
      </c>
      <c r="D43" s="37">
        <f t="shared" si="3"/>
        <v>1.59</v>
      </c>
      <c r="E43" s="37">
        <f t="shared" si="2"/>
        <v>0.265</v>
      </c>
    </row>
    <row r="44" spans="1:5" ht="15.75">
      <c r="A44" s="36">
        <v>2249</v>
      </c>
      <c r="B44" s="38" t="s">
        <v>17</v>
      </c>
      <c r="C44" s="37">
        <v>2.31</v>
      </c>
      <c r="D44" s="37">
        <f t="shared" si="3"/>
        <v>6.93</v>
      </c>
      <c r="E44" s="37">
        <f t="shared" si="2"/>
        <v>1.155</v>
      </c>
    </row>
    <row r="45" spans="1:5" ht="15.75">
      <c r="A45" s="36">
        <v>2251</v>
      </c>
      <c r="B45" s="38" t="s">
        <v>94</v>
      </c>
      <c r="C45" s="37">
        <v>21.75</v>
      </c>
      <c r="D45" s="37">
        <f t="shared" si="3"/>
        <v>65.25</v>
      </c>
      <c r="E45" s="37">
        <f t="shared" si="2"/>
        <v>10.875</v>
      </c>
    </row>
    <row r="46" spans="1:5" ht="15.75">
      <c r="A46" s="36">
        <v>2252</v>
      </c>
      <c r="B46" s="38" t="s">
        <v>96</v>
      </c>
      <c r="C46" s="37">
        <v>0.29</v>
      </c>
      <c r="D46" s="37">
        <f t="shared" si="3"/>
        <v>0.8699999999999999</v>
      </c>
      <c r="E46" s="37">
        <f t="shared" si="2"/>
        <v>0.145</v>
      </c>
    </row>
    <row r="47" spans="1:5" ht="15.75">
      <c r="A47" s="36">
        <v>2259</v>
      </c>
      <c r="B47" s="38" t="s">
        <v>95</v>
      </c>
      <c r="C47" s="37">
        <v>0.05</v>
      </c>
      <c r="D47" s="37">
        <f t="shared" si="3"/>
        <v>0.15000000000000002</v>
      </c>
      <c r="E47" s="37">
        <f t="shared" si="2"/>
        <v>0.025000000000000005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5.87</v>
      </c>
      <c r="D49" s="37">
        <f t="shared" si="3"/>
        <v>17.61</v>
      </c>
      <c r="E49" s="37">
        <f t="shared" si="2"/>
        <v>2.935</v>
      </c>
    </row>
    <row r="50" spans="1:5" ht="15.75">
      <c r="A50" s="36">
        <v>2263</v>
      </c>
      <c r="B50" s="38" t="s">
        <v>20</v>
      </c>
      <c r="C50" s="37">
        <v>21.63</v>
      </c>
      <c r="D50" s="37">
        <f t="shared" si="3"/>
        <v>64.89</v>
      </c>
      <c r="E50" s="37">
        <f t="shared" si="2"/>
        <v>10.815</v>
      </c>
    </row>
    <row r="51" spans="1:5" ht="15.75">
      <c r="A51" s="36">
        <v>2264</v>
      </c>
      <c r="B51" s="38" t="s">
        <v>21</v>
      </c>
      <c r="C51" s="37">
        <v>0.11</v>
      </c>
      <c r="D51" s="37">
        <f t="shared" si="3"/>
        <v>0.33</v>
      </c>
      <c r="E51" s="37">
        <f t="shared" si="2"/>
        <v>0.055</v>
      </c>
    </row>
    <row r="52" spans="1:5" ht="15.75">
      <c r="A52" s="36">
        <v>2279</v>
      </c>
      <c r="B52" s="38" t="s">
        <v>22</v>
      </c>
      <c r="C52" s="37">
        <v>24.17</v>
      </c>
      <c r="D52" s="37">
        <f t="shared" si="3"/>
        <v>72.51</v>
      </c>
      <c r="E52" s="37">
        <f t="shared" si="2"/>
        <v>12.085</v>
      </c>
    </row>
    <row r="53" spans="1:5" ht="15.75">
      <c r="A53" s="36">
        <v>2311</v>
      </c>
      <c r="B53" s="38" t="s">
        <v>23</v>
      </c>
      <c r="C53" s="37">
        <v>2.28</v>
      </c>
      <c r="D53" s="37">
        <f t="shared" si="3"/>
        <v>6.84</v>
      </c>
      <c r="E53" s="37">
        <f t="shared" si="2"/>
        <v>1.14</v>
      </c>
    </row>
    <row r="54" spans="1:5" ht="15.75">
      <c r="A54" s="36">
        <v>2312</v>
      </c>
      <c r="B54" s="38" t="s">
        <v>24</v>
      </c>
      <c r="C54" s="37">
        <v>4.21</v>
      </c>
      <c r="D54" s="37">
        <f t="shared" si="3"/>
        <v>12.629999999999999</v>
      </c>
      <c r="E54" s="37">
        <f t="shared" si="2"/>
        <v>2.105</v>
      </c>
    </row>
    <row r="55" spans="1:5" ht="15.75">
      <c r="A55" s="36">
        <v>2321</v>
      </c>
      <c r="B55" s="38" t="s">
        <v>25</v>
      </c>
      <c r="C55" s="37">
        <v>89.94</v>
      </c>
      <c r="D55" s="37">
        <f t="shared" si="3"/>
        <v>269.82</v>
      </c>
      <c r="E55" s="37">
        <f t="shared" si="2"/>
        <v>44.97</v>
      </c>
    </row>
    <row r="56" spans="1:5" ht="15.75">
      <c r="A56" s="36">
        <v>2322</v>
      </c>
      <c r="B56" s="38" t="s">
        <v>26</v>
      </c>
      <c r="C56" s="37">
        <v>48.52</v>
      </c>
      <c r="D56" s="37">
        <f t="shared" si="3"/>
        <v>145.56</v>
      </c>
      <c r="E56" s="37">
        <f t="shared" si="2"/>
        <v>24.26</v>
      </c>
    </row>
    <row r="57" spans="1:5" ht="15.75">
      <c r="A57" s="36">
        <v>2341</v>
      </c>
      <c r="B57" s="38" t="s">
        <v>27</v>
      </c>
      <c r="C57" s="37">
        <v>2.12</v>
      </c>
      <c r="D57" s="37">
        <f t="shared" si="3"/>
        <v>6.36</v>
      </c>
      <c r="E57" s="37">
        <f t="shared" si="2"/>
        <v>1.06</v>
      </c>
    </row>
    <row r="58" spans="1:5" ht="15.75">
      <c r="A58" s="36">
        <v>2344</v>
      </c>
      <c r="B58" s="38" t="s">
        <v>28</v>
      </c>
      <c r="C58" s="37">
        <v>0.03</v>
      </c>
      <c r="D58" s="37">
        <f t="shared" si="3"/>
        <v>0.09</v>
      </c>
      <c r="E58" s="37">
        <f t="shared" si="2"/>
        <v>0.015</v>
      </c>
    </row>
    <row r="59" spans="1:5" ht="15.75">
      <c r="A59" s="36">
        <v>2350</v>
      </c>
      <c r="B59" s="38" t="s">
        <v>29</v>
      </c>
      <c r="C59" s="37">
        <v>18</v>
      </c>
      <c r="D59" s="37">
        <f t="shared" si="3"/>
        <v>54</v>
      </c>
      <c r="E59" s="37">
        <f t="shared" si="2"/>
        <v>9</v>
      </c>
    </row>
    <row r="60" spans="1:5" ht="15.75">
      <c r="A60" s="36">
        <v>2361</v>
      </c>
      <c r="B60" s="38" t="s">
        <v>30</v>
      </c>
      <c r="C60" s="37">
        <v>8.72</v>
      </c>
      <c r="D60" s="37">
        <f t="shared" si="3"/>
        <v>26.160000000000004</v>
      </c>
      <c r="E60" s="37">
        <f t="shared" si="2"/>
        <v>4.36</v>
      </c>
    </row>
    <row r="61" spans="1:5" ht="15.75">
      <c r="A61" s="36">
        <v>2362</v>
      </c>
      <c r="B61" s="38" t="s">
        <v>31</v>
      </c>
      <c r="C61" s="37">
        <v>4.54</v>
      </c>
      <c r="D61" s="37">
        <f t="shared" si="3"/>
        <v>13.620000000000001</v>
      </c>
      <c r="E61" s="37">
        <f t="shared" si="2"/>
        <v>2.27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3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0.94</v>
      </c>
      <c r="D64" s="37">
        <f t="shared" si="3"/>
        <v>2.82</v>
      </c>
      <c r="E64" s="37">
        <f t="shared" si="2"/>
        <v>0.47</v>
      </c>
    </row>
    <row r="65" spans="1:5" ht="15.75">
      <c r="A65" s="36">
        <v>2513</v>
      </c>
      <c r="B65" s="38" t="s">
        <v>35</v>
      </c>
      <c r="C65" s="37">
        <v>14.65</v>
      </c>
      <c r="D65" s="37">
        <f t="shared" si="3"/>
        <v>43.95</v>
      </c>
      <c r="E65" s="37">
        <f t="shared" si="2"/>
        <v>7.325</v>
      </c>
    </row>
    <row r="66" spans="1:5" ht="15.75">
      <c r="A66" s="36">
        <v>2515</v>
      </c>
      <c r="B66" s="38" t="s">
        <v>97</v>
      </c>
      <c r="C66" s="37">
        <v>0.65</v>
      </c>
      <c r="D66" s="37">
        <f t="shared" si="3"/>
        <v>1.9500000000000002</v>
      </c>
      <c r="E66" s="37">
        <f t="shared" si="2"/>
        <v>0.325</v>
      </c>
    </row>
    <row r="67" spans="1:5" ht="15.75">
      <c r="A67" s="36">
        <v>2519</v>
      </c>
      <c r="B67" s="38" t="s">
        <v>38</v>
      </c>
      <c r="C67" s="37">
        <v>3.42</v>
      </c>
      <c r="D67" s="37">
        <f t="shared" si="3"/>
        <v>10.26</v>
      </c>
      <c r="E67" s="37">
        <f t="shared" si="2"/>
        <v>1.71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2.76</v>
      </c>
      <c r="D70" s="37">
        <f t="shared" si="3"/>
        <v>8.28</v>
      </c>
      <c r="E70" s="37">
        <f t="shared" si="2"/>
        <v>1.38</v>
      </c>
    </row>
    <row r="71" spans="1:5" ht="15.75">
      <c r="A71" s="36">
        <v>5232</v>
      </c>
      <c r="B71" s="38" t="s">
        <v>37</v>
      </c>
      <c r="C71" s="37">
        <v>56.79</v>
      </c>
      <c r="D71" s="37">
        <f t="shared" si="3"/>
        <v>170.37</v>
      </c>
      <c r="E71" s="37">
        <f t="shared" si="2"/>
        <v>28.395</v>
      </c>
    </row>
    <row r="72" spans="1:5" ht="15.75">
      <c r="A72" s="36">
        <v>5238</v>
      </c>
      <c r="B72" s="38" t="s">
        <v>39</v>
      </c>
      <c r="C72" s="37">
        <v>40.65</v>
      </c>
      <c r="D72" s="37">
        <f t="shared" si="3"/>
        <v>121.94999999999999</v>
      </c>
      <c r="E72" s="37">
        <f t="shared" si="2"/>
        <v>20.325</v>
      </c>
    </row>
    <row r="73" spans="1:5" ht="15.75">
      <c r="A73" s="36">
        <v>5240</v>
      </c>
      <c r="B73" s="38" t="s">
        <v>40</v>
      </c>
      <c r="C73" s="37">
        <v>32.46</v>
      </c>
      <c r="D73" s="37">
        <f>C73*3</f>
        <v>97.38</v>
      </c>
      <c r="E73" s="37">
        <f t="shared" si="2"/>
        <v>16.23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1214.8100000000002</v>
      </c>
      <c r="D75" s="40">
        <f>SUM(D32:D74)</f>
        <v>3644.4300000000007</v>
      </c>
      <c r="E75" s="40">
        <f>SUM(E32:E74)</f>
        <v>650.845</v>
      </c>
    </row>
    <row r="76" spans="1:5" ht="15.75">
      <c r="A76" s="41"/>
      <c r="B76" s="45" t="s">
        <v>48</v>
      </c>
      <c r="C76" s="40">
        <f>C75+C30</f>
        <v>2417.7</v>
      </c>
      <c r="D76" s="40">
        <f>D75+D30</f>
        <v>7683.900000000001</v>
      </c>
      <c r="E76" s="40">
        <f>E75+E30</f>
        <v>1423.095</v>
      </c>
    </row>
    <row r="77" spans="1:5" ht="15.75">
      <c r="A77" s="46"/>
      <c r="B77" s="29"/>
      <c r="C77" s="14"/>
      <c r="D77" s="14"/>
      <c r="E77" s="14"/>
    </row>
    <row r="78" spans="1:5" ht="15.75" customHeight="1">
      <c r="A78" s="142" t="s">
        <v>63</v>
      </c>
      <c r="B78" s="142"/>
      <c r="C78" s="30">
        <v>30</v>
      </c>
      <c r="D78" s="30">
        <v>30</v>
      </c>
      <c r="E78" s="116">
        <v>5</v>
      </c>
    </row>
    <row r="79" spans="1:8" ht="15.75" customHeight="1">
      <c r="A79" s="142" t="s">
        <v>64</v>
      </c>
      <c r="B79" s="142"/>
      <c r="C79" s="48">
        <f>C76/C78</f>
        <v>80.58999999999999</v>
      </c>
      <c r="D79" s="48">
        <f>D76/D78</f>
        <v>256.13</v>
      </c>
      <c r="E79" s="117">
        <f>E76/E78</f>
        <v>284.619</v>
      </c>
      <c r="H79">
        <f>C79*3</f>
        <v>241.76999999999998</v>
      </c>
    </row>
    <row r="80" spans="1:8" ht="15.75">
      <c r="A80" s="18"/>
      <c r="B80" s="18"/>
      <c r="C80" s="18"/>
      <c r="D80" s="18"/>
      <c r="E80" s="47"/>
      <c r="H80">
        <f>E78*H79</f>
        <v>1208.85</v>
      </c>
    </row>
    <row r="81" spans="1:5" ht="15.75" customHeight="1">
      <c r="A81" s="146" t="s">
        <v>56</v>
      </c>
      <c r="B81" s="147"/>
      <c r="C81" s="25">
        <v>80.59</v>
      </c>
      <c r="D81" s="25">
        <v>241.77</v>
      </c>
      <c r="E81" s="50"/>
    </row>
    <row r="82" spans="1:5" ht="15.75" customHeight="1">
      <c r="A82" s="146" t="s">
        <v>85</v>
      </c>
      <c r="B82" s="147"/>
      <c r="C82" s="25">
        <f>C81*3</f>
        <v>241.77</v>
      </c>
      <c r="D82" s="25"/>
      <c r="E82" s="50"/>
    </row>
    <row r="83" spans="1:5" ht="15.75">
      <c r="A83" s="26"/>
      <c r="B83" s="26"/>
      <c r="C83" s="26">
        <f>C82*5</f>
        <v>1208.8500000000001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  <row r="90" ht="12.75">
      <c r="E90" s="69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89"/>
  <sheetViews>
    <sheetView view="pageLayout" zoomScale="90" zoomScalePageLayoutView="90" workbookViewId="0" topLeftCell="A58">
      <selection activeCell="A3" sqref="A3:J3"/>
    </sheetView>
  </sheetViews>
  <sheetFormatPr defaultColWidth="9.140625" defaultRowHeight="12.75"/>
  <cols>
    <col min="1" max="1" width="12.140625" style="11" customWidth="1"/>
    <col min="2" max="2" width="99.7109375" style="11" customWidth="1"/>
    <col min="3" max="4" width="27.57421875" style="11" hidden="1" customWidth="1"/>
    <col min="5" max="5" width="32.00390625" style="11" customWidth="1"/>
  </cols>
  <sheetData>
    <row r="1" spans="1:5" ht="15.75">
      <c r="A1" s="21"/>
      <c r="B1" s="148" t="s">
        <v>53</v>
      </c>
      <c r="C1" s="148"/>
      <c r="D1" s="148"/>
      <c r="E1" s="143"/>
    </row>
    <row r="2" spans="1:5" ht="15.75">
      <c r="A2" s="21"/>
      <c r="B2" s="149" t="s">
        <v>58</v>
      </c>
      <c r="C2" s="149"/>
      <c r="D2" s="149"/>
      <c r="E2" s="150"/>
    </row>
    <row r="3" spans="1:5" ht="15.75">
      <c r="A3" s="21"/>
      <c r="B3" s="19"/>
      <c r="C3" s="19"/>
      <c r="D3" s="19"/>
      <c r="E3" s="120" t="s">
        <v>196</v>
      </c>
    </row>
    <row r="4" spans="1:5" ht="15.75">
      <c r="A4" s="21"/>
      <c r="B4" s="19"/>
      <c r="C4" s="19"/>
      <c r="D4" s="19"/>
      <c r="E4" s="46"/>
    </row>
    <row r="5" spans="1:5" ht="15.75">
      <c r="A5" s="21"/>
      <c r="B5" s="24"/>
      <c r="C5" s="24"/>
      <c r="D5" s="24"/>
      <c r="E5" s="46" t="str">
        <f>'4.3.2.9.'!E5</f>
        <v>2019. gada  15. martā</v>
      </c>
    </row>
    <row r="6" spans="1:5" ht="15.75">
      <c r="A6" s="21"/>
      <c r="B6" s="19"/>
      <c r="C6" s="19"/>
      <c r="D6" s="19"/>
      <c r="E6" s="19"/>
    </row>
    <row r="7" spans="1:5" ht="18.75">
      <c r="A7" s="138" t="s">
        <v>10</v>
      </c>
      <c r="B7" s="138"/>
      <c r="C7" s="138"/>
      <c r="D7" s="138"/>
      <c r="E7" s="138"/>
    </row>
    <row r="8" spans="1:5" ht="15.75">
      <c r="A8" s="57"/>
      <c r="B8" s="57"/>
      <c r="C8" s="57"/>
      <c r="D8" s="57"/>
      <c r="E8" s="14"/>
    </row>
    <row r="9" spans="1:5" ht="15.75" customHeight="1">
      <c r="A9" s="142" t="s">
        <v>1</v>
      </c>
      <c r="B9" s="142"/>
      <c r="C9" s="18"/>
      <c r="D9" s="18"/>
      <c r="E9" s="14"/>
    </row>
    <row r="10" spans="1:5" ht="15.75" customHeight="1">
      <c r="A10" s="142" t="s">
        <v>0</v>
      </c>
      <c r="B10" s="142"/>
      <c r="C10" s="18"/>
      <c r="D10" s="18"/>
      <c r="E10" s="14"/>
    </row>
    <row r="11" spans="1:5" ht="15.75">
      <c r="A11" s="18"/>
      <c r="B11" s="18" t="s">
        <v>49</v>
      </c>
      <c r="C11" s="18"/>
      <c r="D11" s="18"/>
      <c r="E11" s="14"/>
    </row>
    <row r="12" spans="1:5" ht="15.75">
      <c r="A12" s="18"/>
      <c r="B12" s="18" t="s">
        <v>102</v>
      </c>
      <c r="C12" s="18"/>
      <c r="D12" s="18"/>
      <c r="E12" s="23"/>
    </row>
    <row r="13" spans="1:5" ht="15.75">
      <c r="A13" s="18"/>
      <c r="B13" s="142" t="s">
        <v>114</v>
      </c>
      <c r="C13" s="142"/>
      <c r="D13" s="142"/>
      <c r="E13" s="143"/>
    </row>
    <row r="14" spans="1:5" ht="15.75">
      <c r="A14" s="18"/>
      <c r="B14" s="142" t="s">
        <v>166</v>
      </c>
      <c r="C14" s="142"/>
      <c r="D14" s="142"/>
      <c r="E14" s="143"/>
    </row>
    <row r="15" spans="1:5" ht="15.75">
      <c r="A15" s="18" t="s">
        <v>2</v>
      </c>
      <c r="B15" s="18" t="str">
        <f>'4.3.2.9.'!B15</f>
        <v>2019.gadā un turpmāk</v>
      </c>
      <c r="C15" s="18"/>
      <c r="D15" s="18"/>
      <c r="E15" s="14"/>
    </row>
    <row r="16" spans="1:5" ht="47.25">
      <c r="A16" s="65" t="s">
        <v>3</v>
      </c>
      <c r="B16" s="65" t="s">
        <v>4</v>
      </c>
      <c r="C16" s="65"/>
      <c r="D16" s="65"/>
      <c r="E16" s="65" t="s">
        <v>83</v>
      </c>
    </row>
    <row r="17" spans="1:5" ht="15.75">
      <c r="A17" s="31">
        <v>1</v>
      </c>
      <c r="B17" s="32">
        <v>2</v>
      </c>
      <c r="C17" s="32"/>
      <c r="D17" s="32"/>
      <c r="E17" s="32">
        <v>3</v>
      </c>
    </row>
    <row r="18" spans="1:5" ht="15.75">
      <c r="A18" s="33"/>
      <c r="B18" s="34" t="s">
        <v>6</v>
      </c>
      <c r="C18" s="34"/>
      <c r="D18" s="34"/>
      <c r="E18" s="35"/>
    </row>
    <row r="19" spans="1:5" ht="15.75">
      <c r="A19" s="36">
        <v>1100</v>
      </c>
      <c r="B19" s="36" t="s">
        <v>91</v>
      </c>
      <c r="C19" s="37">
        <v>616.84</v>
      </c>
      <c r="D19" s="37">
        <f>1843.06+11.57*30</f>
        <v>2190.16</v>
      </c>
      <c r="E19" s="37">
        <v>435.83</v>
      </c>
    </row>
    <row r="20" spans="1:5" ht="15.75">
      <c r="A20" s="36">
        <v>1200</v>
      </c>
      <c r="B20" s="38" t="s">
        <v>92</v>
      </c>
      <c r="C20" s="37">
        <v>145.51</v>
      </c>
      <c r="D20" s="37">
        <f>443.99+30*2.79</f>
        <v>527.69</v>
      </c>
      <c r="E20" s="37">
        <v>104.99</v>
      </c>
    </row>
    <row r="21" spans="1:5" ht="15.75">
      <c r="A21" s="36">
        <v>2222</v>
      </c>
      <c r="B21" s="38" t="s">
        <v>43</v>
      </c>
      <c r="C21" s="37">
        <v>30.76</v>
      </c>
      <c r="D21" s="37">
        <f aca="true" t="shared" si="0" ref="D21:D29">C21*3</f>
        <v>92.28</v>
      </c>
      <c r="E21" s="37">
        <f aca="true" t="shared" si="1" ref="E21:E27">D21/6</f>
        <v>15.38</v>
      </c>
    </row>
    <row r="22" spans="1:5" ht="15.75">
      <c r="A22" s="36">
        <v>2223</v>
      </c>
      <c r="B22" s="38" t="s">
        <v>44</v>
      </c>
      <c r="C22" s="37">
        <v>33.84</v>
      </c>
      <c r="D22" s="37">
        <f t="shared" si="0"/>
        <v>101.52000000000001</v>
      </c>
      <c r="E22" s="37">
        <f t="shared" si="1"/>
        <v>16.92</v>
      </c>
    </row>
    <row r="23" spans="1:5" ht="15.75">
      <c r="A23" s="36">
        <v>2243</v>
      </c>
      <c r="B23" s="38" t="s">
        <v>15</v>
      </c>
      <c r="C23" s="37">
        <v>11.37</v>
      </c>
      <c r="D23" s="37">
        <f t="shared" si="0"/>
        <v>34.11</v>
      </c>
      <c r="E23" s="37">
        <f t="shared" si="1"/>
        <v>5.685</v>
      </c>
    </row>
    <row r="24" spans="1:5" ht="15.75" hidden="1">
      <c r="A24" s="36">
        <v>2249</v>
      </c>
      <c r="B24" s="38" t="s">
        <v>17</v>
      </c>
      <c r="C24" s="37">
        <v>0</v>
      </c>
      <c r="D24" s="37">
        <f t="shared" si="0"/>
        <v>0</v>
      </c>
      <c r="E24" s="37">
        <f t="shared" si="1"/>
        <v>0</v>
      </c>
    </row>
    <row r="25" spans="1:5" ht="15.75">
      <c r="A25" s="36">
        <v>2321</v>
      </c>
      <c r="B25" s="38" t="s">
        <v>25</v>
      </c>
      <c r="C25" s="37">
        <v>52.52</v>
      </c>
      <c r="D25" s="37">
        <f t="shared" si="0"/>
        <v>157.56</v>
      </c>
      <c r="E25" s="37">
        <f t="shared" si="1"/>
        <v>26.26</v>
      </c>
    </row>
    <row r="26" spans="1:5" ht="15.75">
      <c r="A26" s="36">
        <v>2341</v>
      </c>
      <c r="B26" s="38" t="s">
        <v>27</v>
      </c>
      <c r="C26" s="37">
        <v>52.39</v>
      </c>
      <c r="D26" s="37">
        <f t="shared" si="0"/>
        <v>157.17000000000002</v>
      </c>
      <c r="E26" s="37">
        <f t="shared" si="1"/>
        <v>26.195000000000004</v>
      </c>
    </row>
    <row r="27" spans="1:5" ht="15.75" hidden="1">
      <c r="A27" s="36">
        <v>2350</v>
      </c>
      <c r="B27" s="38" t="s">
        <v>29</v>
      </c>
      <c r="C27" s="37">
        <v>0</v>
      </c>
      <c r="D27" s="37">
        <f t="shared" si="0"/>
        <v>0</v>
      </c>
      <c r="E27" s="37">
        <f t="shared" si="1"/>
        <v>0</v>
      </c>
    </row>
    <row r="28" spans="1:5" ht="15.75">
      <c r="A28" s="36">
        <v>2363</v>
      </c>
      <c r="B28" s="38" t="s">
        <v>32</v>
      </c>
      <c r="C28" s="37">
        <v>221.4</v>
      </c>
      <c r="D28" s="37">
        <f t="shared" si="0"/>
        <v>664.2</v>
      </c>
      <c r="E28" s="37">
        <v>121.8</v>
      </c>
    </row>
    <row r="29" spans="1:5" ht="15.75">
      <c r="A29" s="36">
        <v>5232</v>
      </c>
      <c r="B29" s="38" t="s">
        <v>37</v>
      </c>
      <c r="C29" s="37">
        <v>13</v>
      </c>
      <c r="D29" s="37">
        <f t="shared" si="0"/>
        <v>39</v>
      </c>
      <c r="E29" s="37">
        <f>D29/6</f>
        <v>6.5</v>
      </c>
    </row>
    <row r="30" spans="1:5" ht="15.75">
      <c r="A30" s="36"/>
      <c r="B30" s="39" t="s">
        <v>7</v>
      </c>
      <c r="C30" s="40">
        <f>SUM(C19:C29)</f>
        <v>1177.63</v>
      </c>
      <c r="D30" s="40">
        <f>SUM(D19:D29)</f>
        <v>3963.6900000000005</v>
      </c>
      <c r="E30" s="40">
        <f>SUM(E19:E29)</f>
        <v>759.5599999999998</v>
      </c>
    </row>
    <row r="31" spans="1:5" ht="15.75">
      <c r="A31" s="41"/>
      <c r="B31" s="36" t="s">
        <v>8</v>
      </c>
      <c r="C31" s="35"/>
      <c r="D31" s="35"/>
      <c r="E31" s="35"/>
    </row>
    <row r="32" spans="1:5" ht="15.75">
      <c r="A32" s="36">
        <v>1100</v>
      </c>
      <c r="B32" s="36" t="s">
        <v>91</v>
      </c>
      <c r="C32" s="37">
        <v>449.46</v>
      </c>
      <c r="D32" s="37">
        <v>1342.88</v>
      </c>
      <c r="E32" s="37">
        <f aca="true" t="shared" si="2" ref="E32:E73">D32/6</f>
        <v>223.81333333333336</v>
      </c>
    </row>
    <row r="33" spans="1:5" ht="15.75">
      <c r="A33" s="36">
        <v>1200</v>
      </c>
      <c r="B33" s="38" t="s">
        <v>92</v>
      </c>
      <c r="C33" s="37">
        <v>106</v>
      </c>
      <c r="D33" s="37">
        <v>323.5</v>
      </c>
      <c r="E33" s="37">
        <f t="shared" si="2"/>
        <v>53.916666666666664</v>
      </c>
    </row>
    <row r="34" spans="1:5" ht="15.75" hidden="1">
      <c r="A34" s="36">
        <v>2100</v>
      </c>
      <c r="B34" s="42" t="s">
        <v>46</v>
      </c>
      <c r="C34" s="37">
        <v>0</v>
      </c>
      <c r="D34" s="37">
        <f aca="true" t="shared" si="3" ref="D34:D73">C34*3</f>
        <v>0</v>
      </c>
      <c r="E34" s="37">
        <f t="shared" si="2"/>
        <v>0</v>
      </c>
    </row>
    <row r="35" spans="1:5" ht="15.75">
      <c r="A35" s="43">
        <v>2210</v>
      </c>
      <c r="B35" s="38" t="s">
        <v>42</v>
      </c>
      <c r="C35" s="37">
        <v>8.48</v>
      </c>
      <c r="D35" s="37">
        <f t="shared" si="3"/>
        <v>25.44</v>
      </c>
      <c r="E35" s="37">
        <f t="shared" si="2"/>
        <v>4.24</v>
      </c>
    </row>
    <row r="36" spans="1:5" ht="15.75">
      <c r="A36" s="36">
        <v>2222</v>
      </c>
      <c r="B36" s="38" t="s">
        <v>43</v>
      </c>
      <c r="C36" s="37">
        <v>21.02</v>
      </c>
      <c r="D36" s="37">
        <f t="shared" si="3"/>
        <v>63.06</v>
      </c>
      <c r="E36" s="37">
        <f t="shared" si="2"/>
        <v>10.51</v>
      </c>
    </row>
    <row r="37" spans="1:5" ht="15.75">
      <c r="A37" s="36">
        <v>2223</v>
      </c>
      <c r="B37" s="38" t="s">
        <v>44</v>
      </c>
      <c r="C37" s="37">
        <v>33.07</v>
      </c>
      <c r="D37" s="37">
        <f t="shared" si="3"/>
        <v>99.21000000000001</v>
      </c>
      <c r="E37" s="37">
        <f t="shared" si="2"/>
        <v>16.535</v>
      </c>
    </row>
    <row r="38" spans="1:5" ht="15.75">
      <c r="A38" s="36">
        <v>2230</v>
      </c>
      <c r="B38" s="38" t="s">
        <v>45</v>
      </c>
      <c r="C38" s="37">
        <v>6.56</v>
      </c>
      <c r="D38" s="37">
        <f t="shared" si="3"/>
        <v>19.68</v>
      </c>
      <c r="E38" s="37">
        <f t="shared" si="2"/>
        <v>3.28</v>
      </c>
    </row>
    <row r="39" spans="1:5" ht="15.75" hidden="1">
      <c r="A39" s="36">
        <v>2241</v>
      </c>
      <c r="B39" s="38" t="s">
        <v>13</v>
      </c>
      <c r="C39" s="37">
        <v>0</v>
      </c>
      <c r="D39" s="37">
        <f t="shared" si="3"/>
        <v>0</v>
      </c>
      <c r="E39" s="37">
        <f t="shared" si="2"/>
        <v>0</v>
      </c>
    </row>
    <row r="40" spans="1:5" ht="15.75">
      <c r="A40" s="36">
        <v>2242</v>
      </c>
      <c r="B40" s="38" t="s">
        <v>14</v>
      </c>
      <c r="C40" s="37">
        <v>1.95</v>
      </c>
      <c r="D40" s="37">
        <f t="shared" si="3"/>
        <v>5.85</v>
      </c>
      <c r="E40" s="37">
        <f t="shared" si="2"/>
        <v>0.975</v>
      </c>
    </row>
    <row r="41" spans="1:5" ht="15.75">
      <c r="A41" s="36">
        <v>2243</v>
      </c>
      <c r="B41" s="38" t="s">
        <v>15</v>
      </c>
      <c r="C41" s="37">
        <v>9.68</v>
      </c>
      <c r="D41" s="37">
        <f t="shared" si="3"/>
        <v>29.04</v>
      </c>
      <c r="E41" s="37">
        <f t="shared" si="2"/>
        <v>4.84</v>
      </c>
    </row>
    <row r="42" spans="1:5" ht="15.75">
      <c r="A42" s="36">
        <v>2244</v>
      </c>
      <c r="B42" s="38" t="s">
        <v>16</v>
      </c>
      <c r="C42" s="37">
        <v>154.63</v>
      </c>
      <c r="D42" s="37">
        <f t="shared" si="3"/>
        <v>463.89</v>
      </c>
      <c r="E42" s="37">
        <v>115.87</v>
      </c>
    </row>
    <row r="43" spans="1:5" ht="15.75">
      <c r="A43" s="36">
        <v>2247</v>
      </c>
      <c r="B43" s="34" t="s">
        <v>93</v>
      </c>
      <c r="C43" s="37">
        <v>0.52</v>
      </c>
      <c r="D43" s="37">
        <f t="shared" si="3"/>
        <v>1.56</v>
      </c>
      <c r="E43" s="37">
        <f t="shared" si="2"/>
        <v>0.26</v>
      </c>
    </row>
    <row r="44" spans="1:5" ht="15.75">
      <c r="A44" s="36">
        <v>2249</v>
      </c>
      <c r="B44" s="38" t="s">
        <v>17</v>
      </c>
      <c r="C44" s="37">
        <v>2.25</v>
      </c>
      <c r="D44" s="37">
        <f t="shared" si="3"/>
        <v>6.75</v>
      </c>
      <c r="E44" s="37">
        <f t="shared" si="2"/>
        <v>1.125</v>
      </c>
    </row>
    <row r="45" spans="1:5" ht="15.75">
      <c r="A45" s="36">
        <v>2251</v>
      </c>
      <c r="B45" s="38" t="s">
        <v>94</v>
      </c>
      <c r="C45" s="37">
        <v>21.19</v>
      </c>
      <c r="D45" s="37">
        <f t="shared" si="3"/>
        <v>63.57000000000001</v>
      </c>
      <c r="E45" s="37">
        <f t="shared" si="2"/>
        <v>10.595</v>
      </c>
    </row>
    <row r="46" spans="1:5" ht="15.75">
      <c r="A46" s="36">
        <v>2252</v>
      </c>
      <c r="B46" s="38" t="s">
        <v>96</v>
      </c>
      <c r="C46" s="37">
        <v>0.28</v>
      </c>
      <c r="D46" s="37">
        <f t="shared" si="3"/>
        <v>0.8400000000000001</v>
      </c>
      <c r="E46" s="37">
        <f t="shared" si="2"/>
        <v>0.14</v>
      </c>
    </row>
    <row r="47" spans="1:5" ht="15.75">
      <c r="A47" s="36">
        <v>2259</v>
      </c>
      <c r="B47" s="38" t="s">
        <v>95</v>
      </c>
      <c r="C47" s="37">
        <v>0.04</v>
      </c>
      <c r="D47" s="37">
        <f t="shared" si="3"/>
        <v>0.12</v>
      </c>
      <c r="E47" s="37">
        <f t="shared" si="2"/>
        <v>0.02</v>
      </c>
    </row>
    <row r="48" spans="1:5" ht="15.75" hidden="1">
      <c r="A48" s="36">
        <v>2261</v>
      </c>
      <c r="B48" s="38" t="s">
        <v>18</v>
      </c>
      <c r="C48" s="37">
        <v>0</v>
      </c>
      <c r="D48" s="37">
        <f t="shared" si="3"/>
        <v>0</v>
      </c>
      <c r="E48" s="37">
        <f t="shared" si="2"/>
        <v>0</v>
      </c>
    </row>
    <row r="49" spans="1:5" ht="15.75">
      <c r="A49" s="36">
        <v>2262</v>
      </c>
      <c r="B49" s="38" t="s">
        <v>19</v>
      </c>
      <c r="C49" s="37">
        <v>5.71</v>
      </c>
      <c r="D49" s="37">
        <f t="shared" si="3"/>
        <v>17.13</v>
      </c>
      <c r="E49" s="37">
        <f t="shared" si="2"/>
        <v>2.855</v>
      </c>
    </row>
    <row r="50" spans="1:5" ht="15.75">
      <c r="A50" s="36">
        <v>2263</v>
      </c>
      <c r="B50" s="38" t="s">
        <v>20</v>
      </c>
      <c r="C50" s="37">
        <v>21.08</v>
      </c>
      <c r="D50" s="37">
        <f t="shared" si="3"/>
        <v>63.239999999999995</v>
      </c>
      <c r="E50" s="37">
        <f t="shared" si="2"/>
        <v>10.54</v>
      </c>
    </row>
    <row r="51" spans="1:5" ht="15.75">
      <c r="A51" s="36">
        <v>2264</v>
      </c>
      <c r="B51" s="38" t="s">
        <v>21</v>
      </c>
      <c r="C51" s="37">
        <v>0.11</v>
      </c>
      <c r="D51" s="37">
        <f t="shared" si="3"/>
        <v>0.33</v>
      </c>
      <c r="E51" s="37">
        <f t="shared" si="2"/>
        <v>0.055</v>
      </c>
    </row>
    <row r="52" spans="1:5" ht="15.75">
      <c r="A52" s="36">
        <v>2279</v>
      </c>
      <c r="B52" s="38" t="s">
        <v>22</v>
      </c>
      <c r="C52" s="37">
        <v>23.54</v>
      </c>
      <c r="D52" s="37">
        <f t="shared" si="3"/>
        <v>70.62</v>
      </c>
      <c r="E52" s="37">
        <f t="shared" si="2"/>
        <v>11.770000000000001</v>
      </c>
    </row>
    <row r="53" spans="1:5" ht="15.75">
      <c r="A53" s="36">
        <v>2311</v>
      </c>
      <c r="B53" s="38" t="s">
        <v>23</v>
      </c>
      <c r="C53" s="37">
        <v>2.22</v>
      </c>
      <c r="D53" s="37">
        <f t="shared" si="3"/>
        <v>6.66</v>
      </c>
      <c r="E53" s="37">
        <f t="shared" si="2"/>
        <v>1.11</v>
      </c>
    </row>
    <row r="54" spans="1:5" ht="15.75">
      <c r="A54" s="36">
        <v>2312</v>
      </c>
      <c r="B54" s="38" t="s">
        <v>24</v>
      </c>
      <c r="C54" s="37">
        <v>4.1</v>
      </c>
      <c r="D54" s="37">
        <f t="shared" si="3"/>
        <v>12.299999999999999</v>
      </c>
      <c r="E54" s="37">
        <f t="shared" si="2"/>
        <v>2.05</v>
      </c>
    </row>
    <row r="55" spans="1:5" ht="15.75">
      <c r="A55" s="36">
        <v>2321</v>
      </c>
      <c r="B55" s="38" t="s">
        <v>25</v>
      </c>
      <c r="C55" s="37">
        <v>87.63</v>
      </c>
      <c r="D55" s="37">
        <f t="shared" si="3"/>
        <v>262.89</v>
      </c>
      <c r="E55" s="37">
        <f t="shared" si="2"/>
        <v>43.815</v>
      </c>
    </row>
    <row r="56" spans="1:5" ht="15.75">
      <c r="A56" s="36">
        <v>2322</v>
      </c>
      <c r="B56" s="38" t="s">
        <v>26</v>
      </c>
      <c r="C56" s="37">
        <v>47.71</v>
      </c>
      <c r="D56" s="37">
        <f t="shared" si="3"/>
        <v>143.13</v>
      </c>
      <c r="E56" s="37">
        <f t="shared" si="2"/>
        <v>23.855</v>
      </c>
    </row>
    <row r="57" spans="1:5" ht="15.75">
      <c r="A57" s="36">
        <v>2341</v>
      </c>
      <c r="B57" s="38" t="s">
        <v>27</v>
      </c>
      <c r="C57" s="37">
        <v>2.07</v>
      </c>
      <c r="D57" s="37">
        <f t="shared" si="3"/>
        <v>6.209999999999999</v>
      </c>
      <c r="E57" s="37">
        <f t="shared" si="2"/>
        <v>1.035</v>
      </c>
    </row>
    <row r="58" spans="1:5" ht="15.75">
      <c r="A58" s="36">
        <v>2344</v>
      </c>
      <c r="B58" s="38" t="s">
        <v>28</v>
      </c>
      <c r="C58" s="37">
        <v>0.03</v>
      </c>
      <c r="D58" s="37">
        <f t="shared" si="3"/>
        <v>0.09</v>
      </c>
      <c r="E58" s="37">
        <f t="shared" si="2"/>
        <v>0.015</v>
      </c>
    </row>
    <row r="59" spans="1:5" ht="15.75">
      <c r="A59" s="36">
        <v>2350</v>
      </c>
      <c r="B59" s="38" t="s">
        <v>29</v>
      </c>
      <c r="C59" s="37">
        <v>17.54</v>
      </c>
      <c r="D59" s="37">
        <f t="shared" si="3"/>
        <v>52.62</v>
      </c>
      <c r="E59" s="37">
        <f t="shared" si="2"/>
        <v>8.77</v>
      </c>
    </row>
    <row r="60" spans="1:5" ht="15.75">
      <c r="A60" s="36">
        <v>2361</v>
      </c>
      <c r="B60" s="38" t="s">
        <v>30</v>
      </c>
      <c r="C60" s="37">
        <v>8.5</v>
      </c>
      <c r="D60" s="37">
        <f t="shared" si="3"/>
        <v>25.5</v>
      </c>
      <c r="E60" s="37">
        <f t="shared" si="2"/>
        <v>4.25</v>
      </c>
    </row>
    <row r="61" spans="1:5" ht="15.75">
      <c r="A61" s="36">
        <v>2362</v>
      </c>
      <c r="B61" s="38" t="s">
        <v>31</v>
      </c>
      <c r="C61" s="37">
        <v>4.42</v>
      </c>
      <c r="D61" s="37">
        <f t="shared" si="3"/>
        <v>13.26</v>
      </c>
      <c r="E61" s="37">
        <f t="shared" si="2"/>
        <v>2.21</v>
      </c>
    </row>
    <row r="62" spans="1:5" ht="15.75" hidden="1">
      <c r="A62" s="36">
        <v>2363</v>
      </c>
      <c r="B62" s="38" t="s">
        <v>32</v>
      </c>
      <c r="C62" s="37">
        <v>0</v>
      </c>
      <c r="D62" s="37">
        <f t="shared" si="3"/>
        <v>0</v>
      </c>
      <c r="E62" s="37">
        <f t="shared" si="2"/>
        <v>0</v>
      </c>
    </row>
    <row r="63" spans="1:5" ht="15.75" hidden="1">
      <c r="A63" s="36">
        <v>2370</v>
      </c>
      <c r="B63" s="38" t="s">
        <v>33</v>
      </c>
      <c r="C63" s="37">
        <v>0</v>
      </c>
      <c r="D63" s="37">
        <f t="shared" si="3"/>
        <v>0</v>
      </c>
      <c r="E63" s="37">
        <f t="shared" si="2"/>
        <v>0</v>
      </c>
    </row>
    <row r="64" spans="1:5" ht="15.75">
      <c r="A64" s="36">
        <v>2400</v>
      </c>
      <c r="B64" s="38" t="s">
        <v>47</v>
      </c>
      <c r="C64" s="37">
        <v>0.91</v>
      </c>
      <c r="D64" s="37">
        <f t="shared" si="3"/>
        <v>2.73</v>
      </c>
      <c r="E64" s="37">
        <f t="shared" si="2"/>
        <v>0.455</v>
      </c>
    </row>
    <row r="65" spans="1:5" ht="15.75">
      <c r="A65" s="36">
        <v>2513</v>
      </c>
      <c r="B65" s="38" t="s">
        <v>35</v>
      </c>
      <c r="C65" s="37">
        <v>14.27</v>
      </c>
      <c r="D65" s="37">
        <f t="shared" si="3"/>
        <v>42.81</v>
      </c>
      <c r="E65" s="37">
        <f t="shared" si="2"/>
        <v>7.135000000000001</v>
      </c>
    </row>
    <row r="66" spans="1:5" ht="15.75">
      <c r="A66" s="36">
        <v>2515</v>
      </c>
      <c r="B66" s="38" t="s">
        <v>97</v>
      </c>
      <c r="C66" s="37">
        <v>0.63</v>
      </c>
      <c r="D66" s="37">
        <f t="shared" si="3"/>
        <v>1.8900000000000001</v>
      </c>
      <c r="E66" s="37">
        <f t="shared" si="2"/>
        <v>0.315</v>
      </c>
    </row>
    <row r="67" spans="1:5" ht="15.75">
      <c r="A67" s="36">
        <v>2519</v>
      </c>
      <c r="B67" s="38" t="s">
        <v>38</v>
      </c>
      <c r="C67" s="37">
        <v>3.33</v>
      </c>
      <c r="D67" s="37">
        <f t="shared" si="3"/>
        <v>9.99</v>
      </c>
      <c r="E67" s="37">
        <f t="shared" si="2"/>
        <v>1.665</v>
      </c>
    </row>
    <row r="68" spans="1:5" ht="15.75" hidden="1">
      <c r="A68" s="36">
        <v>6240</v>
      </c>
      <c r="B68" s="38" t="s">
        <v>50</v>
      </c>
      <c r="C68" s="37">
        <v>0</v>
      </c>
      <c r="D68" s="37">
        <f t="shared" si="3"/>
        <v>0</v>
      </c>
      <c r="E68" s="37">
        <f t="shared" si="2"/>
        <v>0</v>
      </c>
    </row>
    <row r="69" spans="1:5" ht="15.75" hidden="1">
      <c r="A69" s="36">
        <v>6290</v>
      </c>
      <c r="B69" s="38" t="s">
        <v>51</v>
      </c>
      <c r="C69" s="37">
        <v>0</v>
      </c>
      <c r="D69" s="37">
        <f t="shared" si="3"/>
        <v>0</v>
      </c>
      <c r="E69" s="37">
        <f t="shared" si="2"/>
        <v>0</v>
      </c>
    </row>
    <row r="70" spans="1:5" ht="15.75">
      <c r="A70" s="36">
        <v>5121</v>
      </c>
      <c r="B70" s="38" t="s">
        <v>36</v>
      </c>
      <c r="C70" s="37">
        <v>2.69</v>
      </c>
      <c r="D70" s="37">
        <f t="shared" si="3"/>
        <v>8.07</v>
      </c>
      <c r="E70" s="37">
        <f t="shared" si="2"/>
        <v>1.345</v>
      </c>
    </row>
    <row r="71" spans="1:5" ht="15.75">
      <c r="A71" s="36">
        <v>5232</v>
      </c>
      <c r="B71" s="38" t="s">
        <v>37</v>
      </c>
      <c r="C71" s="37">
        <v>49.71</v>
      </c>
      <c r="D71" s="37">
        <f t="shared" si="3"/>
        <v>149.13</v>
      </c>
      <c r="E71" s="37">
        <f t="shared" si="2"/>
        <v>24.855</v>
      </c>
    </row>
    <row r="72" spans="1:5" ht="15.75">
      <c r="A72" s="36">
        <v>5238</v>
      </c>
      <c r="B72" s="38" t="s">
        <v>39</v>
      </c>
      <c r="C72" s="37">
        <v>29.86</v>
      </c>
      <c r="D72" s="37">
        <f t="shared" si="3"/>
        <v>89.58</v>
      </c>
      <c r="E72" s="37">
        <f t="shared" si="2"/>
        <v>14.93</v>
      </c>
    </row>
    <row r="73" spans="1:5" ht="15.75">
      <c r="A73" s="36">
        <v>5240</v>
      </c>
      <c r="B73" s="38" t="s">
        <v>40</v>
      </c>
      <c r="C73" s="37">
        <v>22.98</v>
      </c>
      <c r="D73" s="37">
        <f t="shared" si="3"/>
        <v>68.94</v>
      </c>
      <c r="E73" s="37">
        <f t="shared" si="2"/>
        <v>11.49</v>
      </c>
    </row>
    <row r="74" spans="1:5" ht="15.75" hidden="1">
      <c r="A74" s="36">
        <v>5250</v>
      </c>
      <c r="B74" s="38" t="s">
        <v>41</v>
      </c>
      <c r="C74" s="58"/>
      <c r="D74" s="58"/>
      <c r="E74" s="58"/>
    </row>
    <row r="75" spans="1:5" ht="15.75">
      <c r="A75" s="41"/>
      <c r="B75" s="45" t="s">
        <v>9</v>
      </c>
      <c r="C75" s="40">
        <f>SUM(C32:C74)</f>
        <v>1164.1700000000003</v>
      </c>
      <c r="D75" s="40">
        <f>SUM(D32:D74)</f>
        <v>3492.51</v>
      </c>
      <c r="E75" s="40">
        <f>SUM(E32:E74)</f>
        <v>620.6400000000001</v>
      </c>
    </row>
    <row r="76" spans="1:5" ht="15.75">
      <c r="A76" s="41"/>
      <c r="B76" s="45" t="s">
        <v>48</v>
      </c>
      <c r="C76" s="40">
        <f>C75+C30</f>
        <v>2341.8</v>
      </c>
      <c r="D76" s="40">
        <f>D75+D30</f>
        <v>7456.200000000001</v>
      </c>
      <c r="E76" s="40">
        <f>E75+E30</f>
        <v>1380.1999999999998</v>
      </c>
    </row>
    <row r="77" spans="1:5" ht="15.75">
      <c r="A77" s="46"/>
      <c r="B77" s="29"/>
      <c r="C77" s="14"/>
      <c r="D77" s="14"/>
      <c r="E77" s="14"/>
    </row>
    <row r="78" spans="1:5" ht="15.75" customHeight="1">
      <c r="A78" s="142" t="s">
        <v>63</v>
      </c>
      <c r="B78" s="142"/>
      <c r="C78" s="30">
        <v>30</v>
      </c>
      <c r="D78" s="30">
        <v>30</v>
      </c>
      <c r="E78" s="116">
        <v>5</v>
      </c>
    </row>
    <row r="79" spans="1:5" ht="15.75" customHeight="1">
      <c r="A79" s="142" t="s">
        <v>64</v>
      </c>
      <c r="B79" s="142"/>
      <c r="C79" s="48">
        <f>C76/C78</f>
        <v>78.06</v>
      </c>
      <c r="D79" s="48">
        <f>D76/D78</f>
        <v>248.54000000000002</v>
      </c>
      <c r="E79" s="117">
        <f>E76/E78</f>
        <v>276.03999999999996</v>
      </c>
    </row>
    <row r="80" spans="1:5" ht="15.75">
      <c r="A80" s="18"/>
      <c r="B80" s="18"/>
      <c r="C80" s="47"/>
      <c r="D80" s="47"/>
      <c r="E80" s="47"/>
    </row>
    <row r="81" spans="1:5" ht="15.75" customHeight="1">
      <c r="A81" s="146" t="s">
        <v>56</v>
      </c>
      <c r="B81" s="147"/>
      <c r="C81" s="25">
        <v>78.06</v>
      </c>
      <c r="D81" s="25">
        <v>234.18</v>
      </c>
      <c r="E81" s="50"/>
    </row>
    <row r="82" spans="1:5" ht="15.75" customHeight="1">
      <c r="A82" s="146" t="s">
        <v>85</v>
      </c>
      <c r="B82" s="147"/>
      <c r="C82" s="25">
        <f>C81*3</f>
        <v>234.18</v>
      </c>
      <c r="D82" s="25"/>
      <c r="E82" s="50"/>
    </row>
    <row r="83" spans="1:5" ht="15.75">
      <c r="A83" s="26"/>
      <c r="B83" s="26"/>
      <c r="C83" s="26">
        <f>C82*5</f>
        <v>1170.9</v>
      </c>
      <c r="D83" s="26"/>
      <c r="E83" s="26"/>
    </row>
    <row r="84" spans="1:5" ht="15.75">
      <c r="A84" s="26" t="s">
        <v>57</v>
      </c>
      <c r="B84" s="26"/>
      <c r="C84" s="26"/>
      <c r="D84" s="26"/>
      <c r="E84" s="26"/>
    </row>
    <row r="85" spans="1:5" ht="15.75">
      <c r="A85" s="26"/>
      <c r="B85" s="26"/>
      <c r="C85" s="26"/>
      <c r="D85" s="26"/>
      <c r="E85" s="26"/>
    </row>
    <row r="86" spans="1:5" ht="15.75">
      <c r="A86" s="26" t="s">
        <v>78</v>
      </c>
      <c r="B86" s="27"/>
      <c r="C86" s="27"/>
      <c r="D86" s="27"/>
      <c r="E86" s="27"/>
    </row>
    <row r="87" spans="1:5" ht="15.75">
      <c r="A87" s="26"/>
      <c r="B87" s="28"/>
      <c r="C87" s="28"/>
      <c r="D87" s="28"/>
      <c r="E87" s="26"/>
    </row>
    <row r="88" spans="1:5" ht="15">
      <c r="A88" s="7"/>
      <c r="B88" s="8"/>
      <c r="C88" s="8"/>
      <c r="D88" s="8"/>
      <c r="E88" s="7"/>
    </row>
    <row r="89" spans="1:5" ht="14.25">
      <c r="A89" s="3"/>
      <c r="B89" s="3"/>
      <c r="C89" s="3"/>
      <c r="D89" s="3"/>
      <c r="E89" s="3"/>
    </row>
  </sheetData>
  <sheetProtection/>
  <mergeCells count="11">
    <mergeCell ref="B13:E13"/>
    <mergeCell ref="B14:E14"/>
    <mergeCell ref="A78:B78"/>
    <mergeCell ref="A79:B79"/>
    <mergeCell ref="A81:B81"/>
    <mergeCell ref="A82:B82"/>
    <mergeCell ref="B1:E1"/>
    <mergeCell ref="B2:E2"/>
    <mergeCell ref="A7:E7"/>
    <mergeCell ref="A9:B9"/>
    <mergeCell ref="A10:B10"/>
  </mergeCells>
  <printOptions/>
  <pageMargins left="0.7086614173228347" right="0.4724409448818898" top="0.984251968503937" bottom="0.7480314960629921" header="0.31496062992125984" footer="0.31496062992125984"/>
  <pageSetup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="90" zoomScalePageLayoutView="90" workbookViewId="0" topLeftCell="A1">
      <selection activeCell="A3" sqref="A3:J3"/>
    </sheetView>
  </sheetViews>
  <sheetFormatPr defaultColWidth="9.140625" defaultRowHeight="12.75"/>
  <cols>
    <col min="1" max="1" width="12.00390625" style="3" customWidth="1"/>
    <col min="2" max="2" width="94.57421875" style="3" customWidth="1"/>
    <col min="3" max="3" width="32.57421875" style="3" hidden="1" customWidth="1"/>
    <col min="4" max="4" width="31.28125" style="3" bestFit="1" customWidth="1"/>
  </cols>
  <sheetData>
    <row r="1" spans="1:4" ht="15.75">
      <c r="A1" s="9"/>
      <c r="B1" s="148" t="s">
        <v>53</v>
      </c>
      <c r="C1" s="148"/>
      <c r="D1" s="143"/>
    </row>
    <row r="2" spans="1:4" ht="15.75">
      <c r="A2" s="9"/>
      <c r="B2" s="149" t="s">
        <v>58</v>
      </c>
      <c r="C2" s="149"/>
      <c r="D2" s="150"/>
    </row>
    <row r="3" spans="1:4" ht="15.75">
      <c r="A3" s="9"/>
      <c r="B3" s="19"/>
      <c r="C3" s="19"/>
      <c r="D3" s="120" t="s">
        <v>196</v>
      </c>
    </row>
    <row r="4" spans="1:4" ht="15.75">
      <c r="A4" s="9"/>
      <c r="B4" s="19"/>
      <c r="C4" s="19"/>
      <c r="D4" s="46"/>
    </row>
    <row r="5" spans="1:4" ht="15.75">
      <c r="A5" s="9"/>
      <c r="B5" s="24"/>
      <c r="C5" s="24"/>
      <c r="D5" s="46" t="s">
        <v>197</v>
      </c>
    </row>
    <row r="6" spans="1:4" ht="18.75">
      <c r="A6" s="138" t="s">
        <v>10</v>
      </c>
      <c r="B6" s="138"/>
      <c r="C6" s="138"/>
      <c r="D6" s="138"/>
    </row>
    <row r="7" spans="1:4" ht="15.75">
      <c r="A7" s="142" t="s">
        <v>1</v>
      </c>
      <c r="B7" s="142"/>
      <c r="C7" s="18"/>
      <c r="D7" s="14"/>
    </row>
    <row r="8" spans="1:4" ht="15.75">
      <c r="A8" s="142" t="s">
        <v>0</v>
      </c>
      <c r="B8" s="142"/>
      <c r="C8" s="18"/>
      <c r="D8" s="14"/>
    </row>
    <row r="9" spans="1:4" ht="15.75">
      <c r="A9" s="18"/>
      <c r="B9" s="18" t="s">
        <v>49</v>
      </c>
      <c r="C9" s="18"/>
      <c r="D9" s="14"/>
    </row>
    <row r="10" spans="1:4" ht="15.75">
      <c r="A10" s="18"/>
      <c r="B10" s="18" t="s">
        <v>75</v>
      </c>
      <c r="C10" s="18"/>
      <c r="D10" s="23"/>
    </row>
    <row r="11" spans="1:4" ht="15.75" customHeight="1">
      <c r="A11" s="18"/>
      <c r="B11" s="142" t="s">
        <v>76</v>
      </c>
      <c r="C11" s="142"/>
      <c r="D11" s="142"/>
    </row>
    <row r="12" spans="1:4" ht="15.75" customHeight="1">
      <c r="A12" s="18"/>
      <c r="B12" s="142" t="s">
        <v>170</v>
      </c>
      <c r="C12" s="142"/>
      <c r="D12" s="145"/>
    </row>
    <row r="13" spans="1:4" ht="15.75">
      <c r="A13" s="18"/>
      <c r="B13" s="142" t="s">
        <v>172</v>
      </c>
      <c r="C13" s="142"/>
      <c r="D13" s="143"/>
    </row>
    <row r="14" spans="1:4" ht="15.75">
      <c r="A14" s="18" t="s">
        <v>2</v>
      </c>
      <c r="B14" s="18" t="str">
        <f>'4.1.1.2.1.'!B16</f>
        <v>2019.gadā un turpmāk</v>
      </c>
      <c r="C14" s="18"/>
      <c r="D14" s="14"/>
    </row>
    <row r="15" spans="1:4" ht="47.25">
      <c r="A15" s="65" t="s">
        <v>3</v>
      </c>
      <c r="B15" s="65" t="s">
        <v>4</v>
      </c>
      <c r="C15" s="65"/>
      <c r="D15" s="65" t="s">
        <v>83</v>
      </c>
    </row>
    <row r="16" spans="1:4" ht="15.75">
      <c r="A16" s="31">
        <v>1</v>
      </c>
      <c r="B16" s="32">
        <v>2</v>
      </c>
      <c r="C16" s="32"/>
      <c r="D16" s="32">
        <v>3</v>
      </c>
    </row>
    <row r="17" spans="1:6" ht="15.75">
      <c r="A17" s="33"/>
      <c r="B17" s="34" t="s">
        <v>6</v>
      </c>
      <c r="C17" s="34"/>
      <c r="D17" s="35"/>
      <c r="E17" s="126"/>
      <c r="F17" s="126"/>
    </row>
    <row r="18" spans="1:6" ht="15.75">
      <c r="A18" s="36">
        <v>1100</v>
      </c>
      <c r="B18" s="36" t="s">
        <v>91</v>
      </c>
      <c r="C18" s="37">
        <f>1532.22+100*2.72</f>
        <v>1804.22</v>
      </c>
      <c r="D18" s="37">
        <v>1084.5</v>
      </c>
      <c r="F18" s="126"/>
    </row>
    <row r="19" spans="1:4" ht="15" customHeight="1">
      <c r="A19" s="36">
        <v>1200</v>
      </c>
      <c r="B19" s="38" t="s">
        <v>92</v>
      </c>
      <c r="C19" s="37">
        <f>369.11+100*0.66</f>
        <v>435.11</v>
      </c>
      <c r="D19" s="37">
        <v>261.26</v>
      </c>
    </row>
    <row r="20" spans="1:4" ht="15.75">
      <c r="A20" s="36">
        <v>2222</v>
      </c>
      <c r="B20" s="38" t="s">
        <v>43</v>
      </c>
      <c r="C20" s="37">
        <v>111.24</v>
      </c>
      <c r="D20" s="37">
        <f aca="true" t="shared" si="0" ref="D20:D28">C20/100*50</f>
        <v>55.620000000000005</v>
      </c>
    </row>
    <row r="21" spans="1:4" ht="15.75">
      <c r="A21" s="36">
        <v>2223</v>
      </c>
      <c r="B21" s="38" t="s">
        <v>44</v>
      </c>
      <c r="C21" s="37">
        <v>132.56</v>
      </c>
      <c r="D21" s="37">
        <f t="shared" si="0"/>
        <v>66.28</v>
      </c>
    </row>
    <row r="22" spans="1:4" ht="15.75">
      <c r="A22" s="36">
        <v>2243</v>
      </c>
      <c r="B22" s="38" t="s">
        <v>15</v>
      </c>
      <c r="C22" s="37">
        <v>28.39</v>
      </c>
      <c r="D22" s="37">
        <f t="shared" si="0"/>
        <v>14.194999999999999</v>
      </c>
    </row>
    <row r="23" spans="1:4" ht="15.75" hidden="1">
      <c r="A23" s="36">
        <v>2249</v>
      </c>
      <c r="B23" s="38" t="s">
        <v>17</v>
      </c>
      <c r="C23" s="37">
        <v>0</v>
      </c>
      <c r="D23" s="37">
        <f t="shared" si="0"/>
        <v>0</v>
      </c>
    </row>
    <row r="24" spans="1:4" ht="15.75">
      <c r="A24" s="36">
        <v>2321</v>
      </c>
      <c r="B24" s="38" t="s">
        <v>25</v>
      </c>
      <c r="C24" s="37">
        <v>156.25</v>
      </c>
      <c r="D24" s="37">
        <f t="shared" si="0"/>
        <v>78.125</v>
      </c>
    </row>
    <row r="25" spans="1:4" ht="15.75">
      <c r="A25" s="36">
        <v>2341</v>
      </c>
      <c r="B25" s="38" t="s">
        <v>27</v>
      </c>
      <c r="C25" s="37">
        <v>225.9</v>
      </c>
      <c r="D25" s="37">
        <f t="shared" si="0"/>
        <v>112.94999999999999</v>
      </c>
    </row>
    <row r="26" spans="1:4" ht="15.75" hidden="1">
      <c r="A26" s="36">
        <v>2350</v>
      </c>
      <c r="B26" s="38" t="s">
        <v>29</v>
      </c>
      <c r="C26" s="37">
        <v>0</v>
      </c>
      <c r="D26" s="37">
        <f t="shared" si="0"/>
        <v>0</v>
      </c>
    </row>
    <row r="27" spans="1:4" ht="15.75">
      <c r="A27" s="36">
        <v>2363</v>
      </c>
      <c r="B27" s="38" t="s">
        <v>32</v>
      </c>
      <c r="C27" s="37">
        <v>738</v>
      </c>
      <c r="D27" s="37">
        <v>406</v>
      </c>
    </row>
    <row r="28" spans="1:4" ht="15.75">
      <c r="A28" s="36">
        <v>5232</v>
      </c>
      <c r="B28" s="38" t="s">
        <v>37</v>
      </c>
      <c r="C28" s="37">
        <v>128.33</v>
      </c>
      <c r="D28" s="37">
        <f t="shared" si="0"/>
        <v>64.165</v>
      </c>
    </row>
    <row r="29" spans="1:4" ht="15.75">
      <c r="A29" s="36"/>
      <c r="B29" s="39" t="s">
        <v>7</v>
      </c>
      <c r="C29" s="40">
        <f>SUM(C18:C28)</f>
        <v>3759.9999999999995</v>
      </c>
      <c r="D29" s="40">
        <f>SUM(D18:D28)</f>
        <v>2143.0950000000003</v>
      </c>
    </row>
    <row r="30" spans="1:4" ht="15.75">
      <c r="A30" s="41"/>
      <c r="B30" s="36" t="s">
        <v>8</v>
      </c>
      <c r="C30" s="35"/>
      <c r="D30" s="35"/>
    </row>
    <row r="31" spans="1:4" ht="15.75">
      <c r="A31" s="36">
        <v>1100</v>
      </c>
      <c r="B31" s="36" t="s">
        <v>91</v>
      </c>
      <c r="C31" s="37">
        <v>998</v>
      </c>
      <c r="D31" s="37">
        <f aca="true" t="shared" si="1" ref="D31:D73">C31/100*50</f>
        <v>499</v>
      </c>
    </row>
    <row r="32" spans="1:4" ht="20.25" customHeight="1">
      <c r="A32" s="36">
        <v>1200</v>
      </c>
      <c r="B32" s="38" t="s">
        <v>92</v>
      </c>
      <c r="C32" s="37">
        <v>240.42</v>
      </c>
      <c r="D32" s="37">
        <f t="shared" si="1"/>
        <v>120.21</v>
      </c>
    </row>
    <row r="33" spans="1:4" ht="15.75" hidden="1">
      <c r="A33" s="36">
        <v>2100</v>
      </c>
      <c r="B33" s="42" t="s">
        <v>46</v>
      </c>
      <c r="C33" s="37">
        <v>0</v>
      </c>
      <c r="D33" s="37">
        <f t="shared" si="1"/>
        <v>0</v>
      </c>
    </row>
    <row r="34" spans="1:4" ht="15.75">
      <c r="A34" s="43">
        <v>2210</v>
      </c>
      <c r="B34" s="38" t="s">
        <v>42</v>
      </c>
      <c r="C34" s="37">
        <v>21.19</v>
      </c>
      <c r="D34" s="37">
        <f t="shared" si="1"/>
        <v>10.595</v>
      </c>
    </row>
    <row r="35" spans="1:4" ht="15.75">
      <c r="A35" s="36">
        <v>2222</v>
      </c>
      <c r="B35" s="38" t="s">
        <v>43</v>
      </c>
      <c r="C35" s="37">
        <v>59.9</v>
      </c>
      <c r="D35" s="37">
        <f t="shared" si="1"/>
        <v>29.95</v>
      </c>
    </row>
    <row r="36" spans="1:4" ht="15.75">
      <c r="A36" s="36">
        <v>2223</v>
      </c>
      <c r="B36" s="38" t="s">
        <v>44</v>
      </c>
      <c r="C36" s="37">
        <v>86.87</v>
      </c>
      <c r="D36" s="37">
        <f t="shared" si="1"/>
        <v>43.435</v>
      </c>
    </row>
    <row r="37" spans="1:4" ht="20.25" customHeight="1">
      <c r="A37" s="36">
        <v>2230</v>
      </c>
      <c r="B37" s="38" t="s">
        <v>45</v>
      </c>
      <c r="C37" s="37">
        <v>16.37</v>
      </c>
      <c r="D37" s="37">
        <f t="shared" si="1"/>
        <v>8.185</v>
      </c>
    </row>
    <row r="38" spans="1:4" ht="15.75">
      <c r="A38" s="36">
        <v>2241</v>
      </c>
      <c r="B38" s="38" t="s">
        <v>13</v>
      </c>
      <c r="C38" s="37">
        <v>0.02</v>
      </c>
      <c r="D38" s="37">
        <f t="shared" si="1"/>
        <v>0.01</v>
      </c>
    </row>
    <row r="39" spans="1:4" ht="15.75">
      <c r="A39" s="36">
        <v>2242</v>
      </c>
      <c r="B39" s="38" t="s">
        <v>14</v>
      </c>
      <c r="C39" s="37">
        <v>4.88</v>
      </c>
      <c r="D39" s="37">
        <f t="shared" si="1"/>
        <v>2.44</v>
      </c>
    </row>
    <row r="40" spans="1:4" ht="15.75">
      <c r="A40" s="36">
        <v>2243</v>
      </c>
      <c r="B40" s="38" t="s">
        <v>15</v>
      </c>
      <c r="C40" s="37">
        <v>15.58</v>
      </c>
      <c r="D40" s="37">
        <f t="shared" si="1"/>
        <v>7.79</v>
      </c>
    </row>
    <row r="41" spans="1:5" ht="15.75">
      <c r="A41" s="36">
        <v>2244</v>
      </c>
      <c r="B41" s="38" t="s">
        <v>16</v>
      </c>
      <c r="C41" s="37">
        <v>224.96</v>
      </c>
      <c r="D41" s="37">
        <v>281.88</v>
      </c>
      <c r="E41" s="126"/>
    </row>
    <row r="42" spans="1:5" ht="15.75">
      <c r="A42" s="36">
        <v>2247</v>
      </c>
      <c r="B42" s="34" t="s">
        <v>93</v>
      </c>
      <c r="C42" s="37">
        <v>1.29</v>
      </c>
      <c r="D42" s="37">
        <f t="shared" si="1"/>
        <v>0.645</v>
      </c>
      <c r="E42" s="126"/>
    </row>
    <row r="43" spans="1:4" ht="15.75">
      <c r="A43" s="36">
        <v>2249</v>
      </c>
      <c r="B43" s="38" t="s">
        <v>17</v>
      </c>
      <c r="C43" s="37">
        <v>5.62</v>
      </c>
      <c r="D43" s="37">
        <f t="shared" si="1"/>
        <v>2.81</v>
      </c>
    </row>
    <row r="44" spans="1:4" ht="15.75">
      <c r="A44" s="36">
        <v>2251</v>
      </c>
      <c r="B44" s="38" t="s">
        <v>94</v>
      </c>
      <c r="C44" s="37">
        <v>36.91</v>
      </c>
      <c r="D44" s="37">
        <f t="shared" si="1"/>
        <v>18.455</v>
      </c>
    </row>
    <row r="45" spans="1:4" ht="15.75">
      <c r="A45" s="36">
        <v>2252</v>
      </c>
      <c r="B45" s="38" t="s">
        <v>96</v>
      </c>
      <c r="C45" s="37">
        <v>0.71</v>
      </c>
      <c r="D45" s="37">
        <f t="shared" si="1"/>
        <v>0.355</v>
      </c>
    </row>
    <row r="46" spans="1:4" ht="15.75">
      <c r="A46" s="36">
        <v>2259</v>
      </c>
      <c r="B46" s="38" t="s">
        <v>95</v>
      </c>
      <c r="C46" s="37">
        <v>0.11</v>
      </c>
      <c r="D46" s="37">
        <f t="shared" si="1"/>
        <v>0.055</v>
      </c>
    </row>
    <row r="47" spans="1:4" ht="15.75" hidden="1">
      <c r="A47" s="36">
        <v>2261</v>
      </c>
      <c r="B47" s="38" t="s">
        <v>18</v>
      </c>
      <c r="C47" s="37">
        <v>0</v>
      </c>
      <c r="D47" s="37">
        <f t="shared" si="1"/>
        <v>0</v>
      </c>
    </row>
    <row r="48" spans="1:4" ht="15.75">
      <c r="A48" s="36">
        <v>2262</v>
      </c>
      <c r="B48" s="38" t="s">
        <v>19</v>
      </c>
      <c r="C48" s="37">
        <v>14.27</v>
      </c>
      <c r="D48" s="37">
        <f t="shared" si="1"/>
        <v>7.135</v>
      </c>
    </row>
    <row r="49" spans="1:4" ht="15.75">
      <c r="A49" s="36">
        <v>2263</v>
      </c>
      <c r="B49" s="38" t="s">
        <v>20</v>
      </c>
      <c r="C49" s="37">
        <v>52.64</v>
      </c>
      <c r="D49" s="37">
        <f t="shared" si="1"/>
        <v>26.32</v>
      </c>
    </row>
    <row r="50" spans="1:4" ht="15.75">
      <c r="A50" s="36">
        <v>2264</v>
      </c>
      <c r="B50" s="38" t="s">
        <v>21</v>
      </c>
      <c r="C50" s="37">
        <v>0.27</v>
      </c>
      <c r="D50" s="37">
        <f t="shared" si="1"/>
        <v>0.135</v>
      </c>
    </row>
    <row r="51" spans="1:4" ht="15.75">
      <c r="A51" s="36">
        <v>2279</v>
      </c>
      <c r="B51" s="38" t="s">
        <v>22</v>
      </c>
      <c r="C51" s="37">
        <v>58.8</v>
      </c>
      <c r="D51" s="37">
        <f t="shared" si="1"/>
        <v>29.4</v>
      </c>
    </row>
    <row r="52" spans="1:4" ht="15.75">
      <c r="A52" s="36">
        <v>2311</v>
      </c>
      <c r="B52" s="38" t="s">
        <v>23</v>
      </c>
      <c r="C52" s="37">
        <v>18.9</v>
      </c>
      <c r="D52" s="37">
        <f t="shared" si="1"/>
        <v>9.45</v>
      </c>
    </row>
    <row r="53" spans="1:4" ht="15.75">
      <c r="A53" s="36">
        <v>2312</v>
      </c>
      <c r="B53" s="38" t="s">
        <v>24</v>
      </c>
      <c r="C53" s="37">
        <v>10.23</v>
      </c>
      <c r="D53" s="37">
        <f t="shared" si="1"/>
        <v>5.115</v>
      </c>
    </row>
    <row r="54" spans="1:4" ht="15.75">
      <c r="A54" s="36">
        <v>2321</v>
      </c>
      <c r="B54" s="38" t="s">
        <v>25</v>
      </c>
      <c r="C54" s="37">
        <v>219.2</v>
      </c>
      <c r="D54" s="37">
        <f t="shared" si="1"/>
        <v>109.59999999999998</v>
      </c>
    </row>
    <row r="55" spans="1:4" ht="15.75">
      <c r="A55" s="36">
        <v>2322</v>
      </c>
      <c r="B55" s="38" t="s">
        <v>26</v>
      </c>
      <c r="C55" s="37">
        <v>37.89</v>
      </c>
      <c r="D55" s="37">
        <f t="shared" si="1"/>
        <v>18.945</v>
      </c>
    </row>
    <row r="56" spans="1:4" ht="15.75">
      <c r="A56" s="36">
        <v>2341</v>
      </c>
      <c r="B56" s="38" t="s">
        <v>27</v>
      </c>
      <c r="C56" s="37">
        <v>5.17</v>
      </c>
      <c r="D56" s="37">
        <f t="shared" si="1"/>
        <v>2.585</v>
      </c>
    </row>
    <row r="57" spans="1:4" ht="15.75">
      <c r="A57" s="36">
        <v>2344</v>
      </c>
      <c r="B57" s="38" t="s">
        <v>28</v>
      </c>
      <c r="C57" s="37">
        <v>0.07</v>
      </c>
      <c r="D57" s="37">
        <f t="shared" si="1"/>
        <v>0.035</v>
      </c>
    </row>
    <row r="58" spans="1:4" ht="15.75">
      <c r="A58" s="36">
        <v>2350</v>
      </c>
      <c r="B58" s="38" t="s">
        <v>29</v>
      </c>
      <c r="C58" s="37">
        <v>70.08</v>
      </c>
      <c r="D58" s="37">
        <f t="shared" si="1"/>
        <v>35.04</v>
      </c>
    </row>
    <row r="59" spans="1:4" ht="15.75">
      <c r="A59" s="36">
        <v>2361</v>
      </c>
      <c r="B59" s="38" t="s">
        <v>30</v>
      </c>
      <c r="C59" s="37">
        <v>21.22</v>
      </c>
      <c r="D59" s="37">
        <f t="shared" si="1"/>
        <v>10.61</v>
      </c>
    </row>
    <row r="60" spans="1:4" ht="15.75">
      <c r="A60" s="36">
        <v>2362</v>
      </c>
      <c r="B60" s="38" t="s">
        <v>31</v>
      </c>
      <c r="C60" s="37">
        <v>11.26</v>
      </c>
      <c r="D60" s="37">
        <f t="shared" si="1"/>
        <v>5.63</v>
      </c>
    </row>
    <row r="61" spans="1:4" ht="15.75" customHeight="1" hidden="1">
      <c r="A61" s="36">
        <v>2363</v>
      </c>
      <c r="B61" s="38" t="s">
        <v>32</v>
      </c>
      <c r="C61" s="37">
        <v>0</v>
      </c>
      <c r="D61" s="37">
        <f t="shared" si="1"/>
        <v>0</v>
      </c>
    </row>
    <row r="62" spans="1:4" ht="15.75" hidden="1">
      <c r="A62" s="36">
        <v>2370</v>
      </c>
      <c r="B62" s="38" t="s">
        <v>33</v>
      </c>
      <c r="C62" s="37">
        <v>0</v>
      </c>
      <c r="D62" s="37">
        <f t="shared" si="1"/>
        <v>0</v>
      </c>
    </row>
    <row r="63" spans="1:4" ht="15.75">
      <c r="A63" s="36">
        <v>2400</v>
      </c>
      <c r="B63" s="38" t="s">
        <v>47</v>
      </c>
      <c r="C63" s="37">
        <v>2.28</v>
      </c>
      <c r="D63" s="37">
        <f t="shared" si="1"/>
        <v>1.14</v>
      </c>
    </row>
    <row r="64" spans="1:4" ht="17.25" customHeight="1">
      <c r="A64" s="36">
        <v>2513</v>
      </c>
      <c r="B64" s="38" t="s">
        <v>35</v>
      </c>
      <c r="C64" s="37">
        <v>35.64</v>
      </c>
      <c r="D64" s="37">
        <f t="shared" si="1"/>
        <v>17.82</v>
      </c>
    </row>
    <row r="65" spans="1:4" ht="15.75">
      <c r="A65" s="36">
        <v>2515</v>
      </c>
      <c r="B65" s="38" t="s">
        <v>97</v>
      </c>
      <c r="C65" s="37">
        <v>1.58</v>
      </c>
      <c r="D65" s="37">
        <f t="shared" si="1"/>
        <v>0.79</v>
      </c>
    </row>
    <row r="66" spans="1:4" ht="15.75">
      <c r="A66" s="36">
        <v>2519</v>
      </c>
      <c r="B66" s="38" t="s">
        <v>38</v>
      </c>
      <c r="C66" s="37">
        <v>8.31</v>
      </c>
      <c r="D66" s="37">
        <f t="shared" si="1"/>
        <v>4.155</v>
      </c>
    </row>
    <row r="67" spans="1:4" ht="15.75" hidden="1">
      <c r="A67" s="36">
        <v>6240</v>
      </c>
      <c r="B67" s="38" t="s">
        <v>50</v>
      </c>
      <c r="C67" s="37">
        <v>0</v>
      </c>
      <c r="D67" s="37">
        <f t="shared" si="1"/>
        <v>0</v>
      </c>
    </row>
    <row r="68" spans="1:4" ht="15.75" hidden="1">
      <c r="A68" s="36">
        <v>6290</v>
      </c>
      <c r="B68" s="38" t="s">
        <v>51</v>
      </c>
      <c r="C68" s="37">
        <v>0</v>
      </c>
      <c r="D68" s="37">
        <f t="shared" si="1"/>
        <v>0</v>
      </c>
    </row>
    <row r="69" spans="1:4" ht="15.75">
      <c r="A69" s="36">
        <v>5121</v>
      </c>
      <c r="B69" s="38" t="s">
        <v>36</v>
      </c>
      <c r="C69" s="37">
        <v>6.72</v>
      </c>
      <c r="D69" s="37">
        <f t="shared" si="1"/>
        <v>3.36</v>
      </c>
    </row>
    <row r="70" spans="1:4" ht="15.75">
      <c r="A70" s="36">
        <v>5232</v>
      </c>
      <c r="B70" s="38" t="s">
        <v>37</v>
      </c>
      <c r="C70" s="37">
        <v>162.05</v>
      </c>
      <c r="D70" s="37">
        <f t="shared" si="1"/>
        <v>81.025</v>
      </c>
    </row>
    <row r="71" spans="1:4" ht="15.75">
      <c r="A71" s="36">
        <v>5238</v>
      </c>
      <c r="B71" s="38" t="s">
        <v>39</v>
      </c>
      <c r="C71" s="37">
        <v>74.59</v>
      </c>
      <c r="D71" s="37">
        <f t="shared" si="1"/>
        <v>37.295</v>
      </c>
    </row>
    <row r="72" spans="1:4" ht="15.75" hidden="1">
      <c r="A72" s="36">
        <v>5240</v>
      </c>
      <c r="B72" s="38" t="s">
        <v>40</v>
      </c>
      <c r="C72" s="37">
        <v>0</v>
      </c>
      <c r="D72" s="37">
        <f t="shared" si="1"/>
        <v>0</v>
      </c>
    </row>
    <row r="73" spans="1:4" ht="15" customHeight="1">
      <c r="A73" s="36">
        <v>5250</v>
      </c>
      <c r="B73" s="38" t="s">
        <v>41</v>
      </c>
      <c r="C73" s="37">
        <v>234</v>
      </c>
      <c r="D73" s="37">
        <f t="shared" si="1"/>
        <v>117</v>
      </c>
    </row>
    <row r="74" spans="1:4" ht="15.75">
      <c r="A74" s="41"/>
      <c r="B74" s="45" t="s">
        <v>9</v>
      </c>
      <c r="C74" s="40">
        <f>SUM(C31:C73)</f>
        <v>2758</v>
      </c>
      <c r="D74" s="40">
        <f>SUM(D31:D73)</f>
        <v>1548.4</v>
      </c>
    </row>
    <row r="75" spans="1:4" ht="15.75">
      <c r="A75" s="41"/>
      <c r="B75" s="45" t="s">
        <v>48</v>
      </c>
      <c r="C75" s="40">
        <f>C74+C29</f>
        <v>6518</v>
      </c>
      <c r="D75" s="40">
        <f>D74+D29</f>
        <v>3691.4950000000003</v>
      </c>
    </row>
    <row r="76" spans="1:4" ht="7.5" customHeight="1">
      <c r="A76" s="46"/>
      <c r="B76" s="29"/>
      <c r="C76" s="14"/>
      <c r="D76" s="14"/>
    </row>
    <row r="77" spans="1:4" ht="15.75">
      <c r="A77" s="142" t="s">
        <v>63</v>
      </c>
      <c r="B77" s="142"/>
      <c r="C77" s="30">
        <v>100</v>
      </c>
      <c r="D77" s="116">
        <v>50</v>
      </c>
    </row>
    <row r="78" spans="1:5" ht="15.75">
      <c r="A78" s="142" t="s">
        <v>64</v>
      </c>
      <c r="B78" s="142"/>
      <c r="C78" s="48">
        <f>C75/C77</f>
        <v>65.18</v>
      </c>
      <c r="D78" s="117">
        <f>D75/D77</f>
        <v>73.82990000000001</v>
      </c>
      <c r="E78" s="68"/>
    </row>
    <row r="79" spans="1:4" ht="15" customHeight="1">
      <c r="A79" s="18"/>
      <c r="B79" s="18"/>
      <c r="C79" s="18"/>
      <c r="D79" s="47"/>
    </row>
    <row r="80" spans="1:4" ht="15.75">
      <c r="A80" s="146" t="s">
        <v>56</v>
      </c>
      <c r="B80" s="147"/>
      <c r="C80" s="108">
        <v>61.8</v>
      </c>
      <c r="D80" s="50"/>
    </row>
    <row r="81" spans="1:4" ht="15.75">
      <c r="A81" s="146" t="s">
        <v>85</v>
      </c>
      <c r="B81" s="147"/>
      <c r="C81" s="25"/>
      <c r="D81" s="50"/>
    </row>
    <row r="82" spans="1:4" ht="15.75">
      <c r="A82" s="26" t="s">
        <v>57</v>
      </c>
      <c r="B82" s="26"/>
      <c r="C82" s="26"/>
      <c r="D82" s="26"/>
    </row>
    <row r="83" spans="1:4" ht="15.75">
      <c r="A83" s="26"/>
      <c r="B83" s="26"/>
      <c r="C83" s="26"/>
      <c r="D83" s="26"/>
    </row>
    <row r="84" spans="1:4" ht="15.75">
      <c r="A84" s="26" t="s">
        <v>78</v>
      </c>
      <c r="B84" s="27"/>
      <c r="C84" s="27"/>
      <c r="D84" s="27"/>
    </row>
    <row r="85" spans="1:4" ht="15.75">
      <c r="A85" s="26"/>
      <c r="B85" s="28"/>
      <c r="C85" s="28"/>
      <c r="D85" s="26"/>
    </row>
    <row r="86" spans="1:4" ht="15">
      <c r="A86" s="7"/>
      <c r="B86" s="8"/>
      <c r="C86" s="8"/>
      <c r="D86" s="7"/>
    </row>
  </sheetData>
  <sheetProtection/>
  <mergeCells count="12">
    <mergeCell ref="B1:D1"/>
    <mergeCell ref="B2:D2"/>
    <mergeCell ref="A6:D6"/>
    <mergeCell ref="A7:B7"/>
    <mergeCell ref="A8:B8"/>
    <mergeCell ref="B13:D13"/>
    <mergeCell ref="A77:B77"/>
    <mergeCell ref="A78:B78"/>
    <mergeCell ref="A80:B80"/>
    <mergeCell ref="A81:B81"/>
    <mergeCell ref="B11:D11"/>
    <mergeCell ref="B12:D12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421875" style="3" customWidth="1"/>
    <col min="2" max="2" width="99.7109375" style="3" customWidth="1"/>
    <col min="3" max="3" width="29.57421875" style="3" hidden="1" customWidth="1"/>
    <col min="4" max="4" width="29.57421875" style="3" customWidth="1"/>
  </cols>
  <sheetData>
    <row r="1" spans="1:4" ht="15.75" customHeight="1">
      <c r="A1" s="9"/>
      <c r="B1" s="148" t="s">
        <v>53</v>
      </c>
      <c r="C1" s="148"/>
      <c r="D1" s="143"/>
    </row>
    <row r="2" spans="1:4" ht="15.75">
      <c r="A2" s="9"/>
      <c r="B2" s="149" t="s">
        <v>58</v>
      </c>
      <c r="C2" s="149"/>
      <c r="D2" s="150"/>
    </row>
    <row r="3" spans="1:4" ht="15.75">
      <c r="A3" s="9"/>
      <c r="B3" s="19"/>
      <c r="C3" s="67" t="s">
        <v>87</v>
      </c>
      <c r="D3" s="120" t="s">
        <v>196</v>
      </c>
    </row>
    <row r="4" spans="1:4" ht="15.75">
      <c r="A4" s="9"/>
      <c r="B4" s="19"/>
      <c r="C4" s="46"/>
      <c r="D4" s="46"/>
    </row>
    <row r="5" spans="1:4" ht="15.75">
      <c r="A5" s="9"/>
      <c r="B5" s="24"/>
      <c r="C5" s="46" t="s">
        <v>88</v>
      </c>
      <c r="D5" s="46" t="s">
        <v>197</v>
      </c>
    </row>
    <row r="6" spans="1:4" ht="18.75">
      <c r="A6" s="138" t="s">
        <v>10</v>
      </c>
      <c r="B6" s="138"/>
      <c r="C6" s="138"/>
      <c r="D6" s="138"/>
    </row>
    <row r="7" spans="1:4" ht="15" customHeight="1">
      <c r="A7" s="142" t="s">
        <v>1</v>
      </c>
      <c r="B7" s="142"/>
      <c r="C7" s="14"/>
      <c r="D7" s="14"/>
    </row>
    <row r="8" spans="1:4" ht="15" customHeight="1">
      <c r="A8" s="142" t="s">
        <v>0</v>
      </c>
      <c r="B8" s="142"/>
      <c r="C8" s="14"/>
      <c r="D8" s="14"/>
    </row>
    <row r="9" spans="1:4" ht="15" customHeight="1">
      <c r="A9" s="18"/>
      <c r="B9" s="18" t="s">
        <v>49</v>
      </c>
      <c r="C9" s="14"/>
      <c r="D9" s="14"/>
    </row>
    <row r="10" spans="1:4" ht="12.75" customHeight="1">
      <c r="A10" s="18"/>
      <c r="B10" s="18" t="s">
        <v>75</v>
      </c>
      <c r="C10" s="23"/>
      <c r="D10" s="23"/>
    </row>
    <row r="11" spans="1:4" ht="15" customHeight="1">
      <c r="A11" s="18"/>
      <c r="B11" s="142" t="s">
        <v>76</v>
      </c>
      <c r="C11" s="142"/>
      <c r="D11" s="143"/>
    </row>
    <row r="12" spans="1:4" ht="15" customHeight="1">
      <c r="A12" s="18"/>
      <c r="B12" s="142" t="s">
        <v>173</v>
      </c>
      <c r="C12" s="142"/>
      <c r="D12" s="143"/>
    </row>
    <row r="13" spans="1:4" ht="15" customHeight="1">
      <c r="A13" s="18" t="s">
        <v>2</v>
      </c>
      <c r="B13" s="18" t="str">
        <f>'4.1.1.2.2.'!B14</f>
        <v>2019.gadā un turpmāk</v>
      </c>
      <c r="C13" s="14"/>
      <c r="D13" s="14"/>
    </row>
    <row r="14" spans="1:4" ht="67.5" customHeight="1">
      <c r="A14" s="65" t="s">
        <v>3</v>
      </c>
      <c r="B14" s="65" t="s">
        <v>4</v>
      </c>
      <c r="C14" s="65" t="s">
        <v>83</v>
      </c>
      <c r="D14" s="65" t="s">
        <v>83</v>
      </c>
    </row>
    <row r="15" spans="1:4" ht="15.75">
      <c r="A15" s="31">
        <v>1</v>
      </c>
      <c r="B15" s="32">
        <v>2</v>
      </c>
      <c r="C15" s="32">
        <v>3</v>
      </c>
      <c r="D15" s="32">
        <v>3</v>
      </c>
    </row>
    <row r="16" spans="1:5" ht="15" customHeight="1">
      <c r="A16" s="33"/>
      <c r="B16" s="34" t="s">
        <v>6</v>
      </c>
      <c r="C16" s="35"/>
      <c r="D16" s="35"/>
      <c r="E16" s="126"/>
    </row>
    <row r="17" spans="1:6" ht="15" customHeight="1">
      <c r="A17" s="36">
        <v>1100</v>
      </c>
      <c r="B17" s="36" t="s">
        <v>91</v>
      </c>
      <c r="C17" s="37">
        <f>6128.86+400*2.72</f>
        <v>7216.86</v>
      </c>
      <c r="D17" s="37">
        <v>5422.5</v>
      </c>
      <c r="F17" s="126"/>
    </row>
    <row r="18" spans="1:4" ht="15.75">
      <c r="A18" s="36">
        <v>1200</v>
      </c>
      <c r="B18" s="38" t="s">
        <v>92</v>
      </c>
      <c r="C18" s="37">
        <f>1476.44+400*0.66</f>
        <v>1740.44</v>
      </c>
      <c r="D18" s="37">
        <v>1306.28</v>
      </c>
    </row>
    <row r="19" spans="1:4" ht="15" customHeight="1">
      <c r="A19" s="36">
        <v>2222</v>
      </c>
      <c r="B19" s="38" t="s">
        <v>43</v>
      </c>
      <c r="C19" s="37">
        <v>444.94</v>
      </c>
      <c r="D19" s="37">
        <f>C19/400*250</f>
        <v>278.0875</v>
      </c>
    </row>
    <row r="20" spans="1:4" ht="15" customHeight="1">
      <c r="A20" s="36">
        <v>2223</v>
      </c>
      <c r="B20" s="38" t="s">
        <v>44</v>
      </c>
      <c r="C20" s="37">
        <v>530.25</v>
      </c>
      <c r="D20" s="37">
        <f>C20/400*250</f>
        <v>331.40625</v>
      </c>
    </row>
    <row r="21" spans="1:4" ht="15" customHeight="1">
      <c r="A21" s="36">
        <v>2243</v>
      </c>
      <c r="B21" s="38" t="s">
        <v>15</v>
      </c>
      <c r="C21" s="37">
        <v>113.54</v>
      </c>
      <c r="D21" s="37">
        <f>C21/400*250</f>
        <v>70.96249999999999</v>
      </c>
    </row>
    <row r="22" spans="1:4" ht="15" customHeight="1" hidden="1">
      <c r="A22" s="36">
        <v>2249</v>
      </c>
      <c r="B22" s="38" t="s">
        <v>17</v>
      </c>
      <c r="C22" s="37">
        <v>0</v>
      </c>
      <c r="D22" s="37">
        <f>C22/400*100</f>
        <v>0</v>
      </c>
    </row>
    <row r="23" spans="1:4" ht="15" customHeight="1">
      <c r="A23" s="36">
        <v>2321</v>
      </c>
      <c r="B23" s="38" t="s">
        <v>25</v>
      </c>
      <c r="C23" s="37">
        <v>625.01</v>
      </c>
      <c r="D23" s="37">
        <f>C23/400*250</f>
        <v>390.63124999999997</v>
      </c>
    </row>
    <row r="24" spans="1:4" ht="15" customHeight="1">
      <c r="A24" s="36">
        <v>2341</v>
      </c>
      <c r="B24" s="38" t="s">
        <v>27</v>
      </c>
      <c r="C24" s="37">
        <v>903.6</v>
      </c>
      <c r="D24" s="37">
        <f>C24/400*250</f>
        <v>564.75</v>
      </c>
    </row>
    <row r="25" spans="1:4" ht="15" customHeight="1" hidden="1">
      <c r="A25" s="36">
        <v>2350</v>
      </c>
      <c r="B25" s="38" t="s">
        <v>29</v>
      </c>
      <c r="C25" s="37">
        <v>0</v>
      </c>
      <c r="D25" s="37">
        <f>C25/400*100</f>
        <v>0</v>
      </c>
    </row>
    <row r="26" spans="1:4" ht="15" customHeight="1">
      <c r="A26" s="36">
        <v>2363</v>
      </c>
      <c r="B26" s="38" t="s">
        <v>32</v>
      </c>
      <c r="C26" s="37">
        <v>2952</v>
      </c>
      <c r="D26" s="37">
        <f>8.12*250</f>
        <v>2029.9999999999998</v>
      </c>
    </row>
    <row r="27" spans="1:4" ht="15" customHeight="1">
      <c r="A27" s="36">
        <v>5232</v>
      </c>
      <c r="B27" s="38" t="s">
        <v>37</v>
      </c>
      <c r="C27" s="37">
        <v>513.3</v>
      </c>
      <c r="D27" s="37">
        <v>320.81</v>
      </c>
    </row>
    <row r="28" spans="1:4" ht="15" customHeight="1">
      <c r="A28" s="36"/>
      <c r="B28" s="39" t="s">
        <v>7</v>
      </c>
      <c r="C28" s="40">
        <f>SUM(C17:C27)</f>
        <v>15039.94</v>
      </c>
      <c r="D28" s="40">
        <f>SUM(D17:D27)</f>
        <v>10715.4275</v>
      </c>
    </row>
    <row r="29" spans="1:4" ht="15" customHeight="1">
      <c r="A29" s="41"/>
      <c r="B29" s="36" t="s">
        <v>8</v>
      </c>
      <c r="C29" s="35"/>
      <c r="D29" s="35"/>
    </row>
    <row r="30" spans="1:4" ht="15" customHeight="1">
      <c r="A30" s="36">
        <v>1100</v>
      </c>
      <c r="B30" s="36" t="s">
        <v>91</v>
      </c>
      <c r="C30" s="37">
        <v>3992</v>
      </c>
      <c r="D30" s="37">
        <f>C30/400*250</f>
        <v>2495</v>
      </c>
    </row>
    <row r="31" spans="1:4" ht="15.75">
      <c r="A31" s="36">
        <v>1200</v>
      </c>
      <c r="B31" s="38" t="s">
        <v>92</v>
      </c>
      <c r="C31" s="37">
        <v>961.67</v>
      </c>
      <c r="D31" s="37">
        <f aca="true" t="shared" si="0" ref="D31:D72">C31/400*250</f>
        <v>601.0437499999999</v>
      </c>
    </row>
    <row r="32" spans="1:4" ht="15.75" hidden="1">
      <c r="A32" s="36">
        <v>2100</v>
      </c>
      <c r="B32" s="42" t="s">
        <v>98</v>
      </c>
      <c r="C32" s="37">
        <v>0</v>
      </c>
      <c r="D32" s="37">
        <f t="shared" si="0"/>
        <v>0</v>
      </c>
    </row>
    <row r="33" spans="1:4" ht="15" customHeight="1">
      <c r="A33" s="43">
        <v>2210</v>
      </c>
      <c r="B33" s="38" t="s">
        <v>42</v>
      </c>
      <c r="C33" s="37">
        <v>84.76</v>
      </c>
      <c r="D33" s="37">
        <f t="shared" si="0"/>
        <v>52.975</v>
      </c>
    </row>
    <row r="34" spans="1:4" ht="15" customHeight="1">
      <c r="A34" s="36">
        <v>2222</v>
      </c>
      <c r="B34" s="38" t="s">
        <v>43</v>
      </c>
      <c r="C34" s="37">
        <v>39.6</v>
      </c>
      <c r="D34" s="37">
        <f t="shared" si="0"/>
        <v>24.75</v>
      </c>
    </row>
    <row r="35" spans="1:4" ht="15" customHeight="1">
      <c r="A35" s="36">
        <v>2223</v>
      </c>
      <c r="B35" s="38" t="s">
        <v>44</v>
      </c>
      <c r="C35" s="37">
        <v>534.49</v>
      </c>
      <c r="D35" s="37">
        <f t="shared" si="0"/>
        <v>334.05625</v>
      </c>
    </row>
    <row r="36" spans="1:4" ht="15" customHeight="1">
      <c r="A36" s="36">
        <v>2230</v>
      </c>
      <c r="B36" s="38" t="s">
        <v>45</v>
      </c>
      <c r="C36" s="37">
        <v>65.48</v>
      </c>
      <c r="D36" s="37">
        <f t="shared" si="0"/>
        <v>40.925000000000004</v>
      </c>
    </row>
    <row r="37" spans="1:4" ht="15" customHeight="1">
      <c r="A37" s="36">
        <v>2241</v>
      </c>
      <c r="B37" s="38" t="s">
        <v>13</v>
      </c>
      <c r="C37" s="37">
        <v>0.09</v>
      </c>
      <c r="D37" s="37">
        <f t="shared" si="0"/>
        <v>0.05625</v>
      </c>
    </row>
    <row r="38" spans="1:4" ht="15" customHeight="1">
      <c r="A38" s="36">
        <v>2242</v>
      </c>
      <c r="B38" s="38" t="s">
        <v>14</v>
      </c>
      <c r="C38" s="37">
        <v>19.51</v>
      </c>
      <c r="D38" s="37">
        <f t="shared" si="0"/>
        <v>12.193750000000001</v>
      </c>
    </row>
    <row r="39" spans="1:4" ht="15" customHeight="1">
      <c r="A39" s="36">
        <v>2243</v>
      </c>
      <c r="B39" s="38" t="s">
        <v>15</v>
      </c>
      <c r="C39" s="37">
        <v>62.3</v>
      </c>
      <c r="D39" s="37">
        <f t="shared" si="0"/>
        <v>38.9375</v>
      </c>
    </row>
    <row r="40" spans="1:4" ht="15" customHeight="1">
      <c r="A40" s="36">
        <v>2244</v>
      </c>
      <c r="B40" s="38" t="s">
        <v>16</v>
      </c>
      <c r="C40" s="37">
        <v>899.85</v>
      </c>
      <c r="D40" s="37">
        <v>1369.44</v>
      </c>
    </row>
    <row r="41" spans="1:4" ht="15.75">
      <c r="A41" s="36">
        <v>2247</v>
      </c>
      <c r="B41" s="34" t="s">
        <v>93</v>
      </c>
      <c r="C41" s="37">
        <v>5.16</v>
      </c>
      <c r="D41" s="37">
        <f t="shared" si="0"/>
        <v>3.225</v>
      </c>
    </row>
    <row r="42" spans="1:4" ht="15" customHeight="1">
      <c r="A42" s="36">
        <v>2249</v>
      </c>
      <c r="B42" s="38" t="s">
        <v>17</v>
      </c>
      <c r="C42" s="37">
        <v>22.48</v>
      </c>
      <c r="D42" s="37">
        <f t="shared" si="0"/>
        <v>14.05</v>
      </c>
    </row>
    <row r="43" spans="1:4" ht="15" customHeight="1">
      <c r="A43" s="36">
        <v>2251</v>
      </c>
      <c r="B43" s="38" t="s">
        <v>94</v>
      </c>
      <c r="C43" s="37">
        <v>131.69</v>
      </c>
      <c r="D43" s="37">
        <f t="shared" si="0"/>
        <v>82.30624999999999</v>
      </c>
    </row>
    <row r="44" spans="1:4" ht="15" customHeight="1">
      <c r="A44" s="36">
        <v>2252</v>
      </c>
      <c r="B44" s="38" t="s">
        <v>96</v>
      </c>
      <c r="C44" s="37">
        <v>2.82</v>
      </c>
      <c r="D44" s="37">
        <f t="shared" si="0"/>
        <v>1.7625</v>
      </c>
    </row>
    <row r="45" spans="1:4" ht="15" customHeight="1">
      <c r="A45" s="36">
        <v>2259</v>
      </c>
      <c r="B45" s="38" t="s">
        <v>95</v>
      </c>
      <c r="C45" s="37">
        <v>0.43</v>
      </c>
      <c r="D45" s="37">
        <f t="shared" si="0"/>
        <v>0.26875</v>
      </c>
    </row>
    <row r="46" spans="1:4" ht="15" customHeight="1">
      <c r="A46" s="36">
        <v>2261</v>
      </c>
      <c r="B46" s="38" t="s">
        <v>18</v>
      </c>
      <c r="C46" s="37">
        <v>15.95</v>
      </c>
      <c r="D46" s="37">
        <f t="shared" si="0"/>
        <v>9.96875</v>
      </c>
    </row>
    <row r="47" spans="1:4" ht="15" customHeight="1">
      <c r="A47" s="36">
        <v>2262</v>
      </c>
      <c r="B47" s="38" t="s">
        <v>19</v>
      </c>
      <c r="C47" s="37">
        <v>57.08</v>
      </c>
      <c r="D47" s="37">
        <f t="shared" si="0"/>
        <v>35.675</v>
      </c>
    </row>
    <row r="48" spans="1:4" ht="15.75">
      <c r="A48" s="36">
        <v>2263</v>
      </c>
      <c r="B48" s="38" t="s">
        <v>20</v>
      </c>
      <c r="C48" s="37">
        <v>210.56</v>
      </c>
      <c r="D48" s="37">
        <f t="shared" si="0"/>
        <v>131.6</v>
      </c>
    </row>
    <row r="49" spans="1:4" ht="15.75">
      <c r="A49" s="36">
        <v>2264</v>
      </c>
      <c r="B49" s="38" t="s">
        <v>21</v>
      </c>
      <c r="C49" s="37">
        <v>1.07</v>
      </c>
      <c r="D49" s="37">
        <f t="shared" si="0"/>
        <v>0.6687500000000001</v>
      </c>
    </row>
    <row r="50" spans="1:4" ht="15.75" customHeight="1">
      <c r="A50" s="36">
        <v>2279</v>
      </c>
      <c r="B50" s="38" t="s">
        <v>22</v>
      </c>
      <c r="C50" s="37">
        <v>235.19</v>
      </c>
      <c r="D50" s="37">
        <f t="shared" si="0"/>
        <v>146.99375</v>
      </c>
    </row>
    <row r="51" spans="1:4" ht="15.75">
      <c r="A51" s="36">
        <v>2311</v>
      </c>
      <c r="B51" s="38" t="s">
        <v>23</v>
      </c>
      <c r="C51" s="37">
        <v>75.6</v>
      </c>
      <c r="D51" s="37">
        <f t="shared" si="0"/>
        <v>47.24999999999999</v>
      </c>
    </row>
    <row r="52" spans="1:4" ht="15.75">
      <c r="A52" s="36">
        <v>2312</v>
      </c>
      <c r="B52" s="38" t="s">
        <v>24</v>
      </c>
      <c r="C52" s="37">
        <v>40.92</v>
      </c>
      <c r="D52" s="37">
        <f t="shared" si="0"/>
        <v>25.575</v>
      </c>
    </row>
    <row r="53" spans="1:4" ht="15.75">
      <c r="A53" s="36">
        <v>2321</v>
      </c>
      <c r="B53" s="38" t="s">
        <v>25</v>
      </c>
      <c r="C53" s="37">
        <v>876.79</v>
      </c>
      <c r="D53" s="37">
        <f t="shared" si="0"/>
        <v>547.99375</v>
      </c>
    </row>
    <row r="54" spans="1:4" ht="15" customHeight="1">
      <c r="A54" s="36">
        <v>2322</v>
      </c>
      <c r="B54" s="38" t="s">
        <v>26</v>
      </c>
      <c r="C54" s="37">
        <v>151.56</v>
      </c>
      <c r="D54" s="37">
        <f t="shared" si="0"/>
        <v>94.72500000000001</v>
      </c>
    </row>
    <row r="55" spans="1:4" ht="15" customHeight="1">
      <c r="A55" s="36">
        <v>2341</v>
      </c>
      <c r="B55" s="38" t="s">
        <v>27</v>
      </c>
      <c r="C55" s="37">
        <v>20.67</v>
      </c>
      <c r="D55" s="37">
        <f t="shared" si="0"/>
        <v>12.918750000000001</v>
      </c>
    </row>
    <row r="56" spans="1:4" ht="15" customHeight="1">
      <c r="A56" s="36">
        <v>2344</v>
      </c>
      <c r="B56" s="38" t="s">
        <v>28</v>
      </c>
      <c r="C56" s="37">
        <v>0.29</v>
      </c>
      <c r="D56" s="37">
        <f t="shared" si="0"/>
        <v>0.18125</v>
      </c>
    </row>
    <row r="57" spans="1:4" ht="15" customHeight="1">
      <c r="A57" s="36">
        <v>2350</v>
      </c>
      <c r="B57" s="38" t="s">
        <v>29</v>
      </c>
      <c r="C57" s="37">
        <v>280.3</v>
      </c>
      <c r="D57" s="37">
        <f t="shared" si="0"/>
        <v>175.1875</v>
      </c>
    </row>
    <row r="58" spans="1:4" ht="15" customHeight="1">
      <c r="A58" s="36">
        <v>2361</v>
      </c>
      <c r="B58" s="38" t="s">
        <v>30</v>
      </c>
      <c r="C58" s="37">
        <v>84.87</v>
      </c>
      <c r="D58" s="37">
        <f t="shared" si="0"/>
        <v>53.04375</v>
      </c>
    </row>
    <row r="59" spans="1:4" ht="15" customHeight="1">
      <c r="A59" s="36">
        <v>2362</v>
      </c>
      <c r="B59" s="38" t="s">
        <v>31</v>
      </c>
      <c r="C59" s="37">
        <v>45.03</v>
      </c>
      <c r="D59" s="37">
        <f t="shared" si="0"/>
        <v>28.14375</v>
      </c>
    </row>
    <row r="60" spans="1:4" ht="15" customHeight="1" hidden="1">
      <c r="A60" s="36">
        <v>2363</v>
      </c>
      <c r="B60" s="38" t="s">
        <v>32</v>
      </c>
      <c r="C60" s="37">
        <v>0</v>
      </c>
      <c r="D60" s="37">
        <f t="shared" si="0"/>
        <v>0</v>
      </c>
    </row>
    <row r="61" spans="1:4" ht="15.75" hidden="1">
      <c r="A61" s="36">
        <v>2370</v>
      </c>
      <c r="B61" s="38" t="s">
        <v>33</v>
      </c>
      <c r="C61" s="37">
        <v>0</v>
      </c>
      <c r="D61" s="37">
        <f t="shared" si="0"/>
        <v>0</v>
      </c>
    </row>
    <row r="62" spans="1:4" ht="15" customHeight="1">
      <c r="A62" s="36">
        <v>2400</v>
      </c>
      <c r="B62" s="38" t="s">
        <v>47</v>
      </c>
      <c r="C62" s="37">
        <v>9.11</v>
      </c>
      <c r="D62" s="37">
        <f t="shared" si="0"/>
        <v>5.69375</v>
      </c>
    </row>
    <row r="63" spans="1:4" ht="15" customHeight="1">
      <c r="A63" s="36">
        <v>2513</v>
      </c>
      <c r="B63" s="38" t="s">
        <v>35</v>
      </c>
      <c r="C63" s="37">
        <v>142.57</v>
      </c>
      <c r="D63" s="37">
        <f t="shared" si="0"/>
        <v>89.10625</v>
      </c>
    </row>
    <row r="64" spans="1:4" ht="15" customHeight="1">
      <c r="A64" s="36">
        <v>2515</v>
      </c>
      <c r="B64" s="38" t="s">
        <v>97</v>
      </c>
      <c r="C64" s="37">
        <v>6.32</v>
      </c>
      <c r="D64" s="37">
        <f t="shared" si="0"/>
        <v>3.95</v>
      </c>
    </row>
    <row r="65" spans="1:4" ht="15" customHeight="1">
      <c r="A65" s="36">
        <v>2519</v>
      </c>
      <c r="B65" s="38" t="s">
        <v>38</v>
      </c>
      <c r="C65" s="37">
        <v>33.24</v>
      </c>
      <c r="D65" s="37">
        <f t="shared" si="0"/>
        <v>20.775000000000002</v>
      </c>
    </row>
    <row r="66" spans="1:4" ht="15.75" hidden="1">
      <c r="A66" s="36">
        <v>6240</v>
      </c>
      <c r="B66" s="38" t="s">
        <v>99</v>
      </c>
      <c r="C66" s="37">
        <v>0</v>
      </c>
      <c r="D66" s="37">
        <f t="shared" si="0"/>
        <v>0</v>
      </c>
    </row>
    <row r="67" spans="1:4" ht="15.75" hidden="1">
      <c r="A67" s="36">
        <v>6290</v>
      </c>
      <c r="B67" s="38" t="s">
        <v>51</v>
      </c>
      <c r="C67" s="37">
        <v>0</v>
      </c>
      <c r="D67" s="37">
        <f t="shared" si="0"/>
        <v>0</v>
      </c>
    </row>
    <row r="68" spans="1:4" ht="15.75">
      <c r="A68" s="36">
        <v>5121</v>
      </c>
      <c r="B68" s="38" t="s">
        <v>36</v>
      </c>
      <c r="C68" s="37">
        <v>26.88</v>
      </c>
      <c r="D68" s="37">
        <f t="shared" si="0"/>
        <v>16.8</v>
      </c>
    </row>
    <row r="69" spans="1:4" ht="15.75">
      <c r="A69" s="36">
        <v>5232</v>
      </c>
      <c r="B69" s="38" t="s">
        <v>37</v>
      </c>
      <c r="C69" s="37">
        <v>177.39</v>
      </c>
      <c r="D69" s="37">
        <f t="shared" si="0"/>
        <v>110.86874999999999</v>
      </c>
    </row>
    <row r="70" spans="1:4" ht="15" customHeight="1">
      <c r="A70" s="36">
        <v>5238</v>
      </c>
      <c r="B70" s="38" t="s">
        <v>39</v>
      </c>
      <c r="C70" s="37">
        <v>298.34</v>
      </c>
      <c r="D70" s="37">
        <f t="shared" si="0"/>
        <v>186.46249999999998</v>
      </c>
    </row>
    <row r="71" spans="1:4" ht="15" customHeight="1" hidden="1">
      <c r="A71" s="36">
        <v>5240</v>
      </c>
      <c r="B71" s="38" t="s">
        <v>40</v>
      </c>
      <c r="C71" s="37">
        <v>0</v>
      </c>
      <c r="D71" s="37">
        <f t="shared" si="0"/>
        <v>0</v>
      </c>
    </row>
    <row r="72" spans="1:4" ht="15" customHeight="1">
      <c r="A72" s="36">
        <v>5250</v>
      </c>
      <c r="B72" s="38" t="s">
        <v>41</v>
      </c>
      <c r="C72" s="37">
        <v>936</v>
      </c>
      <c r="D72" s="37">
        <f t="shared" si="0"/>
        <v>585</v>
      </c>
    </row>
    <row r="73" spans="1:4" ht="15" customHeight="1">
      <c r="A73" s="41"/>
      <c r="B73" s="45" t="s">
        <v>9</v>
      </c>
      <c r="C73" s="40">
        <f>SUM(C30:C72)</f>
        <v>10548.06</v>
      </c>
      <c r="D73" s="40">
        <f>SUM(D30:D72)</f>
        <v>7399.571249999999</v>
      </c>
    </row>
    <row r="74" spans="1:4" ht="15" customHeight="1">
      <c r="A74" s="41"/>
      <c r="B74" s="45" t="s">
        <v>48</v>
      </c>
      <c r="C74" s="40">
        <f>C73+C28</f>
        <v>25588</v>
      </c>
      <c r="D74" s="40">
        <f>D73+D28</f>
        <v>18114.99875</v>
      </c>
    </row>
    <row r="75" spans="1:5" ht="12.75" customHeight="1">
      <c r="A75" s="46"/>
      <c r="B75" s="29"/>
      <c r="C75" s="14"/>
      <c r="D75" s="14"/>
      <c r="E75" s="68"/>
    </row>
    <row r="76" spans="1:4" ht="15.75">
      <c r="A76" s="142" t="s">
        <v>63</v>
      </c>
      <c r="B76" s="142"/>
      <c r="C76" s="30">
        <v>400</v>
      </c>
      <c r="D76" s="116">
        <v>250</v>
      </c>
    </row>
    <row r="77" spans="1:4" ht="15.75" customHeight="1">
      <c r="A77" s="142" t="s">
        <v>64</v>
      </c>
      <c r="B77" s="142"/>
      <c r="C77" s="48">
        <f>C74/C76</f>
        <v>63.97</v>
      </c>
      <c r="D77" s="117">
        <f>D74/D76</f>
        <v>72.45999499999999</v>
      </c>
    </row>
    <row r="78" spans="1:6" ht="12.75" customHeight="1">
      <c r="A78" s="18"/>
      <c r="B78" s="18"/>
      <c r="C78" s="47"/>
      <c r="D78" s="47"/>
      <c r="F78" s="68"/>
    </row>
    <row r="79" spans="1:4" s="7" customFormat="1" ht="15.75">
      <c r="A79" s="146" t="s">
        <v>56</v>
      </c>
      <c r="B79" s="147"/>
      <c r="C79" s="50">
        <v>60.59</v>
      </c>
      <c r="D79" s="50"/>
    </row>
    <row r="80" spans="1:4" s="7" customFormat="1" ht="15.75">
      <c r="A80" s="146" t="s">
        <v>85</v>
      </c>
      <c r="B80" s="147"/>
      <c r="C80" s="50"/>
      <c r="D80" s="50"/>
    </row>
    <row r="81" spans="1:4" s="7" customFormat="1" ht="15.75" customHeight="1">
      <c r="A81" s="26"/>
      <c r="B81" s="26"/>
      <c r="C81" s="26"/>
      <c r="D81" s="127"/>
    </row>
    <row r="82" spans="1:4" s="7" customFormat="1" ht="15.75">
      <c r="A82" s="26" t="s">
        <v>57</v>
      </c>
      <c r="B82" s="26"/>
      <c r="C82" s="26"/>
      <c r="D82" s="26"/>
    </row>
    <row r="83" spans="1:4" s="7" customFormat="1" ht="12.75" customHeight="1">
      <c r="A83" s="26"/>
      <c r="B83" s="26"/>
      <c r="C83" s="26"/>
      <c r="D83" s="26"/>
    </row>
    <row r="84" spans="1:4" s="7" customFormat="1" ht="15.75">
      <c r="A84" s="26" t="s">
        <v>78</v>
      </c>
      <c r="B84" s="27"/>
      <c r="C84" s="27"/>
      <c r="D84" s="27"/>
    </row>
    <row r="85" spans="1:4" s="7" customFormat="1" ht="13.5" customHeight="1">
      <c r="A85" s="26"/>
      <c r="B85" s="28"/>
      <c r="C85" s="26"/>
      <c r="D85" s="26"/>
    </row>
    <row r="86" s="7" customFormat="1" ht="13.5" customHeight="1">
      <c r="B86" s="8"/>
    </row>
    <row r="87" s="3" customFormat="1" ht="14.25"/>
  </sheetData>
  <sheetProtection/>
  <mergeCells count="11">
    <mergeCell ref="B12:D12"/>
    <mergeCell ref="A76:B76"/>
    <mergeCell ref="A77:B77"/>
    <mergeCell ref="A79:B79"/>
    <mergeCell ref="A80:B80"/>
    <mergeCell ref="B1:D1"/>
    <mergeCell ref="B2:D2"/>
    <mergeCell ref="A7:B7"/>
    <mergeCell ref="A8:B8"/>
    <mergeCell ref="A6:D6"/>
    <mergeCell ref="B11:D11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00390625" style="3" customWidth="1"/>
    <col min="2" max="2" width="79.7109375" style="3" customWidth="1"/>
    <col min="3" max="3" width="41.57421875" style="3" hidden="1" customWidth="1"/>
    <col min="4" max="4" width="36.57421875" style="3" customWidth="1"/>
  </cols>
  <sheetData>
    <row r="1" spans="1:4" ht="15.75" customHeight="1">
      <c r="A1" s="9"/>
      <c r="B1" s="148" t="s">
        <v>53</v>
      </c>
      <c r="C1" s="148"/>
      <c r="D1" s="143"/>
    </row>
    <row r="2" spans="1:4" ht="15.75">
      <c r="A2" s="9"/>
      <c r="B2" s="149" t="s">
        <v>58</v>
      </c>
      <c r="C2" s="149"/>
      <c r="D2" s="150"/>
    </row>
    <row r="3" spans="1:4" ht="15.75">
      <c r="A3" s="9"/>
      <c r="B3" s="19"/>
      <c r="C3" s="19"/>
      <c r="D3" s="120" t="s">
        <v>196</v>
      </c>
    </row>
    <row r="4" spans="1:4" ht="15.75">
      <c r="A4" s="9"/>
      <c r="B4" s="19"/>
      <c r="C4" s="19"/>
      <c r="D4" s="46"/>
    </row>
    <row r="5" spans="1:4" ht="15.75">
      <c r="A5" s="9"/>
      <c r="B5" s="24"/>
      <c r="C5" s="24"/>
      <c r="D5" s="46" t="s">
        <v>197</v>
      </c>
    </row>
    <row r="6" spans="1:4" ht="18.75">
      <c r="A6" s="138" t="s">
        <v>10</v>
      </c>
      <c r="B6" s="138"/>
      <c r="C6" s="138"/>
      <c r="D6" s="138"/>
    </row>
    <row r="7" spans="1:4" ht="15" customHeight="1">
      <c r="A7" s="142" t="s">
        <v>1</v>
      </c>
      <c r="B7" s="142"/>
      <c r="C7" s="18"/>
      <c r="D7" s="14"/>
    </row>
    <row r="8" spans="1:4" ht="15" customHeight="1">
      <c r="A8" s="142" t="s">
        <v>0</v>
      </c>
      <c r="B8" s="142"/>
      <c r="C8" s="18"/>
      <c r="D8" s="14"/>
    </row>
    <row r="9" spans="1:4" ht="15" customHeight="1">
      <c r="A9" s="18"/>
      <c r="B9" s="18" t="s">
        <v>49</v>
      </c>
      <c r="C9" s="18"/>
      <c r="D9" s="14"/>
    </row>
    <row r="10" spans="1:4" ht="15" customHeight="1">
      <c r="A10" s="18"/>
      <c r="B10" s="18" t="s">
        <v>75</v>
      </c>
      <c r="C10" s="18"/>
      <c r="D10" s="23"/>
    </row>
    <row r="11" spans="1:4" ht="15" customHeight="1">
      <c r="A11" s="18"/>
      <c r="B11" s="142" t="s">
        <v>76</v>
      </c>
      <c r="C11" s="142"/>
      <c r="D11" s="143"/>
    </row>
    <row r="12" spans="1:4" ht="15" customHeight="1">
      <c r="A12" s="18"/>
      <c r="B12" s="142" t="s">
        <v>174</v>
      </c>
      <c r="C12" s="142"/>
      <c r="D12" s="143"/>
    </row>
    <row r="13" spans="1:4" ht="15" customHeight="1">
      <c r="A13" s="18" t="s">
        <v>2</v>
      </c>
      <c r="B13" s="18" t="str">
        <f>'4.1.1.1.'!B13</f>
        <v>2019.gadā un turpmāk</v>
      </c>
      <c r="C13" s="18"/>
      <c r="D13" s="14"/>
    </row>
    <row r="14" spans="1:4" s="13" customFormat="1" ht="77.25" customHeight="1">
      <c r="A14" s="65" t="s">
        <v>3</v>
      </c>
      <c r="B14" s="65" t="s">
        <v>4</v>
      </c>
      <c r="C14" s="65"/>
      <c r="D14" s="65" t="s">
        <v>83</v>
      </c>
    </row>
    <row r="15" spans="1:4" ht="15.75">
      <c r="A15" s="31">
        <v>1</v>
      </c>
      <c r="B15" s="32">
        <v>2</v>
      </c>
      <c r="C15" s="32"/>
      <c r="D15" s="32">
        <v>3</v>
      </c>
    </row>
    <row r="16" spans="1:4" ht="15.75">
      <c r="A16" s="33"/>
      <c r="B16" s="34" t="s">
        <v>6</v>
      </c>
      <c r="C16" s="34"/>
      <c r="D16" s="35"/>
    </row>
    <row r="17" spans="1:7" ht="15.75">
      <c r="A17" s="36">
        <v>1100</v>
      </c>
      <c r="B17" s="36" t="s">
        <v>91</v>
      </c>
      <c r="C17" s="37">
        <f>3506.76+2.72*200</f>
        <v>4050.76</v>
      </c>
      <c r="D17" s="37">
        <v>3585</v>
      </c>
      <c r="E17" s="126"/>
      <c r="G17" s="126"/>
    </row>
    <row r="18" spans="1:4" ht="31.5">
      <c r="A18" s="36">
        <v>1200</v>
      </c>
      <c r="B18" s="38" t="s">
        <v>92</v>
      </c>
      <c r="C18" s="37">
        <f>844.78+200*0.66</f>
        <v>976.78</v>
      </c>
      <c r="D18" s="37">
        <v>863.63</v>
      </c>
    </row>
    <row r="19" spans="1:4" ht="14.25" customHeight="1">
      <c r="A19" s="36">
        <v>2222</v>
      </c>
      <c r="B19" s="38" t="s">
        <v>43</v>
      </c>
      <c r="C19" s="37">
        <v>220.68</v>
      </c>
      <c r="D19" s="37">
        <f>C19/200*150</f>
        <v>165.51</v>
      </c>
    </row>
    <row r="20" spans="1:4" ht="15.75">
      <c r="A20" s="36">
        <v>2223</v>
      </c>
      <c r="B20" s="38" t="s">
        <v>44</v>
      </c>
      <c r="C20" s="37">
        <v>302.6</v>
      </c>
      <c r="D20" s="37">
        <f>C20/200*150</f>
        <v>226.95000000000002</v>
      </c>
    </row>
    <row r="21" spans="1:4" ht="15.75">
      <c r="A21" s="36">
        <v>2243</v>
      </c>
      <c r="B21" s="38" t="s">
        <v>15</v>
      </c>
      <c r="C21" s="37">
        <v>56.71</v>
      </c>
      <c r="D21" s="37">
        <f>C21/200*150</f>
        <v>42.532500000000006</v>
      </c>
    </row>
    <row r="22" spans="1:4" ht="15.75" hidden="1">
      <c r="A22" s="36">
        <v>2249</v>
      </c>
      <c r="B22" s="38" t="s">
        <v>17</v>
      </c>
      <c r="C22" s="37">
        <v>0</v>
      </c>
      <c r="D22" s="37">
        <f>C22/200*50</f>
        <v>0</v>
      </c>
    </row>
    <row r="23" spans="1:4" ht="15.75">
      <c r="A23" s="36">
        <v>2321</v>
      </c>
      <c r="B23" s="38" t="s">
        <v>25</v>
      </c>
      <c r="C23" s="37">
        <v>330</v>
      </c>
      <c r="D23" s="37">
        <f>C23/200*150</f>
        <v>247.5</v>
      </c>
    </row>
    <row r="24" spans="1:4" ht="15.75">
      <c r="A24" s="36">
        <v>2341</v>
      </c>
      <c r="B24" s="38" t="s">
        <v>27</v>
      </c>
      <c r="C24" s="37">
        <v>452.3</v>
      </c>
      <c r="D24" s="37">
        <f>C24/200*150</f>
        <v>339.22499999999997</v>
      </c>
    </row>
    <row r="25" spans="1:4" ht="16.5" customHeight="1" hidden="1">
      <c r="A25" s="36">
        <v>2350</v>
      </c>
      <c r="B25" s="38" t="s">
        <v>29</v>
      </c>
      <c r="C25" s="37">
        <v>0</v>
      </c>
      <c r="D25" s="37">
        <f>C25/200*50</f>
        <v>0</v>
      </c>
    </row>
    <row r="26" spans="1:4" ht="15.75">
      <c r="A26" s="36">
        <v>2363</v>
      </c>
      <c r="B26" s="38" t="s">
        <v>32</v>
      </c>
      <c r="C26" s="37">
        <v>1476</v>
      </c>
      <c r="D26" s="37">
        <f>8.12*150</f>
        <v>1217.9999999999998</v>
      </c>
    </row>
    <row r="27" spans="1:4" ht="15.75">
      <c r="A27" s="36">
        <v>5232</v>
      </c>
      <c r="B27" s="38" t="s">
        <v>37</v>
      </c>
      <c r="C27" s="37">
        <v>230</v>
      </c>
      <c r="D27" s="37">
        <f>C27/200*150</f>
        <v>172.5</v>
      </c>
    </row>
    <row r="28" spans="1:4" ht="15.75">
      <c r="A28" s="36"/>
      <c r="B28" s="39" t="s">
        <v>7</v>
      </c>
      <c r="C28" s="40">
        <f>SUM(C17:C27)</f>
        <v>8095.830000000001</v>
      </c>
      <c r="D28" s="40">
        <f>SUM(D17:D27)</f>
        <v>6860.847500000001</v>
      </c>
    </row>
    <row r="29" spans="1:4" ht="15" customHeight="1">
      <c r="A29" s="41"/>
      <c r="B29" s="36" t="s">
        <v>8</v>
      </c>
      <c r="C29" s="35"/>
      <c r="D29" s="35"/>
    </row>
    <row r="30" spans="1:4" ht="15" customHeight="1">
      <c r="A30" s="36">
        <v>1100</v>
      </c>
      <c r="B30" s="36" t="s">
        <v>91</v>
      </c>
      <c r="C30" s="37">
        <v>1995.99</v>
      </c>
      <c r="D30" s="37">
        <f>C30/200*150</f>
        <v>1496.9925</v>
      </c>
    </row>
    <row r="31" spans="1:4" ht="31.5">
      <c r="A31" s="36">
        <v>1200</v>
      </c>
      <c r="B31" s="38" t="s">
        <v>92</v>
      </c>
      <c r="C31" s="37">
        <v>480.83</v>
      </c>
      <c r="D31" s="37">
        <f>C31/200*150</f>
        <v>360.6225</v>
      </c>
    </row>
    <row r="32" spans="1:4" ht="15.75" hidden="1">
      <c r="A32" s="36">
        <v>2100</v>
      </c>
      <c r="B32" s="42" t="s">
        <v>46</v>
      </c>
      <c r="C32" s="37">
        <v>0</v>
      </c>
      <c r="D32" s="37">
        <f>C32/200*50</f>
        <v>0</v>
      </c>
    </row>
    <row r="33" spans="1:4" ht="15.75">
      <c r="A33" s="43">
        <v>2210</v>
      </c>
      <c r="B33" s="38" t="s">
        <v>42</v>
      </c>
      <c r="C33" s="37">
        <v>42.38</v>
      </c>
      <c r="D33" s="37">
        <f>C33/200*150</f>
        <v>31.785</v>
      </c>
    </row>
    <row r="34" spans="1:4" ht="15" customHeight="1">
      <c r="A34" s="36">
        <v>2222</v>
      </c>
      <c r="B34" s="38" t="s">
        <v>43</v>
      </c>
      <c r="C34" s="37">
        <v>119.8</v>
      </c>
      <c r="D34" s="37">
        <f>C34/200*150</f>
        <v>89.85</v>
      </c>
    </row>
    <row r="35" spans="1:4" ht="15" customHeight="1">
      <c r="A35" s="36">
        <v>2223</v>
      </c>
      <c r="B35" s="38" t="s">
        <v>44</v>
      </c>
      <c r="C35" s="37">
        <v>167.25</v>
      </c>
      <c r="D35" s="37">
        <f>C35/200*150</f>
        <v>125.43750000000001</v>
      </c>
    </row>
    <row r="36" spans="1:4" ht="15" customHeight="1">
      <c r="A36" s="36">
        <v>2230</v>
      </c>
      <c r="B36" s="38" t="s">
        <v>45</v>
      </c>
      <c r="C36" s="37">
        <v>32.74</v>
      </c>
      <c r="D36" s="37">
        <f>C36/200*150</f>
        <v>24.555000000000003</v>
      </c>
    </row>
    <row r="37" spans="1:4" ht="15" customHeight="1" hidden="1">
      <c r="A37" s="36">
        <v>2241</v>
      </c>
      <c r="B37" s="38" t="s">
        <v>13</v>
      </c>
      <c r="C37" s="37">
        <v>0</v>
      </c>
      <c r="D37" s="37">
        <f>C37/200*50</f>
        <v>0</v>
      </c>
    </row>
    <row r="38" spans="1:4" ht="15" customHeight="1">
      <c r="A38" s="36">
        <v>2242</v>
      </c>
      <c r="B38" s="38" t="s">
        <v>14</v>
      </c>
      <c r="C38" s="37">
        <v>9.76</v>
      </c>
      <c r="D38" s="37">
        <f>C38/200*150</f>
        <v>7.319999999999999</v>
      </c>
    </row>
    <row r="39" spans="1:4" ht="15" customHeight="1">
      <c r="A39" s="36">
        <v>2243</v>
      </c>
      <c r="B39" s="38" t="s">
        <v>15</v>
      </c>
      <c r="C39" s="37">
        <v>31.15</v>
      </c>
      <c r="D39" s="37">
        <f>C39/200*150</f>
        <v>23.3625</v>
      </c>
    </row>
    <row r="40" spans="1:8" ht="15" customHeight="1">
      <c r="A40" s="36">
        <v>2244</v>
      </c>
      <c r="B40" s="38" t="s">
        <v>16</v>
      </c>
      <c r="C40" s="37">
        <v>553.68</v>
      </c>
      <c r="D40" s="37">
        <v>947.78</v>
      </c>
      <c r="E40" s="126"/>
      <c r="F40" s="126"/>
      <c r="H40" s="126"/>
    </row>
    <row r="41" spans="1:4" ht="15" customHeight="1">
      <c r="A41" s="36">
        <v>2247</v>
      </c>
      <c r="B41" s="34" t="s">
        <v>93</v>
      </c>
      <c r="C41" s="37">
        <v>2.57</v>
      </c>
      <c r="D41" s="37">
        <f aca="true" t="shared" si="0" ref="D41:D59">C41/200*150</f>
        <v>1.9274999999999998</v>
      </c>
    </row>
    <row r="42" spans="1:4" ht="15" customHeight="1">
      <c r="A42" s="36">
        <v>2249</v>
      </c>
      <c r="B42" s="38" t="s">
        <v>17</v>
      </c>
      <c r="C42" s="37">
        <v>11.25</v>
      </c>
      <c r="D42" s="37">
        <f t="shared" si="0"/>
        <v>8.4375</v>
      </c>
    </row>
    <row r="43" spans="1:4" ht="15" customHeight="1">
      <c r="A43" s="36">
        <v>2251</v>
      </c>
      <c r="B43" s="38" t="s">
        <v>94</v>
      </c>
      <c r="C43" s="37">
        <v>65.85</v>
      </c>
      <c r="D43" s="37">
        <f t="shared" si="0"/>
        <v>49.387499999999996</v>
      </c>
    </row>
    <row r="44" spans="1:4" ht="15.75">
      <c r="A44" s="36">
        <v>2252</v>
      </c>
      <c r="B44" s="38" t="s">
        <v>96</v>
      </c>
      <c r="C44" s="37">
        <v>1.41</v>
      </c>
      <c r="D44" s="37">
        <f t="shared" si="0"/>
        <v>1.0574999999999999</v>
      </c>
    </row>
    <row r="45" spans="1:4" ht="15" customHeight="1">
      <c r="A45" s="36">
        <v>2259</v>
      </c>
      <c r="B45" s="38" t="s">
        <v>95</v>
      </c>
      <c r="C45" s="37">
        <v>0.21</v>
      </c>
      <c r="D45" s="37">
        <f t="shared" si="0"/>
        <v>0.1575</v>
      </c>
    </row>
    <row r="46" spans="1:4" ht="15" customHeight="1">
      <c r="A46" s="36">
        <v>2261</v>
      </c>
      <c r="B46" s="38" t="s">
        <v>18</v>
      </c>
      <c r="C46" s="37">
        <v>7.97</v>
      </c>
      <c r="D46" s="37">
        <f t="shared" si="0"/>
        <v>5.977499999999999</v>
      </c>
    </row>
    <row r="47" spans="1:4" ht="15" customHeight="1">
      <c r="A47" s="36">
        <v>2262</v>
      </c>
      <c r="B47" s="38" t="s">
        <v>19</v>
      </c>
      <c r="C47" s="37">
        <v>28.54</v>
      </c>
      <c r="D47" s="37">
        <f t="shared" si="0"/>
        <v>21.404999999999998</v>
      </c>
    </row>
    <row r="48" spans="1:4" ht="15" customHeight="1">
      <c r="A48" s="36">
        <v>2263</v>
      </c>
      <c r="B48" s="38" t="s">
        <v>20</v>
      </c>
      <c r="C48" s="37">
        <v>19.89</v>
      </c>
      <c r="D48" s="37">
        <f t="shared" si="0"/>
        <v>14.917499999999999</v>
      </c>
    </row>
    <row r="49" spans="1:4" ht="15" customHeight="1">
      <c r="A49" s="36">
        <v>2264</v>
      </c>
      <c r="B49" s="38" t="s">
        <v>21</v>
      </c>
      <c r="C49" s="37">
        <v>0.53</v>
      </c>
      <c r="D49" s="37">
        <f t="shared" si="0"/>
        <v>0.3975</v>
      </c>
    </row>
    <row r="50" spans="1:4" ht="15" customHeight="1">
      <c r="A50" s="36">
        <v>2279</v>
      </c>
      <c r="B50" s="38" t="s">
        <v>22</v>
      </c>
      <c r="C50" s="37">
        <v>117.6</v>
      </c>
      <c r="D50" s="37">
        <f t="shared" si="0"/>
        <v>88.19999999999999</v>
      </c>
    </row>
    <row r="51" spans="1:4" ht="15" customHeight="1">
      <c r="A51" s="36">
        <v>2311</v>
      </c>
      <c r="B51" s="38" t="s">
        <v>23</v>
      </c>
      <c r="C51" s="37">
        <v>11.08</v>
      </c>
      <c r="D51" s="37">
        <f t="shared" si="0"/>
        <v>8.31</v>
      </c>
    </row>
    <row r="52" spans="1:4" ht="15" customHeight="1">
      <c r="A52" s="36">
        <v>2312</v>
      </c>
      <c r="B52" s="38" t="s">
        <v>24</v>
      </c>
      <c r="C52" s="37">
        <v>20.46</v>
      </c>
      <c r="D52" s="37">
        <f t="shared" si="0"/>
        <v>15.345</v>
      </c>
    </row>
    <row r="53" spans="1:4" ht="15" customHeight="1">
      <c r="A53" s="36">
        <v>2321</v>
      </c>
      <c r="B53" s="38" t="s">
        <v>25</v>
      </c>
      <c r="C53" s="37">
        <v>439.39</v>
      </c>
      <c r="D53" s="37">
        <f t="shared" si="0"/>
        <v>329.54249999999996</v>
      </c>
    </row>
    <row r="54" spans="1:4" ht="15.75">
      <c r="A54" s="36">
        <v>2322</v>
      </c>
      <c r="B54" s="38" t="s">
        <v>26</v>
      </c>
      <c r="C54" s="37">
        <v>74.13</v>
      </c>
      <c r="D54" s="37">
        <f t="shared" si="0"/>
        <v>55.5975</v>
      </c>
    </row>
    <row r="55" spans="1:4" ht="15" customHeight="1">
      <c r="A55" s="36">
        <v>2341</v>
      </c>
      <c r="B55" s="38" t="s">
        <v>27</v>
      </c>
      <c r="C55" s="37">
        <v>10.33</v>
      </c>
      <c r="D55" s="37">
        <f t="shared" si="0"/>
        <v>7.7475000000000005</v>
      </c>
    </row>
    <row r="56" spans="1:4" ht="15" customHeight="1">
      <c r="A56" s="36">
        <v>2344</v>
      </c>
      <c r="B56" s="38" t="s">
        <v>28</v>
      </c>
      <c r="C56" s="37">
        <v>0.14</v>
      </c>
      <c r="D56" s="37">
        <f t="shared" si="0"/>
        <v>0.10500000000000001</v>
      </c>
    </row>
    <row r="57" spans="1:4" ht="15" customHeight="1">
      <c r="A57" s="36">
        <v>2350</v>
      </c>
      <c r="B57" s="38" t="s">
        <v>29</v>
      </c>
      <c r="C57" s="37">
        <v>87.61</v>
      </c>
      <c r="D57" s="37">
        <f t="shared" si="0"/>
        <v>65.7075</v>
      </c>
    </row>
    <row r="58" spans="1:4" ht="15" customHeight="1">
      <c r="A58" s="36">
        <v>2361</v>
      </c>
      <c r="B58" s="38" t="s">
        <v>30</v>
      </c>
      <c r="C58" s="37">
        <v>44.5</v>
      </c>
      <c r="D58" s="37">
        <f t="shared" si="0"/>
        <v>33.375</v>
      </c>
    </row>
    <row r="59" spans="1:4" ht="15.75">
      <c r="A59" s="36">
        <v>2362</v>
      </c>
      <c r="B59" s="38" t="s">
        <v>31</v>
      </c>
      <c r="C59" s="37">
        <v>25.6</v>
      </c>
      <c r="D59" s="37">
        <f t="shared" si="0"/>
        <v>19.2</v>
      </c>
    </row>
    <row r="60" spans="1:4" ht="15.75" hidden="1">
      <c r="A60" s="36">
        <v>2363</v>
      </c>
      <c r="B60" s="38" t="s">
        <v>32</v>
      </c>
      <c r="C60" s="37">
        <v>0</v>
      </c>
      <c r="D60" s="37">
        <f>C60/200*50</f>
        <v>0</v>
      </c>
    </row>
    <row r="61" spans="1:4" ht="15.75" hidden="1">
      <c r="A61" s="36">
        <v>2370</v>
      </c>
      <c r="B61" s="38" t="s">
        <v>33</v>
      </c>
      <c r="C61" s="37">
        <v>0</v>
      </c>
      <c r="D61" s="37">
        <f>C61/200*50</f>
        <v>0</v>
      </c>
    </row>
    <row r="62" spans="1:4" ht="15.75">
      <c r="A62" s="36">
        <v>2400</v>
      </c>
      <c r="B62" s="38" t="s">
        <v>47</v>
      </c>
      <c r="C62" s="37">
        <v>4.54</v>
      </c>
      <c r="D62" s="37">
        <f>C62/200*150</f>
        <v>3.4050000000000002</v>
      </c>
    </row>
    <row r="63" spans="1:4" ht="15" customHeight="1">
      <c r="A63" s="36">
        <v>2513</v>
      </c>
      <c r="B63" s="38" t="s">
        <v>35</v>
      </c>
      <c r="C63" s="37">
        <v>71.29</v>
      </c>
      <c r="D63" s="37">
        <f>C63/200*150</f>
        <v>53.46750000000001</v>
      </c>
    </row>
    <row r="64" spans="1:4" ht="15" customHeight="1">
      <c r="A64" s="36">
        <v>2515</v>
      </c>
      <c r="B64" s="38" t="s">
        <v>97</v>
      </c>
      <c r="C64" s="37">
        <v>3.15</v>
      </c>
      <c r="D64" s="37">
        <f>C64/200*150</f>
        <v>2.3625</v>
      </c>
    </row>
    <row r="65" spans="1:4" ht="15.75">
      <c r="A65" s="36">
        <v>2519</v>
      </c>
      <c r="B65" s="38" t="s">
        <v>38</v>
      </c>
      <c r="C65" s="37">
        <v>16.61</v>
      </c>
      <c r="D65" s="37">
        <f>C65/200*150</f>
        <v>12.4575</v>
      </c>
    </row>
    <row r="66" spans="1:4" ht="15.75" hidden="1">
      <c r="A66" s="36">
        <v>6240</v>
      </c>
      <c r="B66" s="38" t="s">
        <v>50</v>
      </c>
      <c r="C66" s="37">
        <v>0</v>
      </c>
      <c r="D66" s="37">
        <f>C66/200*50</f>
        <v>0</v>
      </c>
    </row>
    <row r="67" spans="1:4" ht="15.75" hidden="1">
      <c r="A67" s="36">
        <v>6290</v>
      </c>
      <c r="B67" s="38" t="s">
        <v>51</v>
      </c>
      <c r="C67" s="37">
        <v>0</v>
      </c>
      <c r="D67" s="37">
        <f>C67/200*50</f>
        <v>0</v>
      </c>
    </row>
    <row r="68" spans="1:4" ht="15.75">
      <c r="A68" s="36">
        <v>5121</v>
      </c>
      <c r="B68" s="38" t="s">
        <v>36</v>
      </c>
      <c r="C68" s="37">
        <v>13.44</v>
      </c>
      <c r="D68" s="37">
        <f>C68/200*150</f>
        <v>10.08</v>
      </c>
    </row>
    <row r="69" spans="1:4" ht="15.75">
      <c r="A69" s="36">
        <v>5232</v>
      </c>
      <c r="B69" s="38" t="s">
        <v>37</v>
      </c>
      <c r="C69" s="37">
        <v>49.32</v>
      </c>
      <c r="D69" s="37">
        <f>C69/200*150</f>
        <v>36.99</v>
      </c>
    </row>
    <row r="70" spans="1:4" ht="15" customHeight="1">
      <c r="A70" s="36">
        <v>5238</v>
      </c>
      <c r="B70" s="38" t="s">
        <v>39</v>
      </c>
      <c r="C70" s="37">
        <v>149.18</v>
      </c>
      <c r="D70" s="37">
        <f>C70/200*150</f>
        <v>111.885</v>
      </c>
    </row>
    <row r="71" spans="1:4" ht="15" customHeight="1" hidden="1">
      <c r="A71" s="36">
        <v>5240</v>
      </c>
      <c r="B71" s="38" t="s">
        <v>40</v>
      </c>
      <c r="C71" s="37">
        <v>0</v>
      </c>
      <c r="D71" s="37">
        <f>C71/200*50</f>
        <v>0</v>
      </c>
    </row>
    <row r="72" spans="1:4" ht="15" customHeight="1">
      <c r="A72" s="36">
        <v>5250</v>
      </c>
      <c r="B72" s="38" t="s">
        <v>41</v>
      </c>
      <c r="C72" s="37">
        <v>468</v>
      </c>
      <c r="D72" s="37">
        <f>C72/200*150</f>
        <v>351</v>
      </c>
    </row>
    <row r="73" spans="1:4" ht="15.75">
      <c r="A73" s="41"/>
      <c r="B73" s="45" t="s">
        <v>9</v>
      </c>
      <c r="C73" s="40">
        <f>SUM(C30:C72)</f>
        <v>5178.169999999999</v>
      </c>
      <c r="D73" s="40">
        <f>SUM(D30:D72)</f>
        <v>4416.147499999999</v>
      </c>
    </row>
    <row r="74" spans="1:4" ht="15.75">
      <c r="A74" s="41"/>
      <c r="B74" s="45" t="s">
        <v>48</v>
      </c>
      <c r="C74" s="40">
        <f>C73+C28</f>
        <v>13274</v>
      </c>
      <c r="D74" s="40">
        <f>D73+D28</f>
        <v>11276.994999999999</v>
      </c>
    </row>
    <row r="75" spans="1:5" ht="15.75">
      <c r="A75" s="46"/>
      <c r="B75" s="29"/>
      <c r="C75" s="14"/>
      <c r="D75" s="14"/>
      <c r="E75" s="68"/>
    </row>
    <row r="76" spans="1:4" ht="15.75">
      <c r="A76" s="142" t="s">
        <v>63</v>
      </c>
      <c r="B76" s="142"/>
      <c r="C76" s="30">
        <v>200</v>
      </c>
      <c r="D76" s="116">
        <v>150</v>
      </c>
    </row>
    <row r="77" spans="1:4" ht="15.75" customHeight="1">
      <c r="A77" s="142" t="s">
        <v>64</v>
      </c>
      <c r="B77" s="142"/>
      <c r="C77" s="48">
        <f>C74/C76</f>
        <v>66.37</v>
      </c>
      <c r="D77" s="117">
        <f>D74/D76</f>
        <v>75.17996666666666</v>
      </c>
    </row>
    <row r="78" spans="1:4" ht="15.75" customHeight="1">
      <c r="A78" s="18"/>
      <c r="B78" s="18"/>
      <c r="C78" s="47"/>
      <c r="D78" s="47"/>
    </row>
    <row r="79" spans="1:5" s="7" customFormat="1" ht="15.75">
      <c r="A79" s="146" t="s">
        <v>56</v>
      </c>
      <c r="B79" s="147"/>
      <c r="C79" s="109">
        <v>62.99</v>
      </c>
      <c r="D79" s="50"/>
      <c r="E79" s="128"/>
    </row>
    <row r="80" spans="1:4" s="7" customFormat="1" ht="15.75">
      <c r="A80" s="146" t="s">
        <v>85</v>
      </c>
      <c r="B80" s="147"/>
      <c r="C80" s="50"/>
      <c r="D80" s="50"/>
    </row>
    <row r="81" spans="1:4" s="7" customFormat="1" ht="15" customHeight="1">
      <c r="A81" s="26"/>
      <c r="B81" s="26"/>
      <c r="C81" s="26"/>
      <c r="D81" s="26"/>
    </row>
    <row r="82" spans="1:4" s="7" customFormat="1" ht="15.75">
      <c r="A82" s="26" t="s">
        <v>57</v>
      </c>
      <c r="B82" s="26"/>
      <c r="C82" s="26"/>
      <c r="D82" s="26"/>
    </row>
    <row r="83" spans="1:4" s="7" customFormat="1" ht="15" customHeight="1">
      <c r="A83" s="26"/>
      <c r="B83" s="26"/>
      <c r="C83" s="26"/>
      <c r="D83" s="26"/>
    </row>
    <row r="84" spans="1:4" s="7" customFormat="1" ht="15.75">
      <c r="A84" s="26" t="s">
        <v>78</v>
      </c>
      <c r="B84" s="27"/>
      <c r="C84" s="27"/>
      <c r="D84" s="27"/>
    </row>
    <row r="85" spans="1:4" s="7" customFormat="1" ht="13.5" customHeight="1">
      <c r="A85" s="26"/>
      <c r="B85" s="28"/>
      <c r="C85" s="28"/>
      <c r="D85" s="26"/>
    </row>
    <row r="86" spans="2:3" s="7" customFormat="1" ht="13.5" customHeight="1">
      <c r="B86" s="8"/>
      <c r="C86" s="8"/>
    </row>
    <row r="87" s="3" customFormat="1" ht="14.25"/>
  </sheetData>
  <sheetProtection/>
  <mergeCells count="11">
    <mergeCell ref="B12:D12"/>
    <mergeCell ref="A76:B76"/>
    <mergeCell ref="A77:B77"/>
    <mergeCell ref="A79:B79"/>
    <mergeCell ref="A80:B80"/>
    <mergeCell ref="B1:D1"/>
    <mergeCell ref="B2:D2"/>
    <mergeCell ref="A7:B7"/>
    <mergeCell ref="A8:B8"/>
    <mergeCell ref="A6:D6"/>
    <mergeCell ref="B11:D11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421875" style="0" customWidth="1"/>
    <col min="2" max="2" width="99.7109375" style="0" customWidth="1"/>
    <col min="3" max="3" width="26.421875" style="0" hidden="1" customWidth="1"/>
    <col min="4" max="4" width="33.57421875" style="11" bestFit="1" customWidth="1"/>
  </cols>
  <sheetData>
    <row r="1" spans="1:4" ht="15.75" customHeight="1">
      <c r="A1" s="9"/>
      <c r="B1" s="148" t="s">
        <v>53</v>
      </c>
      <c r="C1" s="148"/>
      <c r="D1" s="143"/>
    </row>
    <row r="2" spans="1:4" ht="15.75">
      <c r="A2" s="9"/>
      <c r="B2" s="149" t="s">
        <v>58</v>
      </c>
      <c r="C2" s="149"/>
      <c r="D2" s="150"/>
    </row>
    <row r="3" spans="1:4" ht="15.75">
      <c r="A3" s="9"/>
      <c r="B3" s="19"/>
      <c r="C3" s="19"/>
      <c r="D3" s="120" t="s">
        <v>196</v>
      </c>
    </row>
    <row r="4" spans="1:4" ht="15.75">
      <c r="A4" s="9"/>
      <c r="B4" s="19"/>
      <c r="C4" s="19"/>
      <c r="D4" s="46"/>
    </row>
    <row r="5" spans="1:4" ht="15.75">
      <c r="A5" s="9"/>
      <c r="B5" s="24"/>
      <c r="C5" s="24"/>
      <c r="D5" s="46" t="s">
        <v>197</v>
      </c>
    </row>
    <row r="6" spans="1:4" ht="15">
      <c r="A6" s="9"/>
      <c r="B6" s="2"/>
      <c r="C6" s="2"/>
      <c r="D6" s="2"/>
    </row>
    <row r="7" spans="1:4" ht="18.75">
      <c r="A7" s="138" t="s">
        <v>10</v>
      </c>
      <c r="B7" s="138"/>
      <c r="C7" s="138"/>
      <c r="D7" s="138"/>
    </row>
    <row r="8" spans="1:4" ht="14.25">
      <c r="A8" s="10"/>
      <c r="B8" s="10"/>
      <c r="C8" s="10"/>
      <c r="D8" s="3"/>
    </row>
    <row r="9" spans="1:4" ht="15.75" customHeight="1">
      <c r="A9" s="142" t="s">
        <v>1</v>
      </c>
      <c r="B9" s="142"/>
      <c r="C9" s="18"/>
      <c r="D9" s="14"/>
    </row>
    <row r="10" spans="1:4" ht="15.75" customHeight="1">
      <c r="A10" s="142" t="s">
        <v>0</v>
      </c>
      <c r="B10" s="142"/>
      <c r="C10" s="18"/>
      <c r="D10" s="14"/>
    </row>
    <row r="11" spans="1:4" ht="15" customHeight="1">
      <c r="A11" s="18"/>
      <c r="B11" s="18" t="s">
        <v>49</v>
      </c>
      <c r="C11" s="18"/>
      <c r="D11" s="14"/>
    </row>
    <row r="12" spans="1:4" ht="15" customHeight="1">
      <c r="A12" s="18"/>
      <c r="B12" s="18" t="s">
        <v>75</v>
      </c>
      <c r="C12" s="18"/>
      <c r="D12" s="23"/>
    </row>
    <row r="13" spans="1:4" ht="15" customHeight="1">
      <c r="A13" s="18"/>
      <c r="B13" s="142" t="s">
        <v>76</v>
      </c>
      <c r="C13" s="142"/>
      <c r="D13" s="143"/>
    </row>
    <row r="14" spans="1:4" ht="15" customHeight="1">
      <c r="A14" s="18"/>
      <c r="B14" s="142" t="s">
        <v>175</v>
      </c>
      <c r="C14" s="142"/>
      <c r="D14" s="143"/>
    </row>
    <row r="15" spans="1:4" ht="18" customHeight="1">
      <c r="A15" s="18" t="s">
        <v>2</v>
      </c>
      <c r="B15" s="18" t="str">
        <f>'4.1.1.1.'!B13</f>
        <v>2019.gadā un turpmāk</v>
      </c>
      <c r="C15" s="18"/>
      <c r="D15" s="14"/>
    </row>
    <row r="16" spans="1:4" ht="67.5" customHeight="1">
      <c r="A16" s="65" t="s">
        <v>3</v>
      </c>
      <c r="B16" s="65" t="s">
        <v>4</v>
      </c>
      <c r="C16" s="65"/>
      <c r="D16" s="65" t="s">
        <v>83</v>
      </c>
    </row>
    <row r="17" spans="1:4" ht="15.75">
      <c r="A17" s="31">
        <v>1</v>
      </c>
      <c r="B17" s="32">
        <v>2</v>
      </c>
      <c r="C17" s="32"/>
      <c r="D17" s="32">
        <v>3</v>
      </c>
    </row>
    <row r="18" spans="1:4" ht="15" customHeight="1">
      <c r="A18" s="33"/>
      <c r="B18" s="34" t="s">
        <v>6</v>
      </c>
      <c r="C18" s="34"/>
      <c r="D18" s="35"/>
    </row>
    <row r="19" spans="1:6" ht="15" customHeight="1">
      <c r="A19" s="36">
        <v>1100</v>
      </c>
      <c r="B19" s="36" t="s">
        <v>91</v>
      </c>
      <c r="C19" s="37">
        <f>789.02+100*0.96</f>
        <v>885.02</v>
      </c>
      <c r="D19" s="37">
        <v>536.5</v>
      </c>
      <c r="F19" s="126"/>
    </row>
    <row r="20" spans="1:4" ht="15.75">
      <c r="A20" s="36">
        <v>1200</v>
      </c>
      <c r="B20" s="38" t="s">
        <v>92</v>
      </c>
      <c r="C20" s="37">
        <f>190.08+100*0.23</f>
        <v>213.08</v>
      </c>
      <c r="D20" s="37">
        <v>129.24</v>
      </c>
    </row>
    <row r="21" spans="1:4" ht="15" customHeight="1">
      <c r="A21" s="36">
        <v>2222</v>
      </c>
      <c r="B21" s="38" t="s">
        <v>43</v>
      </c>
      <c r="C21" s="37">
        <v>55.49</v>
      </c>
      <c r="D21" s="37">
        <v>27.75</v>
      </c>
    </row>
    <row r="22" spans="1:4" ht="15" customHeight="1">
      <c r="A22" s="36">
        <v>2223</v>
      </c>
      <c r="B22" s="38" t="s">
        <v>44</v>
      </c>
      <c r="C22" s="37">
        <v>52.91</v>
      </c>
      <c r="D22" s="37">
        <v>26.46</v>
      </c>
    </row>
    <row r="23" spans="1:4" ht="15" customHeight="1">
      <c r="A23" s="36">
        <v>2243</v>
      </c>
      <c r="B23" s="38" t="s">
        <v>15</v>
      </c>
      <c r="C23" s="37">
        <v>14.2</v>
      </c>
      <c r="D23" s="37">
        <v>7.1</v>
      </c>
    </row>
    <row r="24" spans="1:4" ht="15" customHeight="1" hidden="1">
      <c r="A24" s="36">
        <v>2249</v>
      </c>
      <c r="B24" s="38" t="s">
        <v>17</v>
      </c>
      <c r="C24" s="37">
        <v>0</v>
      </c>
      <c r="D24" s="37">
        <f>C24/100*50</f>
        <v>0</v>
      </c>
    </row>
    <row r="25" spans="1:4" ht="15" customHeight="1">
      <c r="A25" s="36">
        <v>2321</v>
      </c>
      <c r="B25" s="38" t="s">
        <v>25</v>
      </c>
      <c r="C25" s="37">
        <v>78.34</v>
      </c>
      <c r="D25" s="37">
        <v>39.17</v>
      </c>
    </row>
    <row r="26" spans="1:4" ht="15" customHeight="1">
      <c r="A26" s="36">
        <v>2341</v>
      </c>
      <c r="B26" s="38" t="s">
        <v>27</v>
      </c>
      <c r="C26" s="37">
        <v>35.66</v>
      </c>
      <c r="D26" s="37">
        <v>17.83</v>
      </c>
    </row>
    <row r="27" spans="1:4" ht="15" customHeight="1" hidden="1">
      <c r="A27" s="36">
        <v>2350</v>
      </c>
      <c r="B27" s="38" t="s">
        <v>29</v>
      </c>
      <c r="C27" s="37">
        <v>0</v>
      </c>
      <c r="D27" s="37">
        <f>C27/100*50</f>
        <v>0</v>
      </c>
    </row>
    <row r="28" spans="1:4" ht="15" customHeight="1">
      <c r="A28" s="36">
        <v>2363</v>
      </c>
      <c r="B28" s="38" t="s">
        <v>32</v>
      </c>
      <c r="C28" s="37">
        <v>352</v>
      </c>
      <c r="D28" s="37">
        <v>196</v>
      </c>
    </row>
    <row r="29" spans="1:4" ht="15" customHeight="1">
      <c r="A29" s="36">
        <v>5232</v>
      </c>
      <c r="B29" s="38" t="s">
        <v>37</v>
      </c>
      <c r="C29" s="37">
        <v>22.27</v>
      </c>
      <c r="D29" s="37">
        <v>11.14</v>
      </c>
    </row>
    <row r="30" spans="1:4" ht="15" customHeight="1">
      <c r="A30" s="36"/>
      <c r="B30" s="39" t="s">
        <v>7</v>
      </c>
      <c r="C30" s="40">
        <f>SUM(C19:C29)</f>
        <v>1708.97</v>
      </c>
      <c r="D30" s="40">
        <f>SUM(D19:D29)</f>
        <v>991.19</v>
      </c>
    </row>
    <row r="31" spans="1:4" ht="15" customHeight="1">
      <c r="A31" s="41"/>
      <c r="B31" s="36" t="s">
        <v>8</v>
      </c>
      <c r="C31" s="35"/>
      <c r="D31" s="35"/>
    </row>
    <row r="32" spans="1:4" ht="15" customHeight="1">
      <c r="A32" s="36">
        <v>1100</v>
      </c>
      <c r="B32" s="36" t="s">
        <v>91</v>
      </c>
      <c r="C32" s="37">
        <v>713.12</v>
      </c>
      <c r="D32" s="37">
        <f aca="true" t="shared" si="0" ref="D32:D72">C32/100*50</f>
        <v>356.56</v>
      </c>
    </row>
    <row r="33" spans="1:4" ht="15.75">
      <c r="A33" s="36">
        <v>1200</v>
      </c>
      <c r="B33" s="38" t="s">
        <v>92</v>
      </c>
      <c r="C33" s="37">
        <v>171.79</v>
      </c>
      <c r="D33" s="37">
        <f t="shared" si="0"/>
        <v>85.895</v>
      </c>
    </row>
    <row r="34" spans="1:4" ht="15.75" customHeight="1" hidden="1">
      <c r="A34" s="36">
        <v>2100</v>
      </c>
      <c r="B34" s="42" t="s">
        <v>46</v>
      </c>
      <c r="C34" s="37">
        <v>0</v>
      </c>
      <c r="D34" s="37">
        <f t="shared" si="0"/>
        <v>0</v>
      </c>
    </row>
    <row r="35" spans="1:4" ht="15" customHeight="1">
      <c r="A35" s="43">
        <v>2210</v>
      </c>
      <c r="B35" s="38" t="s">
        <v>42</v>
      </c>
      <c r="C35" s="37">
        <v>11.22</v>
      </c>
      <c r="D35" s="37">
        <f t="shared" si="0"/>
        <v>5.61</v>
      </c>
    </row>
    <row r="36" spans="1:4" ht="15" customHeight="1">
      <c r="A36" s="36">
        <v>2222</v>
      </c>
      <c r="B36" s="38" t="s">
        <v>43</v>
      </c>
      <c r="C36" s="37">
        <v>88.35</v>
      </c>
      <c r="D36" s="37">
        <f t="shared" si="0"/>
        <v>44.175</v>
      </c>
    </row>
    <row r="37" spans="1:4" ht="15" customHeight="1">
      <c r="A37" s="36">
        <v>2223</v>
      </c>
      <c r="B37" s="38" t="s">
        <v>44</v>
      </c>
      <c r="C37" s="37">
        <v>112.41</v>
      </c>
      <c r="D37" s="37">
        <f t="shared" si="0"/>
        <v>56.20499999999999</v>
      </c>
    </row>
    <row r="38" spans="1:4" ht="15" customHeight="1">
      <c r="A38" s="36">
        <v>2230</v>
      </c>
      <c r="B38" s="38" t="s">
        <v>45</v>
      </c>
      <c r="C38" s="37">
        <v>7.64</v>
      </c>
      <c r="D38" s="37">
        <f t="shared" si="0"/>
        <v>3.82</v>
      </c>
    </row>
    <row r="39" spans="1:4" ht="15.75" customHeight="1" hidden="1">
      <c r="A39" s="36">
        <v>2241</v>
      </c>
      <c r="B39" s="38" t="s">
        <v>13</v>
      </c>
      <c r="C39" s="37">
        <v>0</v>
      </c>
      <c r="D39" s="37">
        <f t="shared" si="0"/>
        <v>0</v>
      </c>
    </row>
    <row r="40" spans="1:4" ht="15" customHeight="1">
      <c r="A40" s="36">
        <v>2242</v>
      </c>
      <c r="B40" s="38" t="s">
        <v>14</v>
      </c>
      <c r="C40" s="37">
        <v>2.07</v>
      </c>
      <c r="D40" s="37">
        <f t="shared" si="0"/>
        <v>1.035</v>
      </c>
    </row>
    <row r="41" spans="1:4" ht="15" customHeight="1">
      <c r="A41" s="36">
        <v>2243</v>
      </c>
      <c r="B41" s="38" t="s">
        <v>15</v>
      </c>
      <c r="C41" s="37">
        <v>11</v>
      </c>
      <c r="D41" s="37">
        <f t="shared" si="0"/>
        <v>5.5</v>
      </c>
    </row>
    <row r="42" spans="1:4" ht="15" customHeight="1">
      <c r="A42" s="36">
        <v>2244</v>
      </c>
      <c r="B42" s="38" t="s">
        <v>16</v>
      </c>
      <c r="C42" s="37">
        <v>224.42</v>
      </c>
      <c r="D42" s="37">
        <v>179</v>
      </c>
    </row>
    <row r="43" spans="1:4" ht="15" customHeight="1">
      <c r="A43" s="36">
        <v>2247</v>
      </c>
      <c r="B43" s="34" t="s">
        <v>93</v>
      </c>
      <c r="C43" s="37">
        <v>0.69</v>
      </c>
      <c r="D43" s="37">
        <f t="shared" si="0"/>
        <v>0.345</v>
      </c>
    </row>
    <row r="44" spans="1:4" ht="15" customHeight="1">
      <c r="A44" s="36">
        <v>2249</v>
      </c>
      <c r="B44" s="38" t="s">
        <v>17</v>
      </c>
      <c r="C44" s="37">
        <v>2.86</v>
      </c>
      <c r="D44" s="37">
        <f t="shared" si="0"/>
        <v>1.43</v>
      </c>
    </row>
    <row r="45" spans="1:4" ht="15" customHeight="1">
      <c r="A45" s="36">
        <v>2251</v>
      </c>
      <c r="B45" s="38" t="s">
        <v>94</v>
      </c>
      <c r="C45" s="37">
        <v>28.72</v>
      </c>
      <c r="D45" s="37">
        <f t="shared" si="0"/>
        <v>14.360000000000001</v>
      </c>
    </row>
    <row r="46" spans="1:4" ht="15.75" customHeight="1" hidden="1">
      <c r="A46" s="36">
        <v>2252</v>
      </c>
      <c r="B46" s="38" t="s">
        <v>11</v>
      </c>
      <c r="C46" s="37">
        <v>0</v>
      </c>
      <c r="D46" s="37">
        <f t="shared" si="0"/>
        <v>0</v>
      </c>
    </row>
    <row r="47" spans="1:4" ht="15" customHeight="1">
      <c r="A47" s="36">
        <v>2259</v>
      </c>
      <c r="B47" s="38" t="s">
        <v>95</v>
      </c>
      <c r="C47" s="37">
        <v>0.08</v>
      </c>
      <c r="D47" s="37">
        <f t="shared" si="0"/>
        <v>0.04</v>
      </c>
    </row>
    <row r="48" spans="1:4" ht="15" customHeight="1" hidden="1">
      <c r="A48" s="36">
        <v>2261</v>
      </c>
      <c r="B48" s="38" t="s">
        <v>18</v>
      </c>
      <c r="C48" s="37">
        <v>0</v>
      </c>
      <c r="D48" s="37">
        <f t="shared" si="0"/>
        <v>0</v>
      </c>
    </row>
    <row r="49" spans="1:4" ht="15" customHeight="1">
      <c r="A49" s="36">
        <v>2262</v>
      </c>
      <c r="B49" s="38" t="s">
        <v>19</v>
      </c>
      <c r="C49" s="37">
        <v>8.04</v>
      </c>
      <c r="D49" s="37">
        <f t="shared" si="0"/>
        <v>4.02</v>
      </c>
    </row>
    <row r="50" spans="1:4" ht="15" customHeight="1">
      <c r="A50" s="36">
        <v>2263</v>
      </c>
      <c r="B50" s="38" t="s">
        <v>20</v>
      </c>
      <c r="C50" s="37">
        <v>28.68</v>
      </c>
      <c r="D50" s="37">
        <f t="shared" si="0"/>
        <v>14.34</v>
      </c>
    </row>
    <row r="51" spans="1:4" ht="15.75" customHeight="1">
      <c r="A51" s="36">
        <v>2264</v>
      </c>
      <c r="B51" s="38" t="s">
        <v>21</v>
      </c>
      <c r="C51" s="37">
        <v>0.08</v>
      </c>
      <c r="D51" s="37">
        <f t="shared" si="0"/>
        <v>0.04</v>
      </c>
    </row>
    <row r="52" spans="1:4" ht="15.75" customHeight="1">
      <c r="A52" s="36">
        <v>2279</v>
      </c>
      <c r="B52" s="38" t="s">
        <v>22</v>
      </c>
      <c r="C52" s="37">
        <v>38.34</v>
      </c>
      <c r="D52" s="37">
        <f t="shared" si="0"/>
        <v>19.17</v>
      </c>
    </row>
    <row r="53" spans="1:4" ht="15" customHeight="1">
      <c r="A53" s="36">
        <v>2311</v>
      </c>
      <c r="B53" s="38" t="s">
        <v>23</v>
      </c>
      <c r="C53" s="37">
        <v>12.53</v>
      </c>
      <c r="D53" s="37">
        <f t="shared" si="0"/>
        <v>6.265</v>
      </c>
    </row>
    <row r="54" spans="1:4" ht="15" customHeight="1">
      <c r="A54" s="36">
        <v>2312</v>
      </c>
      <c r="B54" s="38" t="s">
        <v>24</v>
      </c>
      <c r="C54" s="37">
        <v>38.68</v>
      </c>
      <c r="D54" s="37">
        <f t="shared" si="0"/>
        <v>19.34</v>
      </c>
    </row>
    <row r="55" spans="1:4" ht="15" customHeight="1">
      <c r="A55" s="36">
        <v>2321</v>
      </c>
      <c r="B55" s="38" t="s">
        <v>25</v>
      </c>
      <c r="C55" s="37">
        <v>195.41</v>
      </c>
      <c r="D55" s="37">
        <f t="shared" si="0"/>
        <v>97.705</v>
      </c>
    </row>
    <row r="56" spans="1:4" ht="15" customHeight="1">
      <c r="A56" s="36">
        <v>2322</v>
      </c>
      <c r="B56" s="38" t="s">
        <v>26</v>
      </c>
      <c r="C56" s="37">
        <v>19.35</v>
      </c>
      <c r="D56" s="37">
        <f t="shared" si="0"/>
        <v>9.675</v>
      </c>
    </row>
    <row r="57" spans="1:4" ht="15" customHeight="1">
      <c r="A57" s="36">
        <v>2341</v>
      </c>
      <c r="B57" s="38" t="s">
        <v>27</v>
      </c>
      <c r="C57" s="37">
        <v>1.32</v>
      </c>
      <c r="D57" s="37">
        <f t="shared" si="0"/>
        <v>0.66</v>
      </c>
    </row>
    <row r="58" spans="1:4" ht="15" customHeight="1">
      <c r="A58" s="36">
        <v>2344</v>
      </c>
      <c r="B58" s="38" t="s">
        <v>28</v>
      </c>
      <c r="C58" s="37">
        <v>0.03</v>
      </c>
      <c r="D58" s="37">
        <f t="shared" si="0"/>
        <v>0.015</v>
      </c>
    </row>
    <row r="59" spans="1:4" ht="15" customHeight="1">
      <c r="A59" s="36">
        <v>2350</v>
      </c>
      <c r="B59" s="38" t="s">
        <v>29</v>
      </c>
      <c r="C59" s="37">
        <v>27.92</v>
      </c>
      <c r="D59" s="37">
        <f t="shared" si="0"/>
        <v>13.96</v>
      </c>
    </row>
    <row r="60" spans="1:4" ht="15" customHeight="1">
      <c r="A60" s="36">
        <v>2361</v>
      </c>
      <c r="B60" s="38" t="s">
        <v>30</v>
      </c>
      <c r="C60" s="37">
        <v>20.85</v>
      </c>
      <c r="D60" s="37">
        <f t="shared" si="0"/>
        <v>10.425</v>
      </c>
    </row>
    <row r="61" spans="1:4" ht="15" customHeight="1">
      <c r="A61" s="36">
        <v>2362</v>
      </c>
      <c r="B61" s="38" t="s">
        <v>31</v>
      </c>
      <c r="C61" s="37">
        <v>14.69</v>
      </c>
      <c r="D61" s="37">
        <f t="shared" si="0"/>
        <v>7.345</v>
      </c>
    </row>
    <row r="62" spans="1:4" ht="15" customHeight="1" hidden="1">
      <c r="A62" s="36">
        <v>2363</v>
      </c>
      <c r="B62" s="38" t="s">
        <v>32</v>
      </c>
      <c r="C62" s="37">
        <v>0</v>
      </c>
      <c r="D62" s="37">
        <f t="shared" si="0"/>
        <v>0</v>
      </c>
    </row>
    <row r="63" spans="1:4" ht="15.75" customHeight="1" hidden="1">
      <c r="A63" s="36">
        <v>2370</v>
      </c>
      <c r="B63" s="38" t="s">
        <v>33</v>
      </c>
      <c r="C63" s="37">
        <v>0</v>
      </c>
      <c r="D63" s="37">
        <f t="shared" si="0"/>
        <v>0</v>
      </c>
    </row>
    <row r="64" spans="1:4" ht="15" customHeight="1">
      <c r="A64" s="36">
        <v>2400</v>
      </c>
      <c r="B64" s="38" t="s">
        <v>47</v>
      </c>
      <c r="C64" s="37">
        <v>0.96</v>
      </c>
      <c r="D64" s="37">
        <f t="shared" si="0"/>
        <v>0.48</v>
      </c>
    </row>
    <row r="65" spans="1:4" ht="15" customHeight="1">
      <c r="A65" s="36">
        <v>2513</v>
      </c>
      <c r="B65" s="38" t="s">
        <v>35</v>
      </c>
      <c r="C65" s="37">
        <v>17.26</v>
      </c>
      <c r="D65" s="37">
        <f t="shared" si="0"/>
        <v>8.63</v>
      </c>
    </row>
    <row r="66" spans="1:4" ht="15" customHeight="1">
      <c r="A66" s="36">
        <v>2515</v>
      </c>
      <c r="B66" s="38" t="s">
        <v>97</v>
      </c>
      <c r="C66" s="37">
        <v>2.32</v>
      </c>
      <c r="D66" s="37">
        <f t="shared" si="0"/>
        <v>1.16</v>
      </c>
    </row>
    <row r="67" spans="1:4" ht="15" customHeight="1">
      <c r="A67" s="36">
        <v>2519</v>
      </c>
      <c r="B67" s="38" t="s">
        <v>38</v>
      </c>
      <c r="C67" s="37">
        <v>4.31</v>
      </c>
      <c r="D67" s="37">
        <f t="shared" si="0"/>
        <v>2.155</v>
      </c>
    </row>
    <row r="68" spans="1:4" ht="15.75" customHeight="1" hidden="1">
      <c r="A68" s="36">
        <v>6240</v>
      </c>
      <c r="B68" s="38" t="s">
        <v>50</v>
      </c>
      <c r="C68" s="37">
        <v>0</v>
      </c>
      <c r="D68" s="37">
        <f t="shared" si="0"/>
        <v>0</v>
      </c>
    </row>
    <row r="69" spans="1:4" ht="15.75" customHeight="1" hidden="1">
      <c r="A69" s="36">
        <v>6290</v>
      </c>
      <c r="B69" s="38" t="s">
        <v>51</v>
      </c>
      <c r="C69" s="37">
        <v>0</v>
      </c>
      <c r="D69" s="37">
        <f t="shared" si="0"/>
        <v>0</v>
      </c>
    </row>
    <row r="70" spans="1:4" ht="15" customHeight="1">
      <c r="A70" s="36">
        <v>5121</v>
      </c>
      <c r="B70" s="38" t="s">
        <v>36</v>
      </c>
      <c r="C70" s="37">
        <v>3.07</v>
      </c>
      <c r="D70" s="37">
        <f t="shared" si="0"/>
        <v>1.535</v>
      </c>
    </row>
    <row r="71" spans="1:4" ht="15" customHeight="1">
      <c r="A71" s="36">
        <v>5232</v>
      </c>
      <c r="B71" s="38" t="s">
        <v>37</v>
      </c>
      <c r="C71" s="37">
        <v>11.48</v>
      </c>
      <c r="D71" s="37">
        <f t="shared" si="0"/>
        <v>5.74</v>
      </c>
    </row>
    <row r="72" spans="1:4" ht="12.75" customHeight="1" hidden="1">
      <c r="A72" s="36">
        <v>5238</v>
      </c>
      <c r="B72" s="38" t="s">
        <v>39</v>
      </c>
      <c r="C72" s="37">
        <v>0</v>
      </c>
      <c r="D72" s="37">
        <f t="shared" si="0"/>
        <v>0</v>
      </c>
    </row>
    <row r="73" spans="1:4" ht="15" customHeight="1">
      <c r="A73" s="36">
        <v>5240</v>
      </c>
      <c r="B73" s="38" t="s">
        <v>40</v>
      </c>
      <c r="C73" s="37">
        <v>15.34</v>
      </c>
      <c r="D73" s="37">
        <v>7.67</v>
      </c>
    </row>
    <row r="74" spans="1:4" ht="15.75">
      <c r="A74" s="36">
        <v>5250</v>
      </c>
      <c r="B74" s="38" t="s">
        <v>41</v>
      </c>
      <c r="C74" s="44"/>
      <c r="D74" s="44"/>
    </row>
    <row r="75" spans="1:4" ht="15" customHeight="1">
      <c r="A75" s="41"/>
      <c r="B75" s="45" t="s">
        <v>9</v>
      </c>
      <c r="C75" s="40">
        <f>SUM(C32:C74)</f>
        <v>1835.0299999999997</v>
      </c>
      <c r="D75" s="40">
        <f>SUM(D32:D74)</f>
        <v>984.3049999999998</v>
      </c>
    </row>
    <row r="76" spans="1:4" ht="15" customHeight="1">
      <c r="A76" s="41"/>
      <c r="B76" s="45" t="s">
        <v>48</v>
      </c>
      <c r="C76" s="40">
        <f>C75+C30</f>
        <v>3544</v>
      </c>
      <c r="D76" s="40">
        <f>D75+D30</f>
        <v>1975.495</v>
      </c>
    </row>
    <row r="77" spans="1:4" ht="15.75">
      <c r="A77" s="46"/>
      <c r="B77" s="29"/>
      <c r="C77" s="14"/>
      <c r="D77" s="14"/>
    </row>
    <row r="78" spans="1:4" ht="15.75" customHeight="1">
      <c r="A78" s="142" t="s">
        <v>63</v>
      </c>
      <c r="B78" s="142"/>
      <c r="C78" s="30">
        <v>100</v>
      </c>
      <c r="D78" s="116">
        <v>50</v>
      </c>
    </row>
    <row r="79" spans="1:4" ht="15.75" customHeight="1">
      <c r="A79" s="142" t="s">
        <v>64</v>
      </c>
      <c r="B79" s="142"/>
      <c r="C79" s="48">
        <f>C76/C78</f>
        <v>35.44</v>
      </c>
      <c r="D79" s="117">
        <f>D76/D78</f>
        <v>39.509899999999995</v>
      </c>
    </row>
    <row r="80" spans="1:4" ht="15.75" customHeight="1">
      <c r="A80" s="18"/>
      <c r="B80" s="18"/>
      <c r="C80" s="47"/>
      <c r="D80" s="47"/>
    </row>
    <row r="81" spans="1:4" s="7" customFormat="1" ht="15.75">
      <c r="A81" s="146" t="s">
        <v>56</v>
      </c>
      <c r="B81" s="147"/>
      <c r="C81" s="25">
        <v>34.25</v>
      </c>
      <c r="D81" s="50"/>
    </row>
    <row r="82" spans="1:4" s="7" customFormat="1" ht="15.75">
      <c r="A82" s="146" t="s">
        <v>85</v>
      </c>
      <c r="B82" s="147"/>
      <c r="C82" s="25"/>
      <c r="D82" s="50"/>
    </row>
    <row r="83" spans="1:4" s="7" customFormat="1" ht="15.75">
      <c r="A83" s="26"/>
      <c r="B83" s="26"/>
      <c r="C83" s="26"/>
      <c r="D83" s="26"/>
    </row>
    <row r="84" spans="1:4" s="7" customFormat="1" ht="15.75">
      <c r="A84" s="26" t="s">
        <v>57</v>
      </c>
      <c r="B84" s="26"/>
      <c r="C84" s="26"/>
      <c r="D84" s="26"/>
    </row>
    <row r="85" spans="1:4" s="7" customFormat="1" ht="15.75">
      <c r="A85" s="26"/>
      <c r="B85" s="26"/>
      <c r="C85" s="26"/>
      <c r="D85" s="26"/>
    </row>
    <row r="86" spans="1:4" s="7" customFormat="1" ht="15.75">
      <c r="A86" s="26" t="s">
        <v>78</v>
      </c>
      <c r="B86" s="27"/>
      <c r="C86" s="27"/>
      <c r="D86" s="27"/>
    </row>
    <row r="87" spans="1:4" s="7" customFormat="1" ht="13.5" customHeight="1">
      <c r="A87" s="26"/>
      <c r="B87" s="28"/>
      <c r="C87" s="28"/>
      <c r="D87" s="26"/>
    </row>
    <row r="88" spans="2:3" s="7" customFormat="1" ht="13.5" customHeight="1">
      <c r="B88" s="8"/>
      <c r="C88" s="8"/>
    </row>
    <row r="89" s="3" customFormat="1" ht="14.25"/>
  </sheetData>
  <sheetProtection/>
  <mergeCells count="11">
    <mergeCell ref="B13:D13"/>
    <mergeCell ref="B14:D14"/>
    <mergeCell ref="A78:B78"/>
    <mergeCell ref="A79:B79"/>
    <mergeCell ref="A81:B81"/>
    <mergeCell ref="A82:B82"/>
    <mergeCell ref="B1:D1"/>
    <mergeCell ref="B2:D2"/>
    <mergeCell ref="A9:B9"/>
    <mergeCell ref="A10:B10"/>
    <mergeCell ref="A7:D7"/>
  </mergeCells>
  <printOptions/>
  <pageMargins left="0.7086614173228347" right="0.4724409448818898" top="0.984251968503937" bottom="0.7480314960629921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28125" style="11" customWidth="1"/>
    <col min="2" max="2" width="99.57421875" style="11" customWidth="1"/>
    <col min="3" max="3" width="43.28125" style="11" hidden="1" customWidth="1"/>
    <col min="4" max="4" width="34.00390625" style="11" customWidth="1"/>
  </cols>
  <sheetData>
    <row r="1" spans="1:4" ht="15.75" customHeight="1">
      <c r="A1" s="9"/>
      <c r="B1" s="148" t="s">
        <v>53</v>
      </c>
      <c r="C1" s="148"/>
      <c r="D1" s="143"/>
    </row>
    <row r="2" spans="1:4" ht="15.75">
      <c r="A2" s="9"/>
      <c r="B2" s="149" t="s">
        <v>58</v>
      </c>
      <c r="C2" s="149"/>
      <c r="D2" s="150"/>
    </row>
    <row r="3" spans="1:4" ht="15.75">
      <c r="A3" s="9"/>
      <c r="B3" s="19"/>
      <c r="C3" s="19"/>
      <c r="D3" s="120" t="s">
        <v>196</v>
      </c>
    </row>
    <row r="4" spans="1:4" ht="15.75">
      <c r="A4" s="9"/>
      <c r="B4" s="19"/>
      <c r="C4" s="19"/>
      <c r="D4" s="46"/>
    </row>
    <row r="5" spans="1:4" ht="15.75">
      <c r="A5" s="9"/>
      <c r="B5" s="24"/>
      <c r="C5" s="24"/>
      <c r="D5" s="46" t="s">
        <v>197</v>
      </c>
    </row>
    <row r="6" spans="1:4" ht="15">
      <c r="A6" s="9"/>
      <c r="B6" s="2"/>
      <c r="C6" s="2"/>
      <c r="D6" s="2"/>
    </row>
    <row r="7" spans="1:5" ht="18.75">
      <c r="A7" s="138" t="s">
        <v>10</v>
      </c>
      <c r="B7" s="138"/>
      <c r="C7" s="138"/>
      <c r="D7" s="138"/>
      <c r="E7" s="60"/>
    </row>
    <row r="8" spans="1:4" ht="14.25">
      <c r="A8" s="10"/>
      <c r="B8" s="10"/>
      <c r="C8" s="10"/>
      <c r="D8" s="3"/>
    </row>
    <row r="9" spans="1:4" ht="15" customHeight="1">
      <c r="A9" s="142" t="s">
        <v>1</v>
      </c>
      <c r="B9" s="142"/>
      <c r="C9" s="18"/>
      <c r="D9" s="14"/>
    </row>
    <row r="10" spans="1:4" ht="15" customHeight="1">
      <c r="A10" s="142" t="s">
        <v>0</v>
      </c>
      <c r="B10" s="142"/>
      <c r="C10" s="18"/>
      <c r="D10" s="14"/>
    </row>
    <row r="11" spans="1:4" ht="15" customHeight="1">
      <c r="A11" s="18"/>
      <c r="B11" s="18" t="s">
        <v>49</v>
      </c>
      <c r="C11" s="18"/>
      <c r="D11" s="14"/>
    </row>
    <row r="12" spans="1:4" ht="15" customHeight="1">
      <c r="A12" s="18"/>
      <c r="B12" s="18" t="s">
        <v>75</v>
      </c>
      <c r="C12" s="18"/>
      <c r="D12" s="23"/>
    </row>
    <row r="13" spans="1:4" ht="15" customHeight="1">
      <c r="A13" s="18"/>
      <c r="B13" s="142" t="s">
        <v>76</v>
      </c>
      <c r="C13" s="142"/>
      <c r="D13" s="143"/>
    </row>
    <row r="14" spans="1:4" ht="15" customHeight="1">
      <c r="A14" s="18"/>
      <c r="B14" s="142" t="s">
        <v>176</v>
      </c>
      <c r="C14" s="142"/>
      <c r="D14" s="143"/>
    </row>
    <row r="15" spans="1:4" ht="15" customHeight="1">
      <c r="A15" s="18" t="s">
        <v>2</v>
      </c>
      <c r="B15" s="18" t="str">
        <f>'4.1.1.5.'!B15</f>
        <v>2019.gadā un turpmāk</v>
      </c>
      <c r="C15" s="18"/>
      <c r="D15" s="14"/>
    </row>
    <row r="16" spans="1:4" ht="67.5" customHeight="1">
      <c r="A16" s="65" t="s">
        <v>3</v>
      </c>
      <c r="B16" s="65" t="s">
        <v>4</v>
      </c>
      <c r="C16" s="65"/>
      <c r="D16" s="65" t="s">
        <v>83</v>
      </c>
    </row>
    <row r="17" spans="1:4" ht="15.75">
      <c r="A17" s="31">
        <v>1</v>
      </c>
      <c r="B17" s="32">
        <v>2</v>
      </c>
      <c r="C17" s="32"/>
      <c r="D17" s="32">
        <v>3</v>
      </c>
    </row>
    <row r="18" spans="1:4" ht="15" customHeight="1">
      <c r="A18" s="33"/>
      <c r="B18" s="34" t="s">
        <v>6</v>
      </c>
      <c r="C18" s="34"/>
      <c r="D18" s="35"/>
    </row>
    <row r="19" spans="1:4" ht="15" customHeight="1">
      <c r="A19" s="36">
        <v>1100</v>
      </c>
      <c r="B19" s="36" t="s">
        <v>91</v>
      </c>
      <c r="C19" s="37">
        <f>5314.2+500*1</f>
        <v>5814.2</v>
      </c>
      <c r="D19" s="37">
        <v>1332.85</v>
      </c>
    </row>
    <row r="20" spans="1:4" ht="15.75">
      <c r="A20" s="36">
        <v>1200</v>
      </c>
      <c r="B20" s="38" t="s">
        <v>92</v>
      </c>
      <c r="C20" s="37">
        <f>1280.19+500*0.24</f>
        <v>1400.19</v>
      </c>
      <c r="D20" s="37">
        <v>321.08</v>
      </c>
    </row>
    <row r="21" spans="1:4" ht="15" customHeight="1">
      <c r="A21" s="36">
        <v>2222</v>
      </c>
      <c r="B21" s="38" t="s">
        <v>43</v>
      </c>
      <c r="C21" s="37">
        <v>295.12</v>
      </c>
      <c r="D21" s="37">
        <f aca="true" t="shared" si="0" ref="D21:D29">C21/500*95</f>
        <v>56.0728</v>
      </c>
    </row>
    <row r="22" spans="1:4" ht="15" customHeight="1">
      <c r="A22" s="36">
        <v>2223</v>
      </c>
      <c r="B22" s="38" t="s">
        <v>44</v>
      </c>
      <c r="C22" s="37">
        <v>323.3</v>
      </c>
      <c r="D22" s="37">
        <f t="shared" si="0"/>
        <v>61.42700000000001</v>
      </c>
    </row>
    <row r="23" spans="1:4" ht="15" customHeight="1" hidden="1">
      <c r="A23" s="36">
        <v>2243</v>
      </c>
      <c r="B23" s="38" t="s">
        <v>15</v>
      </c>
      <c r="C23" s="37">
        <v>0</v>
      </c>
      <c r="D23" s="37">
        <f t="shared" si="0"/>
        <v>0</v>
      </c>
    </row>
    <row r="24" spans="1:4" ht="15" customHeight="1">
      <c r="A24" s="36">
        <v>2249</v>
      </c>
      <c r="B24" s="38" t="s">
        <v>17</v>
      </c>
      <c r="C24" s="37">
        <v>365.99</v>
      </c>
      <c r="D24" s="37">
        <f t="shared" si="0"/>
        <v>69.5381</v>
      </c>
    </row>
    <row r="25" spans="1:4" ht="15" customHeight="1">
      <c r="A25" s="36">
        <v>2321</v>
      </c>
      <c r="B25" s="38" t="s">
        <v>25</v>
      </c>
      <c r="C25" s="37">
        <v>353.66</v>
      </c>
      <c r="D25" s="37">
        <f t="shared" si="0"/>
        <v>67.1954</v>
      </c>
    </row>
    <row r="26" spans="1:4" ht="15" customHeight="1">
      <c r="A26" s="36">
        <v>2341</v>
      </c>
      <c r="B26" s="38" t="s">
        <v>27</v>
      </c>
      <c r="C26" s="37">
        <v>311.46</v>
      </c>
      <c r="D26" s="37">
        <f t="shared" si="0"/>
        <v>59.17739999999999</v>
      </c>
    </row>
    <row r="27" spans="1:4" ht="15" customHeight="1" hidden="1">
      <c r="A27" s="36">
        <v>2350</v>
      </c>
      <c r="B27" s="38" t="s">
        <v>29</v>
      </c>
      <c r="C27" s="37">
        <v>0</v>
      </c>
      <c r="D27" s="37">
        <f t="shared" si="0"/>
        <v>0</v>
      </c>
    </row>
    <row r="28" spans="1:4" ht="15" customHeight="1">
      <c r="A28" s="36">
        <v>2363</v>
      </c>
      <c r="B28" s="38" t="s">
        <v>32</v>
      </c>
      <c r="C28" s="37">
        <v>3690</v>
      </c>
      <c r="D28" s="37">
        <v>771.4</v>
      </c>
    </row>
    <row r="29" spans="1:4" ht="15" customHeight="1">
      <c r="A29" s="36">
        <v>5232</v>
      </c>
      <c r="B29" s="38" t="s">
        <v>37</v>
      </c>
      <c r="C29" s="37">
        <v>125.45</v>
      </c>
      <c r="D29" s="37">
        <f t="shared" si="0"/>
        <v>23.8355</v>
      </c>
    </row>
    <row r="30" spans="1:4" ht="15" customHeight="1">
      <c r="A30" s="36"/>
      <c r="B30" s="39" t="s">
        <v>7</v>
      </c>
      <c r="C30" s="40">
        <f>SUM(C19:C29)</f>
        <v>12679.369999999999</v>
      </c>
      <c r="D30" s="40">
        <f>SUM(D19:D29)</f>
        <v>2762.5762</v>
      </c>
    </row>
    <row r="31" spans="1:4" ht="15" customHeight="1">
      <c r="A31" s="41"/>
      <c r="B31" s="36" t="s">
        <v>8</v>
      </c>
      <c r="C31" s="35"/>
      <c r="D31" s="35"/>
    </row>
    <row r="32" spans="1:4" ht="15" customHeight="1">
      <c r="A32" s="36">
        <v>1100</v>
      </c>
      <c r="B32" s="36" t="s">
        <v>91</v>
      </c>
      <c r="C32" s="37">
        <v>3946.65</v>
      </c>
      <c r="D32" s="37">
        <f aca="true" t="shared" si="1" ref="D32:D67">C32/500*95</f>
        <v>749.8635</v>
      </c>
    </row>
    <row r="33" spans="1:4" ht="15.75">
      <c r="A33" s="36">
        <v>1200</v>
      </c>
      <c r="B33" s="38" t="s">
        <v>92</v>
      </c>
      <c r="C33" s="37">
        <v>950.75</v>
      </c>
      <c r="D33" s="37">
        <f t="shared" si="1"/>
        <v>180.64249999999998</v>
      </c>
    </row>
    <row r="34" spans="1:4" ht="15.75" hidden="1">
      <c r="A34" s="36">
        <v>2100</v>
      </c>
      <c r="B34" s="42" t="s">
        <v>46</v>
      </c>
      <c r="C34" s="37">
        <v>0</v>
      </c>
      <c r="D34" s="37">
        <f t="shared" si="1"/>
        <v>0</v>
      </c>
    </row>
    <row r="35" spans="1:4" ht="15" customHeight="1">
      <c r="A35" s="43">
        <v>2210</v>
      </c>
      <c r="B35" s="38" t="s">
        <v>42</v>
      </c>
      <c r="C35" s="37">
        <v>68.72</v>
      </c>
      <c r="D35" s="37">
        <f t="shared" si="1"/>
        <v>13.0568</v>
      </c>
    </row>
    <row r="36" spans="1:4" ht="15" customHeight="1">
      <c r="A36" s="36">
        <v>2222</v>
      </c>
      <c r="B36" s="38" t="s">
        <v>43</v>
      </c>
      <c r="C36" s="37">
        <v>380.25</v>
      </c>
      <c r="D36" s="37">
        <f t="shared" si="1"/>
        <v>72.2475</v>
      </c>
    </row>
    <row r="37" spans="1:4" ht="15" customHeight="1">
      <c r="A37" s="36">
        <v>2223</v>
      </c>
      <c r="B37" s="38" t="s">
        <v>44</v>
      </c>
      <c r="C37" s="37">
        <v>420.05</v>
      </c>
      <c r="D37" s="37">
        <f t="shared" si="1"/>
        <v>79.8095</v>
      </c>
    </row>
    <row r="38" spans="1:4" ht="15" customHeight="1">
      <c r="A38" s="36">
        <v>2230</v>
      </c>
      <c r="B38" s="38" t="s">
        <v>45</v>
      </c>
      <c r="C38" s="37">
        <v>42.98</v>
      </c>
      <c r="D38" s="37">
        <f t="shared" si="1"/>
        <v>8.1662</v>
      </c>
    </row>
    <row r="39" spans="1:4" ht="15" customHeight="1" hidden="1">
      <c r="A39" s="36">
        <v>2241</v>
      </c>
      <c r="B39" s="38" t="s">
        <v>13</v>
      </c>
      <c r="C39" s="37">
        <v>0</v>
      </c>
      <c r="D39" s="37">
        <f t="shared" si="1"/>
        <v>0</v>
      </c>
    </row>
    <row r="40" spans="1:4" ht="15" customHeight="1">
      <c r="A40" s="36">
        <v>2242</v>
      </c>
      <c r="B40" s="38" t="s">
        <v>14</v>
      </c>
      <c r="C40" s="37">
        <v>15.73</v>
      </c>
      <c r="D40" s="37">
        <f t="shared" si="1"/>
        <v>2.9887</v>
      </c>
    </row>
    <row r="41" spans="1:4" ht="15" customHeight="1">
      <c r="A41" s="36">
        <v>2243</v>
      </c>
      <c r="B41" s="38" t="s">
        <v>15</v>
      </c>
      <c r="C41" s="37">
        <v>48.32</v>
      </c>
      <c r="D41" s="37">
        <f t="shared" si="1"/>
        <v>9.1808</v>
      </c>
    </row>
    <row r="42" spans="1:4" ht="15" customHeight="1">
      <c r="A42" s="36">
        <v>2244</v>
      </c>
      <c r="B42" s="38" t="s">
        <v>16</v>
      </c>
      <c r="C42" s="37">
        <v>757.15</v>
      </c>
      <c r="D42" s="37">
        <v>449.66</v>
      </c>
    </row>
    <row r="43" spans="1:4" ht="15" customHeight="1">
      <c r="A43" s="36">
        <v>2247</v>
      </c>
      <c r="B43" s="34" t="s">
        <v>93</v>
      </c>
      <c r="C43" s="37">
        <v>4.3</v>
      </c>
      <c r="D43" s="37">
        <f t="shared" si="1"/>
        <v>0.817</v>
      </c>
    </row>
    <row r="44" spans="1:4" ht="15" customHeight="1">
      <c r="A44" s="36">
        <v>2249</v>
      </c>
      <c r="B44" s="38" t="s">
        <v>17</v>
      </c>
      <c r="C44" s="37">
        <v>17.58</v>
      </c>
      <c r="D44" s="37">
        <f t="shared" si="1"/>
        <v>3.3402</v>
      </c>
    </row>
    <row r="45" spans="1:4" ht="15" customHeight="1">
      <c r="A45" s="36">
        <v>2251</v>
      </c>
      <c r="B45" s="38" t="s">
        <v>94</v>
      </c>
      <c r="C45" s="37">
        <v>132.47</v>
      </c>
      <c r="D45" s="37">
        <f t="shared" si="1"/>
        <v>25.1693</v>
      </c>
    </row>
    <row r="46" spans="1:4" ht="15.75" hidden="1">
      <c r="A46" s="36">
        <v>2252</v>
      </c>
      <c r="B46" s="38" t="s">
        <v>11</v>
      </c>
      <c r="C46" s="37">
        <v>0</v>
      </c>
      <c r="D46" s="37">
        <f t="shared" si="1"/>
        <v>0</v>
      </c>
    </row>
    <row r="47" spans="1:4" ht="15.75">
      <c r="A47" s="36">
        <v>2259</v>
      </c>
      <c r="B47" s="38" t="s">
        <v>95</v>
      </c>
      <c r="C47" s="37">
        <v>0.46</v>
      </c>
      <c r="D47" s="37">
        <f t="shared" si="1"/>
        <v>0.0874</v>
      </c>
    </row>
    <row r="48" spans="1:4" ht="15" customHeight="1" hidden="1">
      <c r="A48" s="36">
        <v>2261</v>
      </c>
      <c r="B48" s="38" t="s">
        <v>18</v>
      </c>
      <c r="C48" s="37">
        <v>0</v>
      </c>
      <c r="D48" s="37">
        <f t="shared" si="1"/>
        <v>0</v>
      </c>
    </row>
    <row r="49" spans="1:4" ht="15" customHeight="1">
      <c r="A49" s="36">
        <v>2262</v>
      </c>
      <c r="B49" s="38" t="s">
        <v>19</v>
      </c>
      <c r="C49" s="37">
        <v>46.39</v>
      </c>
      <c r="D49" s="37">
        <f t="shared" si="1"/>
        <v>8.8141</v>
      </c>
    </row>
    <row r="50" spans="1:4" ht="15" customHeight="1">
      <c r="A50" s="36">
        <v>2263</v>
      </c>
      <c r="B50" s="38" t="s">
        <v>20</v>
      </c>
      <c r="C50" s="37">
        <v>171.49</v>
      </c>
      <c r="D50" s="37">
        <f t="shared" si="1"/>
        <v>32.5831</v>
      </c>
    </row>
    <row r="51" spans="1:4" ht="15" customHeight="1">
      <c r="A51" s="36">
        <v>2264</v>
      </c>
      <c r="B51" s="38" t="s">
        <v>21</v>
      </c>
      <c r="C51" s="37">
        <v>0.83</v>
      </c>
      <c r="D51" s="37">
        <f t="shared" si="1"/>
        <v>0.1577</v>
      </c>
    </row>
    <row r="52" spans="1:4" ht="15.75" customHeight="1">
      <c r="A52" s="36">
        <v>2279</v>
      </c>
      <c r="B52" s="38" t="s">
        <v>22</v>
      </c>
      <c r="C52" s="37">
        <v>188.65</v>
      </c>
      <c r="D52" s="37">
        <f t="shared" si="1"/>
        <v>35.8435</v>
      </c>
    </row>
    <row r="53" spans="1:4" ht="15.75">
      <c r="A53" s="36">
        <v>2311</v>
      </c>
      <c r="B53" s="38" t="s">
        <v>23</v>
      </c>
      <c r="C53" s="37">
        <v>17.61</v>
      </c>
      <c r="D53" s="37">
        <f t="shared" si="1"/>
        <v>3.3459000000000003</v>
      </c>
    </row>
    <row r="54" spans="1:4" ht="15.75">
      <c r="A54" s="36">
        <v>2312</v>
      </c>
      <c r="B54" s="38" t="s">
        <v>24</v>
      </c>
      <c r="C54" s="37">
        <v>33.42</v>
      </c>
      <c r="D54" s="37">
        <f t="shared" si="1"/>
        <v>6.3498</v>
      </c>
    </row>
    <row r="55" spans="1:4" ht="15.75">
      <c r="A55" s="36">
        <v>2321</v>
      </c>
      <c r="B55" s="38" t="s">
        <v>25</v>
      </c>
      <c r="C55" s="37">
        <v>1096.25</v>
      </c>
      <c r="D55" s="37">
        <f t="shared" si="1"/>
        <v>208.2875</v>
      </c>
    </row>
    <row r="56" spans="1:4" ht="15.75">
      <c r="A56" s="36">
        <v>2322</v>
      </c>
      <c r="B56" s="38" t="s">
        <v>26</v>
      </c>
      <c r="C56" s="37">
        <v>483.25</v>
      </c>
      <c r="D56" s="37">
        <f t="shared" si="1"/>
        <v>91.8175</v>
      </c>
    </row>
    <row r="57" spans="1:4" ht="15" customHeight="1">
      <c r="A57" s="36">
        <v>2341</v>
      </c>
      <c r="B57" s="38" t="s">
        <v>27</v>
      </c>
      <c r="C57" s="37">
        <v>12.7</v>
      </c>
      <c r="D57" s="37">
        <f t="shared" si="1"/>
        <v>2.413</v>
      </c>
    </row>
    <row r="58" spans="1:4" ht="15.75">
      <c r="A58" s="36">
        <v>2344</v>
      </c>
      <c r="B58" s="38" t="s">
        <v>28</v>
      </c>
      <c r="C58" s="37">
        <v>0.18</v>
      </c>
      <c r="D58" s="37">
        <f t="shared" si="1"/>
        <v>0.034199999999999994</v>
      </c>
    </row>
    <row r="59" spans="1:4" ht="15.75">
      <c r="A59" s="36">
        <v>2350</v>
      </c>
      <c r="B59" s="38" t="s">
        <v>29</v>
      </c>
      <c r="C59" s="37">
        <v>195.02</v>
      </c>
      <c r="D59" s="37">
        <f t="shared" si="1"/>
        <v>37.0538</v>
      </c>
    </row>
    <row r="60" spans="1:4" ht="15.75">
      <c r="A60" s="36">
        <v>2361</v>
      </c>
      <c r="B60" s="38" t="s">
        <v>30</v>
      </c>
      <c r="C60" s="37">
        <v>56.24</v>
      </c>
      <c r="D60" s="37">
        <f t="shared" si="1"/>
        <v>10.6856</v>
      </c>
    </row>
    <row r="61" spans="1:4" ht="15.75">
      <c r="A61" s="36">
        <v>2362</v>
      </c>
      <c r="B61" s="38" t="s">
        <v>31</v>
      </c>
      <c r="C61" s="37">
        <v>45.21</v>
      </c>
      <c r="D61" s="37">
        <f t="shared" si="1"/>
        <v>8.5899</v>
      </c>
    </row>
    <row r="62" spans="1:4" ht="15.75">
      <c r="A62" s="36">
        <v>2400</v>
      </c>
      <c r="B62" s="38" t="s">
        <v>47</v>
      </c>
      <c r="C62" s="37">
        <v>6.98</v>
      </c>
      <c r="D62" s="37">
        <f t="shared" si="1"/>
        <v>1.3262</v>
      </c>
    </row>
    <row r="63" spans="1:4" ht="15" customHeight="1">
      <c r="A63" s="36">
        <v>2513</v>
      </c>
      <c r="B63" s="38" t="s">
        <v>35</v>
      </c>
      <c r="C63" s="37">
        <v>121.06</v>
      </c>
      <c r="D63" s="37">
        <f t="shared" si="1"/>
        <v>23.0014</v>
      </c>
    </row>
    <row r="64" spans="1:4" ht="15.75" customHeight="1">
      <c r="A64" s="36">
        <v>2515</v>
      </c>
      <c r="B64" s="38" t="s">
        <v>97</v>
      </c>
      <c r="C64" s="37">
        <v>4.89</v>
      </c>
      <c r="D64" s="37">
        <f t="shared" si="1"/>
        <v>0.9290999999999999</v>
      </c>
    </row>
    <row r="65" spans="1:4" ht="15" customHeight="1">
      <c r="A65" s="36">
        <v>2519</v>
      </c>
      <c r="B65" s="38" t="s">
        <v>38</v>
      </c>
      <c r="C65" s="37">
        <v>28.75</v>
      </c>
      <c r="D65" s="37">
        <f t="shared" si="1"/>
        <v>5.4625</v>
      </c>
    </row>
    <row r="66" spans="1:4" ht="15" customHeight="1">
      <c r="A66" s="36">
        <v>5121</v>
      </c>
      <c r="B66" s="38" t="s">
        <v>36</v>
      </c>
      <c r="C66" s="37">
        <v>21.91</v>
      </c>
      <c r="D66" s="37">
        <f t="shared" si="1"/>
        <v>4.1629</v>
      </c>
    </row>
    <row r="67" spans="1:4" ht="15" customHeight="1">
      <c r="A67" s="36">
        <v>5232</v>
      </c>
      <c r="B67" s="38" t="s">
        <v>37</v>
      </c>
      <c r="C67" s="37">
        <v>895.25</v>
      </c>
      <c r="D67" s="37">
        <f t="shared" si="1"/>
        <v>170.0975</v>
      </c>
    </row>
    <row r="68" spans="1:4" ht="15.75" hidden="1">
      <c r="A68" s="36">
        <v>5238</v>
      </c>
      <c r="B68" s="38" t="s">
        <v>39</v>
      </c>
      <c r="C68" s="37">
        <v>0</v>
      </c>
      <c r="D68" s="37">
        <f>C68/500*100</f>
        <v>0</v>
      </c>
    </row>
    <row r="69" spans="1:4" ht="16.5" customHeight="1" hidden="1">
      <c r="A69" s="36">
        <v>5240</v>
      </c>
      <c r="B69" s="38" t="s">
        <v>40</v>
      </c>
      <c r="C69" s="37">
        <v>0</v>
      </c>
      <c r="D69" s="37">
        <f>C69/500*100</f>
        <v>0</v>
      </c>
    </row>
    <row r="70" spans="1:4" ht="15.75">
      <c r="A70" s="36">
        <v>5250</v>
      </c>
      <c r="B70" s="38" t="s">
        <v>41</v>
      </c>
      <c r="C70" s="37">
        <v>1734.14</v>
      </c>
      <c r="D70" s="37">
        <f>C70/500*95</f>
        <v>329.4866</v>
      </c>
    </row>
    <row r="71" spans="1:4" ht="15.75">
      <c r="A71" s="41"/>
      <c r="B71" s="45" t="s">
        <v>9</v>
      </c>
      <c r="C71" s="40">
        <f>SUM(C32:C70)</f>
        <v>11945.629999999997</v>
      </c>
      <c r="D71" s="40">
        <f>SUM(D32:D70)</f>
        <v>2575.4712</v>
      </c>
    </row>
    <row r="72" spans="1:4" ht="15.75">
      <c r="A72" s="41"/>
      <c r="B72" s="45" t="s">
        <v>48</v>
      </c>
      <c r="C72" s="40">
        <f>C71+C30</f>
        <v>24624.999999999996</v>
      </c>
      <c r="D72" s="40">
        <f>D71+D30</f>
        <v>5338.0473999999995</v>
      </c>
    </row>
    <row r="73" spans="1:4" ht="15.75">
      <c r="A73" s="46"/>
      <c r="B73" s="29"/>
      <c r="C73" s="14"/>
      <c r="D73" s="14"/>
    </row>
    <row r="74" spans="1:4" ht="15.75">
      <c r="A74" s="142" t="s">
        <v>63</v>
      </c>
      <c r="B74" s="142"/>
      <c r="C74" s="30">
        <v>500</v>
      </c>
      <c r="D74" s="116">
        <v>95</v>
      </c>
    </row>
    <row r="75" spans="1:4" ht="15.75">
      <c r="A75" s="142" t="s">
        <v>64</v>
      </c>
      <c r="B75" s="142"/>
      <c r="C75" s="48">
        <f>C72/C74</f>
        <v>49.24999999999999</v>
      </c>
      <c r="D75" s="117">
        <f>D72/D74</f>
        <v>56.18997263157894</v>
      </c>
    </row>
    <row r="76" spans="1:4" ht="15.75">
      <c r="A76" s="18"/>
      <c r="B76" s="18"/>
      <c r="C76" s="47"/>
      <c r="D76" s="47"/>
    </row>
    <row r="77" spans="1:4" s="7" customFormat="1" ht="15.75">
      <c r="A77" s="146" t="s">
        <v>56</v>
      </c>
      <c r="B77" s="147"/>
      <c r="C77" s="50">
        <v>48.01</v>
      </c>
      <c r="D77" s="50"/>
    </row>
    <row r="78" spans="1:4" s="7" customFormat="1" ht="15.75">
      <c r="A78" s="146" t="s">
        <v>85</v>
      </c>
      <c r="B78" s="147"/>
      <c r="C78" s="50"/>
      <c r="D78" s="50"/>
    </row>
    <row r="79" spans="1:4" s="7" customFormat="1" ht="15.75">
      <c r="A79" s="26"/>
      <c r="B79" s="26"/>
      <c r="C79" s="26"/>
      <c r="D79" s="26"/>
    </row>
    <row r="80" spans="1:4" s="7" customFormat="1" ht="15.75">
      <c r="A80" s="26" t="s">
        <v>57</v>
      </c>
      <c r="B80" s="26"/>
      <c r="C80" s="26"/>
      <c r="D80" s="26"/>
    </row>
    <row r="81" spans="1:4" s="7" customFormat="1" ht="15.75">
      <c r="A81" s="26"/>
      <c r="B81" s="26"/>
      <c r="C81" s="26"/>
      <c r="D81" s="26"/>
    </row>
    <row r="82" spans="1:4" s="7" customFormat="1" ht="15.75">
      <c r="A82" s="26" t="s">
        <v>78</v>
      </c>
      <c r="B82" s="27"/>
      <c r="C82" s="27"/>
      <c r="D82" s="27"/>
    </row>
    <row r="83" spans="1:4" s="7" customFormat="1" ht="13.5" customHeight="1">
      <c r="A83" s="26"/>
      <c r="B83" s="28"/>
      <c r="C83" s="28"/>
      <c r="D83" s="26"/>
    </row>
    <row r="84" spans="2:3" s="7" customFormat="1" ht="13.5" customHeight="1">
      <c r="B84" s="8"/>
      <c r="C84" s="8"/>
    </row>
    <row r="85" s="3" customFormat="1" ht="14.25"/>
  </sheetData>
  <sheetProtection/>
  <mergeCells count="11">
    <mergeCell ref="B13:D13"/>
    <mergeCell ref="B14:D14"/>
    <mergeCell ref="A74:B74"/>
    <mergeCell ref="A75:B75"/>
    <mergeCell ref="A77:B77"/>
    <mergeCell ref="A78:B78"/>
    <mergeCell ref="B1:D1"/>
    <mergeCell ref="B2:D2"/>
    <mergeCell ref="A9:B9"/>
    <mergeCell ref="A10:B10"/>
    <mergeCell ref="A7:D7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view="pageLayout" zoomScale="90" zoomScaleNormal="90" zoomScalePageLayoutView="90" workbookViewId="0" topLeftCell="A1">
      <selection activeCell="A3" sqref="A3:J3"/>
    </sheetView>
  </sheetViews>
  <sheetFormatPr defaultColWidth="9.140625" defaultRowHeight="12.75"/>
  <cols>
    <col min="1" max="1" width="12.28125" style="11" customWidth="1"/>
    <col min="2" max="2" width="99.7109375" style="11" customWidth="1"/>
    <col min="3" max="3" width="13.57421875" style="11" hidden="1" customWidth="1"/>
    <col min="4" max="4" width="33.28125" style="11" customWidth="1"/>
    <col min="6" max="7" width="0" style="0" hidden="1" customWidth="1"/>
  </cols>
  <sheetData>
    <row r="1" spans="1:4" ht="15.75" customHeight="1">
      <c r="A1" s="1"/>
      <c r="B1" s="148" t="s">
        <v>53</v>
      </c>
      <c r="C1" s="148"/>
      <c r="D1" s="143"/>
    </row>
    <row r="2" spans="1:4" ht="15.75">
      <c r="A2" s="1"/>
      <c r="B2" s="149" t="s">
        <v>58</v>
      </c>
      <c r="C2" s="149"/>
      <c r="D2" s="150"/>
    </row>
    <row r="3" spans="1:4" ht="15.75">
      <c r="A3" s="1"/>
      <c r="B3" s="19"/>
      <c r="C3" s="19"/>
      <c r="D3" s="120" t="s">
        <v>196</v>
      </c>
    </row>
    <row r="4" spans="1:4" ht="15.75">
      <c r="A4" s="1"/>
      <c r="B4" s="19"/>
      <c r="C4" s="19"/>
      <c r="D4" s="46"/>
    </row>
    <row r="5" spans="1:4" ht="15.75">
      <c r="A5" s="1"/>
      <c r="B5" s="24"/>
      <c r="C5" s="24"/>
      <c r="D5" s="46" t="s">
        <v>197</v>
      </c>
    </row>
    <row r="6" spans="1:4" ht="15">
      <c r="A6" s="1"/>
      <c r="B6" s="2"/>
      <c r="C6" s="2"/>
      <c r="D6" s="2"/>
    </row>
    <row r="7" spans="1:4" ht="18.75">
      <c r="A7" s="138" t="s">
        <v>10</v>
      </c>
      <c r="B7" s="138"/>
      <c r="C7" s="138"/>
      <c r="D7" s="138"/>
    </row>
    <row r="8" spans="1:4" ht="14.25">
      <c r="A8" s="10"/>
      <c r="B8" s="10"/>
      <c r="C8" s="10"/>
      <c r="D8" s="3"/>
    </row>
    <row r="9" spans="1:4" ht="15.75">
      <c r="A9" s="142" t="s">
        <v>1</v>
      </c>
      <c r="B9" s="142"/>
      <c r="C9" s="18"/>
      <c r="D9" s="14"/>
    </row>
    <row r="10" spans="1:4" ht="15.75">
      <c r="A10" s="142" t="s">
        <v>0</v>
      </c>
      <c r="B10" s="142"/>
      <c r="C10" s="18"/>
      <c r="D10" s="14"/>
    </row>
    <row r="11" spans="1:4" ht="15.75">
      <c r="A11" s="18"/>
      <c r="B11" s="18" t="s">
        <v>49</v>
      </c>
      <c r="C11" s="18"/>
      <c r="D11" s="14"/>
    </row>
    <row r="12" spans="1:4" ht="12.75" customHeight="1">
      <c r="A12" s="18"/>
      <c r="B12" s="18" t="s">
        <v>75</v>
      </c>
      <c r="C12" s="18"/>
      <c r="D12" s="23"/>
    </row>
    <row r="13" spans="1:4" ht="12.75" customHeight="1">
      <c r="A13" s="18"/>
      <c r="B13" s="142" t="s">
        <v>77</v>
      </c>
      <c r="C13" s="142"/>
      <c r="D13" s="143"/>
    </row>
    <row r="14" spans="1:4" ht="15.75">
      <c r="A14" s="18"/>
      <c r="B14" s="142" t="s">
        <v>177</v>
      </c>
      <c r="C14" s="142"/>
      <c r="D14" s="143"/>
    </row>
    <row r="15" spans="1:4" ht="15" customHeight="1">
      <c r="A15" s="18" t="s">
        <v>2</v>
      </c>
      <c r="B15" s="18" t="str">
        <f>'4.1.1.6.'!B15</f>
        <v>2019.gadā un turpmāk</v>
      </c>
      <c r="C15" s="18"/>
      <c r="D15" s="14"/>
    </row>
    <row r="16" spans="1:4" ht="67.5" customHeight="1">
      <c r="A16" s="65" t="s">
        <v>3</v>
      </c>
      <c r="B16" s="65" t="s">
        <v>4</v>
      </c>
      <c r="C16" s="65"/>
      <c r="D16" s="65" t="s">
        <v>83</v>
      </c>
    </row>
    <row r="17" spans="1:4" ht="15.75">
      <c r="A17" s="31">
        <v>1</v>
      </c>
      <c r="B17" s="32">
        <v>2</v>
      </c>
      <c r="C17" s="32"/>
      <c r="D17" s="32">
        <v>3</v>
      </c>
    </row>
    <row r="18" spans="1:4" ht="15.75">
      <c r="A18" s="33"/>
      <c r="B18" s="34" t="s">
        <v>6</v>
      </c>
      <c r="C18" s="34"/>
      <c r="D18" s="35"/>
    </row>
    <row r="19" spans="1:7" ht="15.75">
      <c r="A19" s="36">
        <v>1100</v>
      </c>
      <c r="B19" s="36" t="s">
        <v>91</v>
      </c>
      <c r="C19" s="37">
        <f>7671.3+500*2.72</f>
        <v>9031.3</v>
      </c>
      <c r="D19" s="37">
        <v>7598.5</v>
      </c>
      <c r="F19" s="37">
        <v>7702.34</v>
      </c>
      <c r="G19">
        <f>F21*24.09/124.09</f>
        <v>1848.0169135305018</v>
      </c>
    </row>
    <row r="20" spans="1:7" ht="15.75">
      <c r="A20" s="36">
        <v>1200</v>
      </c>
      <c r="B20" s="38" t="s">
        <v>92</v>
      </c>
      <c r="C20" s="37">
        <f>1848.02+500*0.66</f>
        <v>2178.02</v>
      </c>
      <c r="D20" s="37">
        <v>1830.48</v>
      </c>
      <c r="F20" s="37">
        <v>1816.98</v>
      </c>
      <c r="G20" s="68">
        <f>F21-G19</f>
        <v>7671.303086469497</v>
      </c>
    </row>
    <row r="21" spans="1:7" ht="15.75">
      <c r="A21" s="36">
        <v>2222</v>
      </c>
      <c r="B21" s="38" t="s">
        <v>43</v>
      </c>
      <c r="C21" s="37">
        <v>384.12</v>
      </c>
      <c r="D21" s="37">
        <f>C21/500*350</f>
        <v>268.884</v>
      </c>
      <c r="F21" s="68">
        <f>F19+F20</f>
        <v>9519.32</v>
      </c>
      <c r="G21" s="68">
        <f>G19+G20</f>
        <v>9519.32</v>
      </c>
    </row>
    <row r="22" spans="1:4" ht="15.75">
      <c r="A22" s="36">
        <v>2223</v>
      </c>
      <c r="B22" s="38" t="s">
        <v>44</v>
      </c>
      <c r="C22" s="37">
        <v>422.57</v>
      </c>
      <c r="D22" s="37">
        <f aca="true" t="shared" si="0" ref="D22:D29">C22/500*350</f>
        <v>295.799</v>
      </c>
    </row>
    <row r="23" spans="1:4" ht="15" customHeight="1">
      <c r="A23" s="36">
        <v>2243</v>
      </c>
      <c r="B23" s="38" t="s">
        <v>15</v>
      </c>
      <c r="C23" s="37">
        <v>141.93</v>
      </c>
      <c r="D23" s="37">
        <f t="shared" si="0"/>
        <v>99.351</v>
      </c>
    </row>
    <row r="24" spans="1:4" ht="15" customHeight="1" hidden="1">
      <c r="A24" s="36">
        <v>2249</v>
      </c>
      <c r="B24" s="38" t="s">
        <v>17</v>
      </c>
      <c r="C24" s="37">
        <v>0</v>
      </c>
      <c r="D24" s="37">
        <f t="shared" si="0"/>
        <v>0</v>
      </c>
    </row>
    <row r="25" spans="1:4" ht="15" customHeight="1">
      <c r="A25" s="36">
        <v>2321</v>
      </c>
      <c r="B25" s="38" t="s">
        <v>25</v>
      </c>
      <c r="C25" s="37">
        <v>655.78</v>
      </c>
      <c r="D25" s="37">
        <f t="shared" si="0"/>
        <v>459.04599999999994</v>
      </c>
    </row>
    <row r="26" spans="1:4" ht="15" customHeight="1">
      <c r="A26" s="36">
        <v>2341</v>
      </c>
      <c r="B26" s="38" t="s">
        <v>27</v>
      </c>
      <c r="C26" s="37">
        <v>654.19</v>
      </c>
      <c r="D26" s="37">
        <f t="shared" si="0"/>
        <v>457.93300000000005</v>
      </c>
    </row>
    <row r="27" spans="1:4" ht="15" customHeight="1" hidden="1">
      <c r="A27" s="36">
        <v>2350</v>
      </c>
      <c r="B27" s="38" t="s">
        <v>29</v>
      </c>
      <c r="C27" s="37">
        <v>0</v>
      </c>
      <c r="D27" s="37">
        <f t="shared" si="0"/>
        <v>0</v>
      </c>
    </row>
    <row r="28" spans="1:4" ht="15" customHeight="1">
      <c r="A28" s="36">
        <v>2363</v>
      </c>
      <c r="B28" s="38" t="s">
        <v>32</v>
      </c>
      <c r="C28" s="37">
        <v>3690</v>
      </c>
      <c r="D28" s="37">
        <v>2842</v>
      </c>
    </row>
    <row r="29" spans="1:4" ht="15" customHeight="1">
      <c r="A29" s="36">
        <v>5232</v>
      </c>
      <c r="B29" s="38" t="s">
        <v>37</v>
      </c>
      <c r="C29" s="37">
        <v>162.3</v>
      </c>
      <c r="D29" s="37">
        <f t="shared" si="0"/>
        <v>113.61</v>
      </c>
    </row>
    <row r="30" spans="1:4" ht="15" customHeight="1">
      <c r="A30" s="36"/>
      <c r="B30" s="39" t="s">
        <v>7</v>
      </c>
      <c r="C30" s="40">
        <f>SUM(C19:C29)</f>
        <v>17320.210000000003</v>
      </c>
      <c r="D30" s="40">
        <f>SUM(D19:D29)</f>
        <v>13965.603000000003</v>
      </c>
    </row>
    <row r="31" spans="1:4" ht="15" customHeight="1">
      <c r="A31" s="41"/>
      <c r="B31" s="36" t="s">
        <v>8</v>
      </c>
      <c r="C31" s="35"/>
      <c r="D31" s="35"/>
    </row>
    <row r="32" spans="1:6" ht="15" customHeight="1">
      <c r="A32" s="36">
        <v>1100</v>
      </c>
      <c r="B32" s="36" t="s">
        <v>91</v>
      </c>
      <c r="C32" s="37">
        <v>5588.38</v>
      </c>
      <c r="D32" s="37">
        <f>C32/500*350</f>
        <v>3911.866</v>
      </c>
      <c r="F32" s="37"/>
    </row>
    <row r="33" spans="1:7" ht="15.75">
      <c r="A33" s="36">
        <v>1200</v>
      </c>
      <c r="B33" s="38" t="s">
        <v>92</v>
      </c>
      <c r="C33" s="37">
        <v>1346.24</v>
      </c>
      <c r="D33" s="37">
        <f aca="true" t="shared" si="1" ref="D33:D72">C33/500*350</f>
        <v>942.368</v>
      </c>
      <c r="F33" s="37"/>
      <c r="G33" s="68"/>
    </row>
    <row r="34" spans="1:7" ht="15.75" hidden="1">
      <c r="A34" s="36">
        <v>2100</v>
      </c>
      <c r="B34" s="42" t="s">
        <v>46</v>
      </c>
      <c r="C34" s="37">
        <v>0</v>
      </c>
      <c r="D34" s="37">
        <f t="shared" si="1"/>
        <v>0</v>
      </c>
      <c r="F34" s="68"/>
      <c r="G34" s="68"/>
    </row>
    <row r="35" spans="1:7" ht="15.75">
      <c r="A35" s="43">
        <v>2210</v>
      </c>
      <c r="B35" s="38" t="s">
        <v>42</v>
      </c>
      <c r="C35" s="37">
        <v>105.95</v>
      </c>
      <c r="D35" s="37">
        <f t="shared" si="1"/>
        <v>74.165</v>
      </c>
      <c r="F35" s="68"/>
      <c r="G35" s="68"/>
    </row>
    <row r="36" spans="1:4" ht="15.75">
      <c r="A36" s="36">
        <v>2222</v>
      </c>
      <c r="B36" s="38" t="s">
        <v>43</v>
      </c>
      <c r="C36" s="37">
        <v>249.3</v>
      </c>
      <c r="D36" s="37">
        <f t="shared" si="1"/>
        <v>174.51000000000002</v>
      </c>
    </row>
    <row r="37" spans="1:4" ht="15.75">
      <c r="A37" s="36">
        <v>2223</v>
      </c>
      <c r="B37" s="38" t="s">
        <v>44</v>
      </c>
      <c r="C37" s="37">
        <v>399.85</v>
      </c>
      <c r="D37" s="37">
        <f t="shared" si="1"/>
        <v>279.89500000000004</v>
      </c>
    </row>
    <row r="38" spans="1:4" ht="15" customHeight="1">
      <c r="A38" s="36">
        <v>2230</v>
      </c>
      <c r="B38" s="38" t="s">
        <v>45</v>
      </c>
      <c r="C38" s="37">
        <v>81.85</v>
      </c>
      <c r="D38" s="37">
        <f t="shared" si="1"/>
        <v>57.294999999999995</v>
      </c>
    </row>
    <row r="39" spans="1:4" ht="15" customHeight="1" hidden="1">
      <c r="A39" s="36">
        <v>2241</v>
      </c>
      <c r="B39" s="38" t="s">
        <v>13</v>
      </c>
      <c r="C39" s="37">
        <v>0</v>
      </c>
      <c r="D39" s="37">
        <f t="shared" si="1"/>
        <v>0</v>
      </c>
    </row>
    <row r="40" spans="1:7" ht="15" customHeight="1">
      <c r="A40" s="36">
        <v>2242</v>
      </c>
      <c r="B40" s="38" t="s">
        <v>14</v>
      </c>
      <c r="C40" s="37">
        <v>24.38</v>
      </c>
      <c r="D40" s="37">
        <f t="shared" si="1"/>
        <v>17.066</v>
      </c>
      <c r="F40" s="37">
        <v>5610.99</v>
      </c>
      <c r="G40">
        <f>F42*24.09/124.09</f>
        <v>1346.2405979530986</v>
      </c>
    </row>
    <row r="41" spans="1:7" ht="15" customHeight="1">
      <c r="A41" s="36">
        <v>2243</v>
      </c>
      <c r="B41" s="38" t="s">
        <v>15</v>
      </c>
      <c r="C41" s="37">
        <v>120.89</v>
      </c>
      <c r="D41" s="37">
        <f t="shared" si="1"/>
        <v>84.623</v>
      </c>
      <c r="F41" s="37">
        <v>1323.63</v>
      </c>
      <c r="G41" s="68">
        <f>F42-G40</f>
        <v>5588.379402046901</v>
      </c>
    </row>
    <row r="42" spans="1:7" ht="15" customHeight="1">
      <c r="A42" s="36">
        <v>2244</v>
      </c>
      <c r="B42" s="38" t="s">
        <v>16</v>
      </c>
      <c r="C42" s="37">
        <v>1905.82</v>
      </c>
      <c r="D42" s="37">
        <v>2446.62</v>
      </c>
      <c r="F42" s="68">
        <f>F40+F41</f>
        <v>6934.62</v>
      </c>
      <c r="G42" s="68">
        <f>G40+G41</f>
        <v>6934.62</v>
      </c>
    </row>
    <row r="43" spans="1:4" ht="15" customHeight="1">
      <c r="A43" s="36">
        <v>2247</v>
      </c>
      <c r="B43" s="34" t="s">
        <v>93</v>
      </c>
      <c r="C43" s="37">
        <v>6.45</v>
      </c>
      <c r="D43" s="37">
        <f t="shared" si="1"/>
        <v>4.515</v>
      </c>
    </row>
    <row r="44" spans="1:4" ht="15" customHeight="1">
      <c r="A44" s="36">
        <v>2249</v>
      </c>
      <c r="B44" s="38" t="s">
        <v>17</v>
      </c>
      <c r="C44" s="37">
        <v>28.1</v>
      </c>
      <c r="D44" s="37">
        <f t="shared" si="1"/>
        <v>19.67</v>
      </c>
    </row>
    <row r="45" spans="1:4" ht="15" customHeight="1">
      <c r="A45" s="36">
        <v>2251</v>
      </c>
      <c r="B45" s="38" t="s">
        <v>94</v>
      </c>
      <c r="C45" s="37">
        <v>264.61</v>
      </c>
      <c r="D45" s="37">
        <f t="shared" si="1"/>
        <v>185.227</v>
      </c>
    </row>
    <row r="46" spans="1:4" ht="15" customHeight="1">
      <c r="A46" s="36">
        <v>2252</v>
      </c>
      <c r="B46" s="38" t="s">
        <v>96</v>
      </c>
      <c r="C46" s="37">
        <v>3.52</v>
      </c>
      <c r="D46" s="37">
        <f t="shared" si="1"/>
        <v>2.464</v>
      </c>
    </row>
    <row r="47" spans="1:4" ht="15" customHeight="1">
      <c r="A47" s="36">
        <v>2259</v>
      </c>
      <c r="B47" s="38" t="s">
        <v>95</v>
      </c>
      <c r="C47" s="37">
        <v>0.55</v>
      </c>
      <c r="D47" s="37">
        <f t="shared" si="1"/>
        <v>0.385</v>
      </c>
    </row>
    <row r="48" spans="1:4" ht="15" customHeight="1" hidden="1">
      <c r="A48" s="36">
        <v>2261</v>
      </c>
      <c r="B48" s="38" t="s">
        <v>18</v>
      </c>
      <c r="C48" s="37">
        <v>0</v>
      </c>
      <c r="D48" s="37">
        <f t="shared" si="1"/>
        <v>0</v>
      </c>
    </row>
    <row r="49" spans="1:4" ht="15" customHeight="1">
      <c r="A49" s="36">
        <v>2262</v>
      </c>
      <c r="B49" s="38" t="s">
        <v>19</v>
      </c>
      <c r="C49" s="37">
        <v>71.36</v>
      </c>
      <c r="D49" s="37">
        <f t="shared" si="1"/>
        <v>49.952</v>
      </c>
    </row>
    <row r="50" spans="1:4" ht="15" customHeight="1">
      <c r="A50" s="36">
        <v>2263</v>
      </c>
      <c r="B50" s="38" t="s">
        <v>20</v>
      </c>
      <c r="C50" s="37">
        <v>263.19</v>
      </c>
      <c r="D50" s="37">
        <f t="shared" si="1"/>
        <v>184.23299999999998</v>
      </c>
    </row>
    <row r="51" spans="1:4" ht="15" customHeight="1">
      <c r="A51" s="36">
        <v>2264</v>
      </c>
      <c r="B51" s="38" t="s">
        <v>21</v>
      </c>
      <c r="C51" s="37">
        <v>1.33</v>
      </c>
      <c r="D51" s="37">
        <f t="shared" si="1"/>
        <v>0.931</v>
      </c>
    </row>
    <row r="52" spans="1:4" ht="15" customHeight="1">
      <c r="A52" s="36">
        <v>2279</v>
      </c>
      <c r="B52" s="38" t="s">
        <v>22</v>
      </c>
      <c r="C52" s="37">
        <v>293.99</v>
      </c>
      <c r="D52" s="37">
        <f t="shared" si="1"/>
        <v>205.793</v>
      </c>
    </row>
    <row r="53" spans="1:4" ht="15.75">
      <c r="A53" s="36">
        <v>2311</v>
      </c>
      <c r="B53" s="38" t="s">
        <v>23</v>
      </c>
      <c r="C53" s="37">
        <v>27.68</v>
      </c>
      <c r="D53" s="37">
        <f t="shared" si="1"/>
        <v>19.376</v>
      </c>
    </row>
    <row r="54" spans="1:4" ht="15" customHeight="1">
      <c r="A54" s="36">
        <v>2312</v>
      </c>
      <c r="B54" s="38" t="s">
        <v>24</v>
      </c>
      <c r="C54" s="37">
        <v>51.16</v>
      </c>
      <c r="D54" s="37">
        <f t="shared" si="1"/>
        <v>35.812</v>
      </c>
    </row>
    <row r="55" spans="1:4" ht="15.75">
      <c r="A55" s="36">
        <v>2321</v>
      </c>
      <c r="B55" s="38" t="s">
        <v>25</v>
      </c>
      <c r="C55" s="37">
        <v>1094.16</v>
      </c>
      <c r="D55" s="37">
        <f t="shared" si="1"/>
        <v>765.912</v>
      </c>
    </row>
    <row r="56" spans="1:4" ht="15" customHeight="1">
      <c r="A56" s="36">
        <v>2322</v>
      </c>
      <c r="B56" s="38" t="s">
        <v>26</v>
      </c>
      <c r="C56" s="37">
        <v>590.23</v>
      </c>
      <c r="D56" s="37">
        <f t="shared" si="1"/>
        <v>413.161</v>
      </c>
    </row>
    <row r="57" spans="1:4" ht="15" customHeight="1">
      <c r="A57" s="36">
        <v>2341</v>
      </c>
      <c r="B57" s="38" t="s">
        <v>27</v>
      </c>
      <c r="C57" s="37">
        <v>25.84</v>
      </c>
      <c r="D57" s="37">
        <f t="shared" si="1"/>
        <v>18.087999999999997</v>
      </c>
    </row>
    <row r="58" spans="1:4" ht="15" customHeight="1">
      <c r="A58" s="36">
        <v>2344</v>
      </c>
      <c r="B58" s="38" t="s">
        <v>28</v>
      </c>
      <c r="C58" s="37">
        <v>0.37</v>
      </c>
      <c r="D58" s="37">
        <f t="shared" si="1"/>
        <v>0.259</v>
      </c>
    </row>
    <row r="59" spans="1:4" ht="15.75">
      <c r="A59" s="36">
        <v>2350</v>
      </c>
      <c r="B59" s="38" t="s">
        <v>29</v>
      </c>
      <c r="C59" s="37">
        <v>219</v>
      </c>
      <c r="D59" s="37">
        <f t="shared" si="1"/>
        <v>153.3</v>
      </c>
    </row>
    <row r="60" spans="1:4" ht="15" customHeight="1">
      <c r="A60" s="36">
        <v>2361</v>
      </c>
      <c r="B60" s="38" t="s">
        <v>30</v>
      </c>
      <c r="C60" s="37">
        <v>106.08</v>
      </c>
      <c r="D60" s="37">
        <f t="shared" si="1"/>
        <v>74.256</v>
      </c>
    </row>
    <row r="61" spans="1:4" ht="15.75">
      <c r="A61" s="36">
        <v>2362</v>
      </c>
      <c r="B61" s="38" t="s">
        <v>31</v>
      </c>
      <c r="C61" s="37">
        <v>55.23</v>
      </c>
      <c r="D61" s="37">
        <f t="shared" si="1"/>
        <v>38.660999999999994</v>
      </c>
    </row>
    <row r="62" spans="1:4" ht="15.75" hidden="1">
      <c r="A62" s="36">
        <v>2363</v>
      </c>
      <c r="B62" s="38" t="s">
        <v>32</v>
      </c>
      <c r="C62" s="37">
        <v>0</v>
      </c>
      <c r="D62" s="37">
        <f t="shared" si="1"/>
        <v>0</v>
      </c>
    </row>
    <row r="63" spans="1:4" ht="15.75" hidden="1">
      <c r="A63" s="36">
        <v>2370</v>
      </c>
      <c r="B63" s="38" t="s">
        <v>33</v>
      </c>
      <c r="C63" s="37">
        <v>0</v>
      </c>
      <c r="D63" s="37">
        <f t="shared" si="1"/>
        <v>0</v>
      </c>
    </row>
    <row r="64" spans="1:4" ht="15.75">
      <c r="A64" s="36">
        <v>2400</v>
      </c>
      <c r="B64" s="38" t="s">
        <v>47</v>
      </c>
      <c r="C64" s="37">
        <v>11.39</v>
      </c>
      <c r="D64" s="37">
        <f t="shared" si="1"/>
        <v>7.973000000000001</v>
      </c>
    </row>
    <row r="65" spans="1:4" ht="15" customHeight="1">
      <c r="A65" s="36">
        <v>2513</v>
      </c>
      <c r="B65" s="38" t="s">
        <v>35</v>
      </c>
      <c r="C65" s="37">
        <v>178.23</v>
      </c>
      <c r="D65" s="37">
        <f t="shared" si="1"/>
        <v>124.761</v>
      </c>
    </row>
    <row r="66" spans="1:4" ht="15.75">
      <c r="A66" s="36">
        <v>2515</v>
      </c>
      <c r="B66" s="38" t="s">
        <v>97</v>
      </c>
      <c r="C66" s="37">
        <v>7.88</v>
      </c>
      <c r="D66" s="37">
        <f t="shared" si="1"/>
        <v>5.516</v>
      </c>
    </row>
    <row r="67" spans="1:4" ht="16.5" customHeight="1">
      <c r="A67" s="36">
        <v>2519</v>
      </c>
      <c r="B67" s="38" t="s">
        <v>38</v>
      </c>
      <c r="C67" s="37">
        <v>41.55</v>
      </c>
      <c r="D67" s="37">
        <f t="shared" si="1"/>
        <v>29.084999999999997</v>
      </c>
    </row>
    <row r="68" spans="1:4" ht="15.75" hidden="1">
      <c r="A68" s="36">
        <v>6240</v>
      </c>
      <c r="B68" s="38" t="s">
        <v>50</v>
      </c>
      <c r="C68" s="37">
        <v>0</v>
      </c>
      <c r="D68" s="37">
        <f t="shared" si="1"/>
        <v>0</v>
      </c>
    </row>
    <row r="69" spans="1:4" ht="15.75" hidden="1">
      <c r="A69" s="36">
        <v>6290</v>
      </c>
      <c r="B69" s="38" t="s">
        <v>51</v>
      </c>
      <c r="C69" s="37">
        <v>0</v>
      </c>
      <c r="D69" s="37">
        <f t="shared" si="1"/>
        <v>0</v>
      </c>
    </row>
    <row r="70" spans="1:4" ht="15.75">
      <c r="A70" s="36">
        <v>5121</v>
      </c>
      <c r="B70" s="38" t="s">
        <v>36</v>
      </c>
      <c r="C70" s="37">
        <v>33.6</v>
      </c>
      <c r="D70" s="37">
        <f t="shared" si="1"/>
        <v>23.520000000000003</v>
      </c>
    </row>
    <row r="71" spans="1:4" ht="15" customHeight="1">
      <c r="A71" s="36">
        <v>5232</v>
      </c>
      <c r="B71" s="38" t="s">
        <v>37</v>
      </c>
      <c r="C71" s="37">
        <v>620.78</v>
      </c>
      <c r="D71" s="37">
        <f t="shared" si="1"/>
        <v>434.546</v>
      </c>
    </row>
    <row r="72" spans="1:4" ht="15.75">
      <c r="A72" s="36">
        <v>5238</v>
      </c>
      <c r="B72" s="38" t="s">
        <v>39</v>
      </c>
      <c r="C72" s="37">
        <v>372.91</v>
      </c>
      <c r="D72" s="37">
        <f t="shared" si="1"/>
        <v>261.03700000000003</v>
      </c>
    </row>
    <row r="73" spans="1:4" ht="15" customHeight="1">
      <c r="A73" s="36">
        <v>5240</v>
      </c>
      <c r="B73" s="38" t="s">
        <v>40</v>
      </c>
      <c r="C73" s="37">
        <v>272.94</v>
      </c>
      <c r="D73" s="37">
        <f>C73/500*350</f>
        <v>191.05800000000002</v>
      </c>
    </row>
    <row r="74" spans="1:4" ht="15.75" hidden="1">
      <c r="A74" s="36">
        <v>5250</v>
      </c>
      <c r="B74" s="38" t="s">
        <v>41</v>
      </c>
      <c r="C74" s="58"/>
      <c r="D74" s="58"/>
    </row>
    <row r="75" spans="1:4" ht="15.75">
      <c r="A75" s="41"/>
      <c r="B75" s="45" t="s">
        <v>9</v>
      </c>
      <c r="C75" s="40">
        <f>SUM(C32:C74)</f>
        <v>14464.790000000003</v>
      </c>
      <c r="D75" s="40">
        <f>SUM(D32:D74)</f>
        <v>11237.899000000001</v>
      </c>
    </row>
    <row r="76" spans="1:4" ht="15.75">
      <c r="A76" s="41"/>
      <c r="B76" s="45" t="s">
        <v>48</v>
      </c>
      <c r="C76" s="40">
        <f>C75+C30</f>
        <v>31785.000000000007</v>
      </c>
      <c r="D76" s="40">
        <f>D75+D30</f>
        <v>25203.502000000004</v>
      </c>
    </row>
    <row r="77" spans="1:4" ht="15.75">
      <c r="A77" s="46"/>
      <c r="B77" s="29"/>
      <c r="C77" s="14"/>
      <c r="D77" s="129"/>
    </row>
    <row r="78" spans="1:4" ht="15.75">
      <c r="A78" s="142" t="s">
        <v>63</v>
      </c>
      <c r="B78" s="142"/>
      <c r="C78" s="30">
        <v>500</v>
      </c>
      <c r="D78" s="116">
        <v>350</v>
      </c>
    </row>
    <row r="79" spans="1:4" ht="15.75">
      <c r="A79" s="142" t="s">
        <v>64</v>
      </c>
      <c r="B79" s="142"/>
      <c r="C79" s="48">
        <f>C76/C78</f>
        <v>63.570000000000014</v>
      </c>
      <c r="D79" s="117">
        <f>D76/D78</f>
        <v>72.01000571428573</v>
      </c>
    </row>
    <row r="80" spans="1:4" ht="15.75">
      <c r="A80" s="18"/>
      <c r="B80" s="18"/>
      <c r="C80" s="47"/>
      <c r="D80" s="47"/>
    </row>
    <row r="81" spans="1:4" s="7" customFormat="1" ht="15.75">
      <c r="A81" s="146" t="s">
        <v>56</v>
      </c>
      <c r="B81" s="147"/>
      <c r="C81" s="50">
        <v>60.19</v>
      </c>
      <c r="D81" s="50"/>
    </row>
    <row r="82" spans="1:4" s="7" customFormat="1" ht="15.75">
      <c r="A82" s="146" t="s">
        <v>85</v>
      </c>
      <c r="B82" s="147"/>
      <c r="C82" s="50"/>
      <c r="D82" s="50"/>
    </row>
    <row r="83" spans="1:4" s="7" customFormat="1" ht="15.75">
      <c r="A83" s="26"/>
      <c r="B83" s="26"/>
      <c r="C83" s="26"/>
      <c r="D83" s="26"/>
    </row>
    <row r="84" spans="1:4" s="7" customFormat="1" ht="15.75">
      <c r="A84" s="26" t="s">
        <v>57</v>
      </c>
      <c r="B84" s="26"/>
      <c r="C84" s="26"/>
      <c r="D84" s="26"/>
    </row>
    <row r="85" spans="1:4" s="7" customFormat="1" ht="15.75">
      <c r="A85" s="26"/>
      <c r="B85" s="26"/>
      <c r="C85" s="26"/>
      <c r="D85" s="26"/>
    </row>
    <row r="86" spans="1:4" s="7" customFormat="1" ht="15.75">
      <c r="A86" s="26" t="s">
        <v>78</v>
      </c>
      <c r="B86" s="27"/>
      <c r="C86" s="27"/>
      <c r="D86" s="27"/>
    </row>
    <row r="87" spans="1:4" s="7" customFormat="1" ht="13.5" customHeight="1">
      <c r="A87" s="26"/>
      <c r="B87" s="28"/>
      <c r="C87" s="28"/>
      <c r="D87" s="26"/>
    </row>
    <row r="88" spans="2:3" s="7" customFormat="1" ht="13.5" customHeight="1">
      <c r="B88" s="8"/>
      <c r="C88" s="8"/>
    </row>
    <row r="89" s="3" customFormat="1" ht="14.25"/>
    <row r="90" ht="12.75">
      <c r="D90" s="69"/>
    </row>
  </sheetData>
  <sheetProtection/>
  <mergeCells count="11">
    <mergeCell ref="B1:D1"/>
    <mergeCell ref="B2:D2"/>
    <mergeCell ref="A9:B9"/>
    <mergeCell ref="A10:B10"/>
    <mergeCell ref="B13:D13"/>
    <mergeCell ref="A7:D7"/>
    <mergeCell ref="A78:B78"/>
    <mergeCell ref="A79:B79"/>
    <mergeCell ref="A81:B81"/>
    <mergeCell ref="A82:B82"/>
    <mergeCell ref="B14:D14"/>
  </mergeCells>
  <printOptions/>
  <pageMargins left="0.7086614173228347" right="0.4724409448818898" top="0.984251968503937" bottom="0.7480314960629921" header="0.31496062992125984" footer="0.31496062992125984"/>
  <pageSetup fitToHeight="0" horizontalDpi="600" verticalDpi="600" orientation="portrait" paperSize="9" scale="90" r:id="rId1"/>
  <headerFooter>
    <oddFooter>&amp;C&amp;"Times New Roman,Regular"&amp;11&amp;F; Ministru kabineta noteikumu projekts "Grozījumi Ministru kabineta 2013.gada 24.septembra noteikumos Nr.1002 „Sociālās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2019-05-10T08:50:49Z</cp:lastPrinted>
  <dcterms:created xsi:type="dcterms:W3CDTF">2008-09-26T08:09:16Z</dcterms:created>
  <dcterms:modified xsi:type="dcterms:W3CDTF">2019-05-10T08:50:55Z</dcterms:modified>
  <cp:category/>
  <cp:version/>
  <cp:contentType/>
  <cp:contentStatus/>
</cp:coreProperties>
</file>