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3" firstSheet="13" activeTab="34"/>
  </bookViews>
  <sheets>
    <sheet name="Saturs" sheetId="1" state="hidden" r:id="rId1"/>
    <sheet name="Satura rādītājs" sheetId="2" r:id="rId2"/>
    <sheet name="5.1.1." sheetId="3" r:id="rId3"/>
    <sheet name="5.1.2." sheetId="4" r:id="rId4"/>
    <sheet name="5.1.3.1." sheetId="5" r:id="rId5"/>
    <sheet name="5.1.3.2." sheetId="6" r:id="rId6"/>
    <sheet name="5.1.4." sheetId="7" r:id="rId7"/>
    <sheet name="5.1.5." sheetId="8" r:id="rId8"/>
    <sheet name="5.2.1." sheetId="9" r:id="rId9"/>
    <sheet name="5.2.2." sheetId="10" r:id="rId10"/>
    <sheet name="5.2.3." sheetId="11" r:id="rId11"/>
    <sheet name="5.2.4." sheetId="12" r:id="rId12"/>
    <sheet name="5.2.5." sheetId="13" r:id="rId13"/>
    <sheet name="5.2.6." sheetId="14" r:id="rId14"/>
    <sheet name="5.2.7." sheetId="15" r:id="rId15"/>
    <sheet name="5.3.1." sheetId="16" r:id="rId16"/>
    <sheet name="5.3.2.1." sheetId="17" r:id="rId17"/>
    <sheet name="5.3.2.2." sheetId="18" r:id="rId18"/>
    <sheet name="5.3.2.3." sheetId="19" r:id="rId19"/>
    <sheet name="5.3.2.4." sheetId="20" r:id="rId20"/>
    <sheet name="5.3.2.5." sheetId="21" r:id="rId21"/>
    <sheet name="5.3.2.6." sheetId="22" r:id="rId22"/>
    <sheet name="5.3.3." sheetId="23" r:id="rId23"/>
    <sheet name="5.3.4." sheetId="24" r:id="rId24"/>
    <sheet name="5.3.5.1." sheetId="25" r:id="rId25"/>
    <sheet name="5.3.5.2." sheetId="26" r:id="rId26"/>
    <sheet name="5.4.1." sheetId="27" r:id="rId27"/>
    <sheet name="5.4.2." sheetId="28" r:id="rId28"/>
    <sheet name="5.4.3." sheetId="29" r:id="rId29"/>
    <sheet name="5.4.4." sheetId="30" r:id="rId30"/>
    <sheet name="5.4.5.1." sheetId="31" r:id="rId31"/>
    <sheet name="5.4.5.2." sheetId="32" r:id="rId32"/>
    <sheet name="5.4.6." sheetId="33" r:id="rId33"/>
    <sheet name="5.4.7.1." sheetId="34" r:id="rId34"/>
    <sheet name="5.4.7.2." sheetId="35" r:id="rId35"/>
    <sheet name="5.4.8." sheetId="36" r:id="rId36"/>
    <sheet name="5.4.9." sheetId="37" r:id="rId37"/>
    <sheet name="5.4.10.1." sheetId="38" r:id="rId38"/>
    <sheet name="5.4.10.2." sheetId="39" r:id="rId39"/>
    <sheet name="5.4.10.3." sheetId="40" r:id="rId40"/>
    <sheet name="5.4.11.1." sheetId="41" r:id="rId41"/>
    <sheet name="5.4.11.2." sheetId="42" r:id="rId42"/>
    <sheet name="5.5.1." sheetId="43" r:id="rId43"/>
    <sheet name="5.5.2." sheetId="44" r:id="rId44"/>
    <sheet name="5.5.3." sheetId="45" r:id="rId45"/>
    <sheet name="5.5.4." sheetId="46" r:id="rId46"/>
    <sheet name="5.5.5." sheetId="47" r:id="rId47"/>
    <sheet name="5.5.6." sheetId="48" r:id="rId48"/>
    <sheet name="5.5.7." sheetId="49" r:id="rId49"/>
    <sheet name="5.5.8" sheetId="50" r:id="rId50"/>
    <sheet name="5.5.9." sheetId="51" r:id="rId51"/>
    <sheet name="5.5.10." sheetId="52" r:id="rId52"/>
    <sheet name="Sheet3" sheetId="53" state="hidden" r:id="rId53"/>
  </sheets>
  <definedNames>
    <definedName name="_xlnm.Print_Titles" localSheetId="6">'5.1.4.'!$12:$13</definedName>
  </definedNames>
  <calcPr fullCalcOnLoad="1"/>
</workbook>
</file>

<file path=xl/sharedStrings.xml><?xml version="1.0" encoding="utf-8"?>
<sst xmlns="http://schemas.openxmlformats.org/spreadsheetml/2006/main" count="3631" uniqueCount="255">
  <si>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</si>
  <si>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</si>
  <si>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</si>
  <si>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</si>
  <si>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</si>
  <si>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</si>
  <si>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Maksas pakalpojuma izcenojuma aprēķins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</si>
  <si>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</si>
  <si>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</si>
  <si>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</si>
  <si>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</si>
  <si>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</si>
  <si>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</si>
  <si>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</si>
  <si>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</si>
  <si>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</si>
  <si>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</si>
  <si>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</si>
  <si>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</si>
  <si>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</si>
  <si>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</si>
  <si>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</si>
  <si>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</si>
  <si>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</si>
  <si>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</si>
  <si>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</si>
  <si>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</si>
  <si>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</si>
  <si>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</si>
  <si>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</si>
  <si>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</si>
  <si>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</si>
  <si>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</si>
  <si>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</si>
  <si>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</si>
  <si>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</si>
  <si>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</si>
  <si>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</si>
  <si>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</si>
  <si>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</si>
  <si>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</si>
  <si>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</si>
  <si>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</si>
  <si>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</si>
  <si>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5. Ārstniecības pakalpojumi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</si>
  <si>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</si>
  <si>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</si>
  <si>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</si>
  <si>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sākotnējās ietekmes novērtējuma ziņojumam (anotācijai)</t>
  </si>
  <si>
    <t>Satura rādītājs</t>
  </si>
  <si>
    <t>2.pielikums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</si>
  <si>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</si>
  <si>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</si>
  <si>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</si>
  <si>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Maksas pakalpojuma izcenojums (euro)</t>
  </si>
  <si>
    <t xml:space="preserve">Prognozētie ieņēmumi gadā (euro)* </t>
  </si>
  <si>
    <t>Prognozētie ieņēmumi gadā (euro)*</t>
  </si>
  <si>
    <t>5.1. Ārstu un speciālistu konsultācijas</t>
  </si>
  <si>
    <t>5.1.4. Ārsta -speciālista konsultācija</t>
  </si>
  <si>
    <t xml:space="preserve"> Atalgojums</t>
  </si>
  <si>
    <t xml:space="preserve"> Darba devēja valsts sociālās apdrošināšanas obligātās iemaksas, sociāla rakstura pabalsti un kompensācijas</t>
  </si>
  <si>
    <t xml:space="preserve"> Netiešās izmaksas </t>
  </si>
  <si>
    <t xml:space="preserve"> Apdrošināšanas izdevumi</t>
  </si>
  <si>
    <t xml:space="preserve"> Informācijas sistēmas uzturēšana</t>
  </si>
  <si>
    <t xml:space="preserve"> Budžeta iestāžu dabas resursu nodokļa maksājumi</t>
  </si>
  <si>
    <t xml:space="preserve"> Netiešās izmaksas kopā</t>
  </si>
  <si>
    <t xml:space="preserve"> Pakalpojumu izmaksas kopā</t>
  </si>
  <si>
    <t xml:space="preserve"> Tiešās izmaksas kopā</t>
  </si>
  <si>
    <t xml:space="preserve"> Tiešās izmaksas </t>
  </si>
  <si>
    <t>5.1.1. Ārsta konsultācija</t>
  </si>
  <si>
    <t>Izmaksu apjoms noteiktā laikposmā viena maksas pakalpojuma veida nodrošināšanai (2013.gada II pusgads)</t>
  </si>
  <si>
    <t xml:space="preserve">Tiešās izmaksas </t>
  </si>
  <si>
    <t>Atalgojums</t>
  </si>
  <si>
    <t>Darba devēja valsts sociālās apdrošināšanas obligātās iemaksas, sociāla rakstura pabalsti un kompensācijas</t>
  </si>
  <si>
    <t>Tiešās izmaksas kopā</t>
  </si>
  <si>
    <t xml:space="preserve">Netiešās izmaksas </t>
  </si>
  <si>
    <t>Apdrošināšanas izdevumi</t>
  </si>
  <si>
    <t>Informācijas sistēmas uzturēšana</t>
  </si>
  <si>
    <t>Budžeta iestāžu dabas resursu nodokļa maksājumi</t>
  </si>
  <si>
    <t>Netiešās izmaksas kopā</t>
  </si>
  <si>
    <t>Pakalpojumu izmaksas kopā</t>
  </si>
  <si>
    <t>5.1.3. Funkcionālo speciālistu konsultācijas</t>
  </si>
  <si>
    <t>5.1.3.1. Fizioterapeita konsultācija</t>
  </si>
  <si>
    <t>5.1.3. Funkcionālā speciālista konsultācijas</t>
  </si>
  <si>
    <t>5.1.3.2. Ergoterapeita konsultācija</t>
  </si>
  <si>
    <t>5.2. Hidroterapija</t>
  </si>
  <si>
    <t>5.2.1. Ķermeņa zemūdens masāža</t>
  </si>
  <si>
    <t>5.4. Klasiskā masāža</t>
  </si>
  <si>
    <t>5.4.1. Kakla un apkakles zonas masāža (2 vienības)</t>
  </si>
  <si>
    <t>Izmaksu apjoms noteiktā laikposmā viena maksas pakalpojuma veida nodrošināšanai (2014.gada I pusgads)</t>
  </si>
  <si>
    <t>Izmaksu apjoms noteiktā laikposmā viena maksas pakalpojuma veida nodrošināšanai (2014.gada II pusgads)</t>
  </si>
  <si>
    <t xml:space="preserve">Maksas pakalpojuma izcenojums (euro) </t>
  </si>
  <si>
    <t>5.4.2. Muguras (C2-S5) masāža (3,5 vienības)</t>
  </si>
  <si>
    <t>5.4.3. Rokas un pleca zonas masāža (2 vienības)</t>
  </si>
  <si>
    <t>5.4.4. Kājas un gūžas zonas masāža (2,5 vienības)</t>
  </si>
  <si>
    <t>5.4.5. Muguras masāža (2 vienības)</t>
  </si>
  <si>
    <t>Mīkstais inventārs</t>
  </si>
  <si>
    <t>5.4.6. Galvas masāža (1 vienība)</t>
  </si>
  <si>
    <t xml:space="preserve">5.4.7. Visa ķermeņa masāža (6 vienības) </t>
  </si>
  <si>
    <t>5.4.7.2. personām ar svaru  virs 100 kg</t>
  </si>
  <si>
    <t>5.5. Nodarbības funkcionālā speciālista vadībā</t>
  </si>
  <si>
    <t>5.5.1. Ārstnieciskā vingrošana grupā - zālē (vienai personai)</t>
  </si>
  <si>
    <t>5.5.7. Ārstnieciskā vingrošana grupā - baseinā   (vienai personai)</t>
  </si>
  <si>
    <t>Iekārtas, inventāra un aparatūras remonts, tehniskā apkalpošana</t>
  </si>
  <si>
    <t>5.5.9. Fiziskās aktivitātes trenažieru zālē ar dozētu slodzi (ar ārsta norīkojumu)</t>
  </si>
  <si>
    <t>5.4.8. Segmentārā masāža (1 segments)</t>
  </si>
  <si>
    <t>5.4.9. Grūtnieču masāža</t>
  </si>
  <si>
    <t>5.4.10. Vispārējā masāža bērniem</t>
  </si>
  <si>
    <t>5.2.2. Ārstnieciskā vanna</t>
  </si>
  <si>
    <t xml:space="preserve">5.2.3. Cirkulārā duša </t>
  </si>
  <si>
    <t>5.2.4. Šarko duša</t>
  </si>
  <si>
    <t>5.2.7. Ārstnieciskā baseina un termoterapijas izmantošana bērnam no 7 līdz 14 gadu vecumam (vienai personai)</t>
  </si>
  <si>
    <t>5.3. Fizikālā terapija</t>
  </si>
  <si>
    <t xml:space="preserve">5.3.1. Ārstnieciskās aplikācijas </t>
  </si>
  <si>
    <t>Pārējie remontdarbu un iestāžu uzturēšanas pakalpojumi</t>
  </si>
  <si>
    <t>5.3.3. Inhalācijas (bez medikamentiem)</t>
  </si>
  <si>
    <t>5.3.4. Sāls istaba</t>
  </si>
  <si>
    <t>5.5.3. Fizioterapija individuāli</t>
  </si>
  <si>
    <t xml:space="preserve">5.5.4. Ergoterapija individuāli </t>
  </si>
  <si>
    <t>5.5.5. Fizioterapija individuāli ar individuālu vingrojumu kompleksa izstrādi</t>
  </si>
  <si>
    <t>5.5.6. Fizioterapija individuāli bērniem no 4-14 gadu vecumam</t>
  </si>
  <si>
    <t>5.5.8. Slinga terapija</t>
  </si>
  <si>
    <t>5.2.5. Ascendējošā (augšupejošā) duša</t>
  </si>
  <si>
    <t>5.4.5.2.</t>
  </si>
  <si>
    <t>Ārstniecības pakalpojumi</t>
  </si>
  <si>
    <t>5.4.7.1. personām ar svaru līdz 100 kg</t>
  </si>
  <si>
    <t>5.1.1.</t>
  </si>
  <si>
    <t xml:space="preserve"> Ārsta konsultācija</t>
  </si>
  <si>
    <t>5.1.2.</t>
  </si>
  <si>
    <t xml:space="preserve"> Ārsta konsultācija (atkārtota)</t>
  </si>
  <si>
    <t>5.1.3.1.</t>
  </si>
  <si>
    <t xml:space="preserve"> Fizioterapeita konsultācija</t>
  </si>
  <si>
    <t>5.1.3.2.</t>
  </si>
  <si>
    <t xml:space="preserve"> Ergoterapeita konsultācija</t>
  </si>
  <si>
    <t>5.1.4.</t>
  </si>
  <si>
    <t xml:space="preserve"> Ārsta -speciālista konsultācija</t>
  </si>
  <si>
    <t>5.2.1.</t>
  </si>
  <si>
    <t xml:space="preserve"> Ķermeņa zemūdens masāža</t>
  </si>
  <si>
    <t>5.2.2.</t>
  </si>
  <si>
    <t xml:space="preserve"> Ārstnieciskā vanna</t>
  </si>
  <si>
    <t>5.2.3.</t>
  </si>
  <si>
    <t xml:space="preserve"> Cirkulārā duša </t>
  </si>
  <si>
    <t>5.2.4.</t>
  </si>
  <si>
    <t xml:space="preserve"> Šarko duša</t>
  </si>
  <si>
    <t>5.2.5.</t>
  </si>
  <si>
    <t xml:space="preserve"> Ascendējošā (augšupejošā) duša</t>
  </si>
  <si>
    <t>5.2.6.</t>
  </si>
  <si>
    <t>5.2.7.</t>
  </si>
  <si>
    <t xml:space="preserve"> Ārstnieciskā baseina un termoterapijas izmantošana bērnam no 7 līdz 14 gadu vecumam (vienai personai)</t>
  </si>
  <si>
    <t>5.3.1.</t>
  </si>
  <si>
    <t xml:space="preserve"> Ārstnieciskās aplikācijas </t>
  </si>
  <si>
    <t>5.3.3.</t>
  </si>
  <si>
    <t xml:space="preserve"> Inhalācijas (bez medikamentiem)</t>
  </si>
  <si>
    <t>5.3.4.</t>
  </si>
  <si>
    <t xml:space="preserve"> Sāls istaba</t>
  </si>
  <si>
    <t>5.4.1.</t>
  </si>
  <si>
    <t xml:space="preserve"> Kakla un apkakles zonas masāža (2 vienības)</t>
  </si>
  <si>
    <t>5.4.2.</t>
  </si>
  <si>
    <t xml:space="preserve"> Muguras (C2-S5) masāža (3,5 vienības)</t>
  </si>
  <si>
    <t>5.4.3.</t>
  </si>
  <si>
    <t xml:space="preserve"> Rokas un pleca zonas masāža (2 vienības)</t>
  </si>
  <si>
    <t>5.4.4.</t>
  </si>
  <si>
    <t xml:space="preserve"> Kājas un gūžas zonas masāža (2,5 vienības)</t>
  </si>
  <si>
    <t>5.4.5.1.</t>
  </si>
  <si>
    <t>5.4.6.</t>
  </si>
  <si>
    <t xml:space="preserve"> Galvas masāža (1 vienība)</t>
  </si>
  <si>
    <t>5.4.7.1.</t>
  </si>
  <si>
    <t xml:space="preserve"> Visa ķermeņa masāža (6 vienības), personām ar svaru līdz 100 kg</t>
  </si>
  <si>
    <t>5.4.7.2.</t>
  </si>
  <si>
    <t xml:space="preserve">  Visa ķermeņa masāža (6 vienības), personām ar svaru  virs 100 kg</t>
  </si>
  <si>
    <t>5.4.8.</t>
  </si>
  <si>
    <t xml:space="preserve"> Segmentārā masāža (1 segments)</t>
  </si>
  <si>
    <t>5.4.9.</t>
  </si>
  <si>
    <t xml:space="preserve"> Grūtnieču masāža</t>
  </si>
  <si>
    <t>5.4.10.1.</t>
  </si>
  <si>
    <t xml:space="preserve"> Vispārējā masāža bērniem, 2 - 5 gadiem</t>
  </si>
  <si>
    <t>5.4.10.2.</t>
  </si>
  <si>
    <t xml:space="preserve"> Vispārējā masāža bērniem, 6 -10 gadiem</t>
  </si>
  <si>
    <t>5.4.10.3.</t>
  </si>
  <si>
    <t xml:space="preserve"> Vispārējā masāža bērniem, 11 - 14 gadiem</t>
  </si>
  <si>
    <t>5.5.1.</t>
  </si>
  <si>
    <t xml:space="preserve"> Ārstnieciskā vingrošana grupā - zālē (vienai personai)</t>
  </si>
  <si>
    <t>5.5.2.</t>
  </si>
  <si>
    <t>5.5.3.</t>
  </si>
  <si>
    <t xml:space="preserve"> Fizioterapija individuāli</t>
  </si>
  <si>
    <t>5.5.4.</t>
  </si>
  <si>
    <t xml:space="preserve"> Ergoterapija individuāli </t>
  </si>
  <si>
    <t>5.5.5.</t>
  </si>
  <si>
    <t xml:space="preserve"> Fizioterapija individuāli ar individuālu vingrojumu kompleksa izstrādi</t>
  </si>
  <si>
    <t xml:space="preserve">5.5.6. </t>
  </si>
  <si>
    <t xml:space="preserve"> Fizioterapija individuāli bērniem no 4-14 gadu vecumam</t>
  </si>
  <si>
    <t xml:space="preserve">5.5.7. </t>
  </si>
  <si>
    <t xml:space="preserve"> Ārstnieciskā vingrošana grupā - baseinā   (vienai personai)</t>
  </si>
  <si>
    <t xml:space="preserve">5.5.8. </t>
  </si>
  <si>
    <t xml:space="preserve"> Slinga terapija</t>
  </si>
  <si>
    <t xml:space="preserve">5.5.9. </t>
  </si>
  <si>
    <t xml:space="preserve"> Fiziskās aktivitātes trenažieru zālē ar dozētu slodzi (ar ārsta norīkojumu)</t>
  </si>
  <si>
    <t>3.pielikums</t>
  </si>
  <si>
    <t>5.1.2. Ārsta konsultācija (atkārtota vizīte)</t>
  </si>
  <si>
    <t>5.4.10.1.  No 2 līdz 5 gadiem</t>
  </si>
  <si>
    <t>5.4.10.2.  No 6 līdz 10 gadiem</t>
  </si>
  <si>
    <t>5.4.10.3. No 11 līdz 14 gadiem</t>
  </si>
  <si>
    <t xml:space="preserve"> Nūjošana grupā (vienai personai) līdz 15 cilvēkiem</t>
  </si>
  <si>
    <t>5.5.2. Nūjošana grupā (vienai personai) līdz 15 cilvēkiem</t>
  </si>
  <si>
    <t>2019. gada    .martā</t>
  </si>
  <si>
    <t>2019.gadā un turpmāk</t>
  </si>
  <si>
    <t xml:space="preserve">5.3.2. Aparātprocedūras </t>
  </si>
  <si>
    <t>5.3.2.1. Magnetoterapija, lāzerterapija, diadinamika, amplipulsterapija</t>
  </si>
  <si>
    <t>5.3.2. Aparātprocedūras</t>
  </si>
  <si>
    <t>5.3.2.2. Ultraskaņa, darsonvalizācija</t>
  </si>
  <si>
    <t xml:space="preserve"> Darba devēja valsts sociālās apdrošināšanas obligātās iemaksas, sociāla rakstura pabalsti     un kompensācijas</t>
  </si>
  <si>
    <t>5.3.2.1.</t>
  </si>
  <si>
    <t xml:space="preserve"> Magnetoterapija, lāzerterapija, diadinamika, amplipulsterapija</t>
  </si>
  <si>
    <t>5.3.2.2.</t>
  </si>
  <si>
    <t xml:space="preserve"> Ultraskaņa, darsonvalizācija</t>
  </si>
  <si>
    <t>5.3.5. Limfodrenāžas aparātprocedūra</t>
  </si>
  <si>
    <t>5.3.5.1. Divām ķermeņa daļām (vēders un kājas vai vēders un rokas)</t>
  </si>
  <si>
    <t>5.3.5.2. Vienai ķermeņa daļai (kājām vai rokām)</t>
  </si>
  <si>
    <t>5.3.5.1.</t>
  </si>
  <si>
    <t>5.3.5.2.</t>
  </si>
  <si>
    <t>5.4.11.2.</t>
  </si>
  <si>
    <t>5.4.11. Pēdu masāža (2 vienības)</t>
  </si>
  <si>
    <t>5.4.11.1. Pēdas un apakšstilba (līdz ceļa locītavai) masāža</t>
  </si>
  <si>
    <t>5.4.11.2. Abu pēdu masāža</t>
  </si>
  <si>
    <t xml:space="preserve"> Pēdas un apakšstilba (līdz ceļa locītavai) masāža</t>
  </si>
  <si>
    <t xml:space="preserve"> Abu pēdu masāža</t>
  </si>
  <si>
    <t>5.3.2.3. FMS (funkcionālā magnētiskā stimulācija) ar manualo aplikatoru, neaktīva procedūra (bez speciālista), līdz 40 min</t>
  </si>
  <si>
    <t>5.2.6. Ārstnieciskā baseina un termoterapijas izmantošana vienai personai + hidroterapijas trenažieris</t>
  </si>
  <si>
    <t xml:space="preserve"> Ārstnieciskā baseina un termoterapijas izmantošana vienai personai + hidroterapijas trenažieris</t>
  </si>
  <si>
    <t xml:space="preserve"> Tehnoloģiskās iekārtas un mašīnas</t>
  </si>
  <si>
    <t>5.1.5.</t>
  </si>
  <si>
    <t>5.1.5. Uztura speciālista konsultācija</t>
  </si>
  <si>
    <t xml:space="preserve"> Uztura speciālista konsultācija</t>
  </si>
  <si>
    <t>5.3.2.3.</t>
  </si>
  <si>
    <t>5.3.2.4.</t>
  </si>
  <si>
    <t>5.3.2.5.</t>
  </si>
  <si>
    <t>5.3.2.6.</t>
  </si>
  <si>
    <t xml:space="preserve"> FMS (funkcionālā magnētiskā stimulācija) ar manualo aplikatoru, neaktīva procedūra (bez speciālista)</t>
  </si>
  <si>
    <t xml:space="preserve">5.5.10. </t>
  </si>
  <si>
    <t xml:space="preserve"> Ergoterapijas nodarbībā grupā līdz 10 cilvēkiem</t>
  </si>
  <si>
    <t xml:space="preserve"> FMS (funkcionālā magnētiskā stimulācija), magnētiskais krēsls ar diviem magnētiem </t>
  </si>
  <si>
    <t>5.3.2.6. FMS (funkcionālā magnētiskā stimulācija), magnētiskais krēsls ar diviem magnētiem , līdz 40 min</t>
  </si>
  <si>
    <t>5.3.2.5. FMS (funkcionālā magnētiskā stimulācija), magnētiskais krēsls ar vienu magnētu, līdz 30 min</t>
  </si>
  <si>
    <t xml:space="preserve"> FMS (funkcionālā magnētiskā stimulācija), magnētiskais krēsls ar vienu magnētu</t>
  </si>
  <si>
    <t xml:space="preserve"> Limfodrenāžas aparātprocedūra divām ķermeņa daļām (vēders un kājas vai vēders un rokas)</t>
  </si>
  <si>
    <t xml:space="preserve">  Limfodrenāžas aparātprocedūra vienai ķermeņa daļai (kājām vai rokām)</t>
  </si>
  <si>
    <t>5.5.10.  Ergoterapijas nodarbībā grupā līdz 10 cilvēkiem</t>
  </si>
  <si>
    <t>5.4.11.1.</t>
  </si>
  <si>
    <t>5.4.5.1. Muguras jostas - krustu daļas masāža</t>
  </si>
  <si>
    <t>5.4.5.2.  Muguras krūšu daļas masāža</t>
  </si>
  <si>
    <t xml:space="preserve"> Muguras jostas - krustu daļas masāža (2 vienības)</t>
  </si>
  <si>
    <t xml:space="preserve"> Muguras krūšu daļas masāža</t>
  </si>
  <si>
    <t xml:space="preserve"> FMS (funkcionālā magnētiskā stimulācija) ar manualo aplikatoru, aktīva procedūra (ar speciālista darbu)</t>
  </si>
  <si>
    <t>5.3.2.4. FMS (funkcionālā magnētiskā stimulācija) ar manualo aplikatoru, aktīva procedūra (ar speciālista darbu), līdz 40 min</t>
  </si>
  <si>
    <t>2019. gada  15.martā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</si>
</sst>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-* #,##0.000000_-;\-* #,##0.000000_-;_-* &quot;-&quot;??_-;_-@_-"/>
    <numFmt numFmtId="192" formatCode="_-* #,##0.0000000_-;\-* #,##0.0000000_-;_-* &quot;-&quot;??_-;_-@_-"/>
    <numFmt numFmtId="193" formatCode="_-* #,##0.00000000_-;\-* #,##0.00000000_-;_-* &quot;-&quot;??_-;_-@_-"/>
    <numFmt numFmtId="194" formatCode="_-* #,##0.000000000_-;\-* #,##0.000000000_-;_-* &quot;-&quot;??_-;_-@_-"/>
    <numFmt numFmtId="195" formatCode="_-* #,##0.0000000000_-;\-* #,##0.0000000000_-;_-* &quot;-&quot;??_-;_-@_-"/>
    <numFmt numFmtId="196" formatCode="0.000000000000"/>
    <numFmt numFmtId="197" formatCode="0.0000000000000"/>
  </numFmts>
  <fonts count="5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.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56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56" applyFont="1" applyBorder="1">
      <alignment/>
      <protection/>
    </xf>
    <xf numFmtId="0" fontId="6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Alignment="1">
      <alignment horizontal="center"/>
      <protection/>
    </xf>
    <xf numFmtId="2" fontId="6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0" xfId="56" applyFont="1" applyBorder="1" applyAlignment="1">
      <alignment vertical="top"/>
      <protection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/>
    </xf>
    <xf numFmtId="0" fontId="6" fillId="0" borderId="12" xfId="56" applyFont="1" applyBorder="1">
      <alignment/>
      <protection/>
    </xf>
    <xf numFmtId="2" fontId="5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6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56" applyFont="1" applyAlignment="1">
      <alignment horizontal="center"/>
      <protection/>
    </xf>
    <xf numFmtId="2" fontId="2" fillId="0" borderId="0" xfId="0" applyNumberFormat="1" applyFont="1" applyAlignment="1">
      <alignment/>
    </xf>
    <xf numFmtId="2" fontId="6" fillId="0" borderId="1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56" applyFont="1" applyAlignment="1">
      <alignment wrapText="1"/>
      <protection/>
    </xf>
    <xf numFmtId="0" fontId="6" fillId="0" borderId="14" xfId="56" applyFont="1" applyBorder="1" applyAlignment="1">
      <alignment wrapText="1"/>
      <protection/>
    </xf>
    <xf numFmtId="0" fontId="6" fillId="0" borderId="14" xfId="56" applyFont="1" applyBorder="1" applyAlignment="1">
      <alignment vertical="top" wrapText="1"/>
      <protection/>
    </xf>
    <xf numFmtId="0" fontId="6" fillId="0" borderId="0" xfId="56" applyFont="1" applyBorder="1" applyAlignment="1">
      <alignment vertical="top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center" wrapText="1"/>
    </xf>
    <xf numFmtId="2" fontId="6" fillId="0" borderId="15" xfId="0" applyNumberFormat="1" applyFont="1" applyFill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55" fillId="0" borderId="1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95" fontId="5" fillId="0" borderId="0" xfId="42" applyNumberFormat="1" applyFont="1" applyBorder="1" applyAlignment="1">
      <alignment horizontal="center"/>
    </xf>
    <xf numFmtId="0" fontId="6" fillId="0" borderId="0" xfId="56" applyFont="1" applyAlignment="1">
      <alignment/>
      <protection/>
    </xf>
    <xf numFmtId="2" fontId="5" fillId="0" borderId="10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6" fillId="0" borderId="0" xfId="56" applyFont="1" applyBorder="1" applyAlignment="1">
      <alignment horizontal="center"/>
      <protection/>
    </xf>
    <xf numFmtId="178" fontId="5" fillId="0" borderId="0" xfId="0" applyNumberFormat="1" applyFont="1" applyBorder="1" applyAlignment="1">
      <alignment horizontal="center"/>
    </xf>
    <xf numFmtId="0" fontId="6" fillId="0" borderId="0" xfId="56" applyFont="1" applyBorder="1" applyAlignment="1">
      <alignment wrapText="1"/>
      <protection/>
    </xf>
    <xf numFmtId="2" fontId="6" fillId="0" borderId="10" xfId="0" applyNumberFormat="1" applyFont="1" applyFill="1" applyBorder="1" applyAlignment="1">
      <alignment horizontal="left" wrapText="1"/>
    </xf>
    <xf numFmtId="2" fontId="55" fillId="0" borderId="10" xfId="0" applyNumberFormat="1" applyFont="1" applyBorder="1" applyAlignment="1">
      <alignment horizontal="center" vertical="top"/>
    </xf>
    <xf numFmtId="2" fontId="6" fillId="0" borderId="10" xfId="56" applyNumberFormat="1" applyFont="1" applyBorder="1">
      <alignment/>
      <protection/>
    </xf>
    <xf numFmtId="2" fontId="6" fillId="0" borderId="0" xfId="56" applyNumberFormat="1" applyFont="1">
      <alignment/>
      <protection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17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6" fillId="0" borderId="14" xfId="56" applyFont="1" applyBorder="1" applyAlignment="1">
      <alignment horizontal="right" wrapText="1"/>
      <protection/>
    </xf>
    <xf numFmtId="0" fontId="6" fillId="0" borderId="10" xfId="56" applyFont="1" applyBorder="1" applyAlignment="1">
      <alignment horizontal="right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Alignment="1">
      <alignment horizontal="right"/>
      <protection/>
    </xf>
    <xf numFmtId="2" fontId="5" fillId="35" borderId="10" xfId="0" applyNumberFormat="1" applyFont="1" applyFill="1" applyBorder="1" applyAlignment="1">
      <alignment horizontal="center" vertical="top"/>
    </xf>
    <xf numFmtId="2" fontId="6" fillId="35" borderId="1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96" fontId="5" fillId="0" borderId="0" xfId="0" applyNumberFormat="1" applyFont="1" applyBorder="1" applyAlignment="1">
      <alignment horizontal="center" vertical="top"/>
    </xf>
    <xf numFmtId="0" fontId="6" fillId="0" borderId="0" xfId="56" applyFont="1" applyAlignment="1">
      <alignment vertical="top"/>
      <protection/>
    </xf>
    <xf numFmtId="0" fontId="6" fillId="0" borderId="0" xfId="56" applyFont="1" applyBorder="1" applyAlignment="1">
      <alignment vertical="top"/>
      <protection/>
    </xf>
    <xf numFmtId="0" fontId="6" fillId="0" borderId="0" xfId="56" applyFont="1" applyAlignment="1">
      <alignment horizontal="center" vertical="top"/>
      <protection/>
    </xf>
    <xf numFmtId="0" fontId="3" fillId="0" borderId="0" xfId="0" applyFont="1" applyAlignment="1">
      <alignment vertical="top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74" fontId="5" fillId="0" borderId="0" xfId="0" applyNumberFormat="1" applyFont="1" applyBorder="1" applyAlignment="1">
      <alignment horizontal="center" vertical="top"/>
    </xf>
    <xf numFmtId="0" fontId="6" fillId="0" borderId="10" xfId="56" applyFont="1" applyBorder="1" applyAlignment="1">
      <alignment vertical="top" wrapText="1"/>
      <protection/>
    </xf>
    <xf numFmtId="0" fontId="6" fillId="0" borderId="10" xfId="0" applyFont="1" applyBorder="1" applyAlignment="1">
      <alignment wrapText="1"/>
    </xf>
    <xf numFmtId="2" fontId="6" fillId="0" borderId="14" xfId="56" applyNumberFormat="1" applyFont="1" applyBorder="1" applyAlignment="1">
      <alignment wrapText="1"/>
      <protection/>
    </xf>
    <xf numFmtId="2" fontId="6" fillId="0" borderId="10" xfId="56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6" fillId="0" borderId="10" xfId="56" applyFont="1" applyBorder="1" applyAlignment="1">
      <alignment horizontal="center" vertical="top" wrapText="1"/>
      <protection/>
    </xf>
    <xf numFmtId="0" fontId="6" fillId="0" borderId="16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179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82" fontId="5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2" fontId="56" fillId="0" borderId="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/>
    </xf>
    <xf numFmtId="2" fontId="6" fillId="35" borderId="10" xfId="0" applyNumberFormat="1" applyFont="1" applyFill="1" applyBorder="1" applyAlignment="1">
      <alignment horizontal="center" vertical="top"/>
    </xf>
    <xf numFmtId="0" fontId="57" fillId="0" borderId="0" xfId="0" applyFont="1" applyAlignment="1">
      <alignment/>
    </xf>
    <xf numFmtId="0" fontId="6" fillId="0" borderId="18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2" fontId="56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right" vertical="top"/>
    </xf>
    <xf numFmtId="0" fontId="55" fillId="0" borderId="10" xfId="0" applyFont="1" applyBorder="1" applyAlignment="1">
      <alignment/>
    </xf>
    <xf numFmtId="2" fontId="55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8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3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6" fillId="0" borderId="0" xfId="56" applyFont="1" applyAlignment="1">
      <alignment wrapText="1"/>
      <protection/>
    </xf>
    <xf numFmtId="0" fontId="6" fillId="0" borderId="14" xfId="56" applyFont="1" applyBorder="1" applyAlignment="1">
      <alignment wrapText="1"/>
      <protection/>
    </xf>
    <xf numFmtId="0" fontId="6" fillId="0" borderId="0" xfId="56" applyFont="1" applyAlignment="1">
      <alignment vertical="top" wrapText="1"/>
      <protection/>
    </xf>
    <xf numFmtId="0" fontId="6" fillId="0" borderId="14" xfId="56" applyFont="1" applyBorder="1" applyAlignment="1">
      <alignment vertical="top" wrapText="1"/>
      <protection/>
    </xf>
    <xf numFmtId="0" fontId="6" fillId="0" borderId="0" xfId="56" applyFont="1" applyBorder="1" applyAlignment="1">
      <alignment vertical="top" wrapText="1"/>
      <protection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9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6" fillId="0" borderId="0" xfId="56" applyFont="1" applyAlignment="1">
      <alignment horizontal="left" wrapText="1"/>
      <protection/>
    </xf>
    <xf numFmtId="0" fontId="6" fillId="0" borderId="14" xfId="56" applyFont="1" applyBorder="1" applyAlignment="1">
      <alignment horizontal="left" wrapText="1"/>
      <protection/>
    </xf>
    <xf numFmtId="0" fontId="7" fillId="0" borderId="14" xfId="0" applyFont="1" applyBorder="1" applyAlignment="1">
      <alignment horizontal="left" wrapText="1"/>
    </xf>
    <xf numFmtId="0" fontId="6" fillId="0" borderId="0" xfId="56" applyFont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953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view="pageLayout" workbookViewId="0" topLeftCell="A16">
      <selection activeCell="H37" sqref="H37"/>
    </sheetView>
  </sheetViews>
  <sheetFormatPr defaultColWidth="9.140625" defaultRowHeight="12.75"/>
  <sheetData>
    <row r="1" spans="2:12" ht="15">
      <c r="B1" s="57"/>
      <c r="C1" s="57"/>
      <c r="D1" s="191" t="s">
        <v>50</v>
      </c>
      <c r="E1" s="191"/>
      <c r="F1" s="191"/>
      <c r="G1" s="191"/>
      <c r="H1" s="191"/>
      <c r="I1" s="191"/>
      <c r="J1" s="191"/>
      <c r="K1" s="191"/>
      <c r="L1" s="191"/>
    </row>
    <row r="2" spans="2:12" ht="15">
      <c r="B2" s="57"/>
      <c r="C2" s="191" t="s">
        <v>51</v>
      </c>
      <c r="D2" s="191"/>
      <c r="E2" s="191"/>
      <c r="F2" s="191"/>
      <c r="G2" s="191"/>
      <c r="H2" s="191"/>
      <c r="I2" s="191"/>
      <c r="J2" s="191"/>
      <c r="K2" s="191"/>
      <c r="L2" s="191"/>
    </row>
    <row r="3" spans="2:12" ht="15">
      <c r="B3" s="191" t="s">
        <v>52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2:12" ht="15">
      <c r="B4" s="57"/>
      <c r="C4" s="191" t="s">
        <v>53</v>
      </c>
      <c r="D4" s="191"/>
      <c r="E4" s="191"/>
      <c r="F4" s="191"/>
      <c r="G4" s="191"/>
      <c r="H4" s="191"/>
      <c r="I4" s="191"/>
      <c r="J4" s="191"/>
      <c r="K4" s="191"/>
      <c r="L4" s="191"/>
    </row>
    <row r="5" spans="2:12" ht="15">
      <c r="B5" s="57"/>
      <c r="C5" s="57"/>
      <c r="D5" s="57"/>
      <c r="E5" s="57"/>
      <c r="F5" s="58"/>
      <c r="G5" s="191" t="s">
        <v>48</v>
      </c>
      <c r="H5" s="191"/>
      <c r="I5" s="191"/>
      <c r="J5" s="191"/>
      <c r="K5" s="191"/>
      <c r="L5" s="191"/>
    </row>
    <row r="12" spans="2:11" ht="18.75">
      <c r="B12" s="193" t="s">
        <v>49</v>
      </c>
      <c r="C12" s="193"/>
      <c r="D12" s="193"/>
      <c r="E12" s="193"/>
      <c r="F12" s="193"/>
      <c r="G12" s="193"/>
      <c r="H12" s="193"/>
      <c r="I12" s="193"/>
      <c r="J12" s="193"/>
      <c r="K12" s="193"/>
    </row>
    <row r="15" spans="2:11" ht="15" customHeight="1">
      <c r="B15" s="55"/>
      <c r="C15" s="192"/>
      <c r="D15" s="192"/>
      <c r="E15" s="192"/>
      <c r="F15" s="192"/>
      <c r="G15" s="192"/>
      <c r="H15" s="192"/>
      <c r="I15" s="192"/>
      <c r="J15" s="192"/>
      <c r="K15" s="56"/>
    </row>
    <row r="16" spans="2:11" ht="15" customHeight="1">
      <c r="B16" s="55"/>
      <c r="C16" s="192"/>
      <c r="D16" s="192"/>
      <c r="E16" s="192"/>
      <c r="F16" s="192"/>
      <c r="G16" s="192"/>
      <c r="H16" s="192"/>
      <c r="I16" s="192"/>
      <c r="J16" s="192"/>
      <c r="K16" s="56"/>
    </row>
    <row r="17" spans="2:11" ht="15" customHeight="1">
      <c r="B17" s="55"/>
      <c r="C17" s="192"/>
      <c r="D17" s="192"/>
      <c r="E17" s="192"/>
      <c r="F17" s="192"/>
      <c r="G17" s="192"/>
      <c r="H17" s="192"/>
      <c r="I17" s="192"/>
      <c r="J17" s="192"/>
      <c r="K17" s="56"/>
    </row>
    <row r="18" spans="2:11" ht="15.75">
      <c r="B18" s="55"/>
      <c r="C18" s="192"/>
      <c r="D18" s="192"/>
      <c r="E18" s="56"/>
      <c r="F18" s="56"/>
      <c r="G18" s="56"/>
      <c r="H18" s="56"/>
      <c r="I18" s="56"/>
      <c r="J18" s="56"/>
      <c r="K18" s="56"/>
    </row>
    <row r="19" spans="2:11" ht="15" customHeight="1">
      <c r="B19" s="55"/>
      <c r="C19" s="192"/>
      <c r="D19" s="192"/>
      <c r="E19" s="192"/>
      <c r="F19" s="192"/>
      <c r="G19" s="192"/>
      <c r="H19" s="192"/>
      <c r="I19" s="192"/>
      <c r="J19" s="192"/>
      <c r="K19" s="56"/>
    </row>
    <row r="20" spans="2:11" ht="15" customHeight="1">
      <c r="B20" s="55"/>
      <c r="C20" s="196"/>
      <c r="D20" s="196"/>
      <c r="E20" s="196"/>
      <c r="F20" s="196"/>
      <c r="G20" s="196"/>
      <c r="H20" s="196"/>
      <c r="I20" s="196"/>
      <c r="J20" s="196"/>
      <c r="K20" s="196"/>
    </row>
    <row r="21" spans="2:12" ht="15.75">
      <c r="B21" s="55"/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spans="2:11" ht="15" customHeight="1">
      <c r="B22" s="55"/>
      <c r="C22" s="192"/>
      <c r="D22" s="192"/>
      <c r="E22" s="192"/>
      <c r="F22" s="192"/>
      <c r="G22" s="192"/>
      <c r="H22" s="192"/>
      <c r="I22" s="192"/>
      <c r="J22" s="192"/>
      <c r="K22" s="192"/>
    </row>
    <row r="23" spans="2:12" ht="32.25" customHeight="1">
      <c r="B23" s="55"/>
      <c r="C23" s="195"/>
      <c r="D23" s="195"/>
      <c r="E23" s="195"/>
      <c r="F23" s="195"/>
      <c r="G23" s="195"/>
      <c r="H23" s="195"/>
      <c r="I23" s="195"/>
      <c r="J23" s="195"/>
      <c r="K23" s="195"/>
      <c r="L23" s="195"/>
    </row>
    <row r="24" spans="2:11" ht="15" customHeight="1">
      <c r="B24" s="55"/>
      <c r="C24" s="196"/>
      <c r="D24" s="196"/>
      <c r="E24" s="196"/>
      <c r="F24" s="196"/>
      <c r="G24" s="196"/>
      <c r="H24" s="196"/>
      <c r="I24" s="196"/>
      <c r="J24" s="196"/>
      <c r="K24" s="196"/>
    </row>
    <row r="25" spans="2:11" ht="15.75">
      <c r="B25" s="55"/>
      <c r="C25" s="192"/>
      <c r="D25" s="192"/>
      <c r="E25" s="56"/>
      <c r="F25" s="56"/>
      <c r="G25" s="56"/>
      <c r="H25" s="56"/>
      <c r="I25" s="56"/>
      <c r="J25" s="56"/>
      <c r="K25" s="56"/>
    </row>
  </sheetData>
  <sheetProtection/>
  <mergeCells count="17">
    <mergeCell ref="C21:L21"/>
    <mergeCell ref="C23:L23"/>
    <mergeCell ref="C24:K24"/>
    <mergeCell ref="C25:D25"/>
    <mergeCell ref="C16:J16"/>
    <mergeCell ref="C17:J17"/>
    <mergeCell ref="C22:K22"/>
    <mergeCell ref="C18:D18"/>
    <mergeCell ref="C19:J19"/>
    <mergeCell ref="C20:K20"/>
    <mergeCell ref="C4:L4"/>
    <mergeCell ref="G5:L5"/>
    <mergeCell ref="C15:J15"/>
    <mergeCell ref="B12:K12"/>
    <mergeCell ref="D1:L1"/>
    <mergeCell ref="C2:L2"/>
    <mergeCell ref="B3:L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  <headerFoot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9"/>
  <sheetViews>
    <sheetView view="pageLayout" workbookViewId="0" topLeftCell="A1">
      <selection activeCell="B9" sqref="B9:E9"/>
    </sheetView>
  </sheetViews>
  <sheetFormatPr defaultColWidth="9.140625" defaultRowHeight="12.75"/>
  <cols>
    <col min="1" max="1" width="12.421875" style="1" customWidth="1"/>
    <col min="2" max="2" width="90.7109375" style="1" customWidth="1"/>
    <col min="3" max="3" width="14.140625" style="1" hidden="1" customWidth="1"/>
    <col min="4" max="4" width="14.8515625" style="1" hidden="1" customWidth="1"/>
    <col min="5" max="5" width="21.57421875" style="1" hidden="1" customWidth="1"/>
    <col min="6" max="7" width="21.57421875" style="4" hidden="1" customWidth="1"/>
    <col min="8" max="8" width="21.28125" style="4" hidden="1" customWidth="1"/>
    <col min="9" max="9" width="28.421875" style="0" customWidth="1"/>
  </cols>
  <sheetData>
    <row r="1" spans="1:9" ht="15.75">
      <c r="A1" s="4"/>
      <c r="B1" s="12"/>
      <c r="C1" s="12"/>
      <c r="D1" s="12"/>
      <c r="E1" s="76"/>
      <c r="F1" s="76"/>
      <c r="G1" s="76"/>
      <c r="H1" s="9" t="s">
        <v>204</v>
      </c>
      <c r="I1" s="9"/>
    </row>
    <row r="2" spans="1:8" ht="15">
      <c r="A2" s="4"/>
      <c r="B2" s="4"/>
      <c r="C2" s="4"/>
      <c r="D2" s="4"/>
      <c r="E2" s="64"/>
      <c r="F2" s="2"/>
      <c r="G2" s="2"/>
      <c r="H2" s="2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1:8" ht="15">
      <c r="A4" s="4"/>
      <c r="B4" s="218"/>
      <c r="C4" s="218"/>
      <c r="D4" s="218"/>
      <c r="E4" s="218"/>
      <c r="F4" s="2"/>
      <c r="G4" s="2"/>
      <c r="H4" s="2"/>
    </row>
    <row r="5" spans="1:8" ht="15.75">
      <c r="A5" s="195" t="s">
        <v>1</v>
      </c>
      <c r="B5" s="195"/>
      <c r="C5" s="195"/>
      <c r="D5" s="195"/>
      <c r="E5" s="195"/>
      <c r="F5" s="14"/>
      <c r="G5" s="14"/>
      <c r="H5" s="14"/>
    </row>
    <row r="6" spans="1:8" ht="15.75">
      <c r="A6" s="195" t="s">
        <v>0</v>
      </c>
      <c r="B6" s="195"/>
      <c r="C6" s="195"/>
      <c r="D6" s="195"/>
      <c r="E6" s="195"/>
      <c r="F6" s="14"/>
      <c r="G6" s="14"/>
      <c r="H6" s="14"/>
    </row>
    <row r="7" spans="1:8" ht="15.75">
      <c r="A7" s="8"/>
      <c r="B7" s="195" t="s">
        <v>44</v>
      </c>
      <c r="C7" s="195"/>
      <c r="D7" s="195"/>
      <c r="E7" s="195"/>
      <c r="F7" s="14"/>
      <c r="G7" s="14"/>
      <c r="H7" s="14"/>
    </row>
    <row r="8" spans="1:8" ht="15.75">
      <c r="A8" s="8"/>
      <c r="B8" s="195" t="s">
        <v>85</v>
      </c>
      <c r="C8" s="195"/>
      <c r="D8" s="195"/>
      <c r="E8" s="195"/>
      <c r="F8" s="14"/>
      <c r="G8" s="14"/>
      <c r="H8" s="14"/>
    </row>
    <row r="9" spans="1:8" ht="15.75">
      <c r="A9" s="8"/>
      <c r="B9" s="195" t="s">
        <v>108</v>
      </c>
      <c r="C9" s="195"/>
      <c r="D9" s="195"/>
      <c r="E9" s="195"/>
      <c r="F9" s="14"/>
      <c r="G9" s="14"/>
      <c r="H9" s="14"/>
    </row>
    <row r="10" spans="1:8" ht="15.75">
      <c r="A10" s="8" t="s">
        <v>2</v>
      </c>
      <c r="B10" s="8" t="s">
        <v>205</v>
      </c>
      <c r="C10" s="8"/>
      <c r="D10" s="8"/>
      <c r="E10" s="8"/>
      <c r="F10" s="14"/>
      <c r="G10" s="14"/>
      <c r="H10" s="14"/>
    </row>
    <row r="11" spans="1:8" ht="15.75" hidden="1">
      <c r="A11" s="15"/>
      <c r="B11" s="16"/>
      <c r="C11" s="16"/>
      <c r="D11" s="16"/>
      <c r="E11" s="77"/>
      <c r="F11" s="14"/>
      <c r="G11" s="14"/>
      <c r="H11" s="14"/>
    </row>
    <row r="12" spans="1:9" ht="75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  <c r="I12" s="59" t="s">
        <v>5</v>
      </c>
    </row>
    <row r="13" spans="1:9" ht="15.75">
      <c r="A13" s="18">
        <v>1</v>
      </c>
      <c r="B13" s="19">
        <v>2</v>
      </c>
      <c r="C13" s="19"/>
      <c r="D13" s="19"/>
      <c r="E13" s="18">
        <v>3</v>
      </c>
      <c r="F13" s="19">
        <v>4</v>
      </c>
      <c r="G13" s="19"/>
      <c r="H13" s="19"/>
      <c r="I13" s="19">
        <v>3</v>
      </c>
    </row>
    <row r="14" spans="1:9" ht="15.75">
      <c r="A14" s="18"/>
      <c r="B14" s="21" t="s">
        <v>71</v>
      </c>
      <c r="C14" s="21"/>
      <c r="D14" s="21"/>
      <c r="E14" s="79"/>
      <c r="F14" s="22"/>
      <c r="G14" s="22"/>
      <c r="H14" s="22"/>
      <c r="I14" s="183"/>
    </row>
    <row r="15" spans="1:9" ht="15.75">
      <c r="A15" s="23">
        <v>1100</v>
      </c>
      <c r="B15" s="24" t="s">
        <v>72</v>
      </c>
      <c r="C15" s="80">
        <v>15628.8</v>
      </c>
      <c r="D15" s="127">
        <f>ROUND(C15/0.702804,2)</f>
        <v>22237.78</v>
      </c>
      <c r="E15" s="25">
        <f>ROUND(D15/12309*60,2)</f>
        <v>108.4</v>
      </c>
      <c r="F15" s="25">
        <v>112.74</v>
      </c>
      <c r="G15" s="25">
        <v>143.18</v>
      </c>
      <c r="H15" s="25">
        <f>G15/60*180+180*0.19</f>
        <v>463.74</v>
      </c>
      <c r="I15" s="80">
        <f>H15/180*980</f>
        <v>2524.806666666667</v>
      </c>
    </row>
    <row r="16" spans="1:9" ht="31.5">
      <c r="A16" s="23">
        <v>1200</v>
      </c>
      <c r="B16" s="26" t="s">
        <v>73</v>
      </c>
      <c r="C16" s="81">
        <v>3686.84</v>
      </c>
      <c r="D16" s="127">
        <f>ROUND(C16/0.702804,2)</f>
        <v>5245.9</v>
      </c>
      <c r="E16" s="25">
        <f>ROUND(D16/12309*60,2)</f>
        <v>25.57</v>
      </c>
      <c r="F16" s="25">
        <v>26.6</v>
      </c>
      <c r="G16" s="25">
        <v>34.49</v>
      </c>
      <c r="H16" s="25">
        <f>G16/60*180+180*0.04</f>
        <v>110.67000000000002</v>
      </c>
      <c r="I16" s="80">
        <f>H16/180*980</f>
        <v>602.5366666666667</v>
      </c>
    </row>
    <row r="17" spans="1:9" ht="15.75">
      <c r="A17" s="23">
        <v>2222</v>
      </c>
      <c r="B17" s="26" t="s">
        <v>39</v>
      </c>
      <c r="C17" s="80">
        <v>4086.59</v>
      </c>
      <c r="D17" s="127">
        <f>ROUND(C17/0.702804,2)</f>
        <v>5814.69</v>
      </c>
      <c r="E17" s="25">
        <f>ROUND(D17/12309*60,2)</f>
        <v>28.34</v>
      </c>
      <c r="F17" s="25">
        <f aca="true" t="shared" si="0" ref="F17:G19">E17</f>
        <v>28.34</v>
      </c>
      <c r="G17" s="25">
        <f t="shared" si="0"/>
        <v>28.34</v>
      </c>
      <c r="H17" s="25">
        <f>G17/60*180</f>
        <v>85.02</v>
      </c>
      <c r="I17" s="80">
        <f>H17/180*980</f>
        <v>462.88666666666666</v>
      </c>
    </row>
    <row r="18" spans="1:9" ht="15.75">
      <c r="A18" s="31">
        <v>2341</v>
      </c>
      <c r="B18" s="26" t="s">
        <v>23</v>
      </c>
      <c r="C18" s="80">
        <v>2374.52</v>
      </c>
      <c r="D18" s="127">
        <f>ROUND(C18/0.702804,2)</f>
        <v>3378.64</v>
      </c>
      <c r="E18" s="25">
        <f>ROUND(D18/12309*60,2)</f>
        <v>16.47</v>
      </c>
      <c r="F18" s="25">
        <f t="shared" si="0"/>
        <v>16.47</v>
      </c>
      <c r="G18" s="25">
        <f t="shared" si="0"/>
        <v>16.47</v>
      </c>
      <c r="H18" s="25">
        <f>G18/60*180</f>
        <v>49.41</v>
      </c>
      <c r="I18" s="81">
        <f>H18/180*980</f>
        <v>269.01</v>
      </c>
    </row>
    <row r="19" spans="1:9" ht="15.75">
      <c r="A19" s="23">
        <v>2350</v>
      </c>
      <c r="B19" s="26" t="s">
        <v>25</v>
      </c>
      <c r="C19" s="80">
        <v>176.67</v>
      </c>
      <c r="D19" s="127">
        <f>ROUND(C19/0.702804,2)</f>
        <v>251.38</v>
      </c>
      <c r="E19" s="25">
        <f>ROUND(D19/12309*60,2)</f>
        <v>1.23</v>
      </c>
      <c r="F19" s="25">
        <f t="shared" si="0"/>
        <v>1.23</v>
      </c>
      <c r="G19" s="25">
        <f t="shared" si="0"/>
        <v>1.23</v>
      </c>
      <c r="H19" s="25">
        <f>G19/60*180</f>
        <v>3.69</v>
      </c>
      <c r="I19" s="81">
        <f>H19/180*980</f>
        <v>20.09</v>
      </c>
    </row>
    <row r="20" spans="1:9" ht="15.75">
      <c r="A20" s="22"/>
      <c r="B20" s="27" t="s">
        <v>74</v>
      </c>
      <c r="C20" s="82">
        <f aca="true" t="shared" si="1" ref="C20:H20">SUM(C15:C19)</f>
        <v>25953.42</v>
      </c>
      <c r="D20" s="82">
        <f t="shared" si="1"/>
        <v>36928.39</v>
      </c>
      <c r="E20" s="28">
        <f t="shared" si="1"/>
        <v>180.01</v>
      </c>
      <c r="F20" s="28">
        <f t="shared" si="1"/>
        <v>185.38</v>
      </c>
      <c r="G20" s="28">
        <f t="shared" si="1"/>
        <v>223.71</v>
      </c>
      <c r="H20" s="28">
        <f t="shared" si="1"/>
        <v>712.5300000000001</v>
      </c>
      <c r="I20" s="184">
        <f>SUM(I15:I19)</f>
        <v>3879.330000000001</v>
      </c>
    </row>
    <row r="21" spans="1:9" ht="15.75">
      <c r="A21" s="29"/>
      <c r="B21" s="24" t="s">
        <v>75</v>
      </c>
      <c r="C21" s="80"/>
      <c r="D21" s="24"/>
      <c r="E21" s="25"/>
      <c r="F21" s="25"/>
      <c r="G21" s="25"/>
      <c r="H21" s="25"/>
      <c r="I21" s="81"/>
    </row>
    <row r="22" spans="1:9" ht="15.75">
      <c r="A22" s="23">
        <v>1100</v>
      </c>
      <c r="B22" s="24" t="s">
        <v>72</v>
      </c>
      <c r="C22" s="80">
        <v>4138.68</v>
      </c>
      <c r="D22" s="127">
        <f aca="true" t="shared" si="2" ref="D22:D62">ROUND(C22/0.702804,2)</f>
        <v>5888.81</v>
      </c>
      <c r="E22" s="25">
        <f aca="true" t="shared" si="3" ref="E22:E63">ROUND(D22/12309*60,2)</f>
        <v>28.7</v>
      </c>
      <c r="F22" s="25">
        <v>29.56</v>
      </c>
      <c r="G22" s="25">
        <v>29.44</v>
      </c>
      <c r="H22" s="25">
        <f aca="true" t="shared" si="4" ref="H22:H64">G22/60*180</f>
        <v>88.32000000000001</v>
      </c>
      <c r="I22" s="80">
        <f>H22/180*980</f>
        <v>480.85333333333335</v>
      </c>
    </row>
    <row r="23" spans="1:9" ht="31.5">
      <c r="A23" s="23">
        <v>1200</v>
      </c>
      <c r="B23" s="26" t="s">
        <v>73</v>
      </c>
      <c r="C23" s="81">
        <v>976.32</v>
      </c>
      <c r="D23" s="127">
        <f t="shared" si="2"/>
        <v>1389.18</v>
      </c>
      <c r="E23" s="25">
        <f t="shared" si="3"/>
        <v>6.77</v>
      </c>
      <c r="F23" s="25">
        <v>6.97</v>
      </c>
      <c r="G23" s="25">
        <v>7.09</v>
      </c>
      <c r="H23" s="25">
        <f t="shared" si="4"/>
        <v>21.27</v>
      </c>
      <c r="I23" s="80">
        <f aca="true" t="shared" si="5" ref="I23:I63">H23/180*980</f>
        <v>115.80333333333334</v>
      </c>
    </row>
    <row r="24" spans="1:9" ht="15.75">
      <c r="A24" s="31">
        <v>2210</v>
      </c>
      <c r="B24" s="26" t="s">
        <v>38</v>
      </c>
      <c r="C24" s="80">
        <v>18</v>
      </c>
      <c r="D24" s="127">
        <f t="shared" si="2"/>
        <v>25.61</v>
      </c>
      <c r="E24" s="80">
        <f t="shared" si="3"/>
        <v>0.12</v>
      </c>
      <c r="F24" s="25">
        <f aca="true" t="shared" si="6" ref="F24:F63">E24</f>
        <v>0.12</v>
      </c>
      <c r="G24" s="25">
        <f aca="true" t="shared" si="7" ref="G24:G64">F24</f>
        <v>0.12</v>
      </c>
      <c r="H24" s="25">
        <f t="shared" si="4"/>
        <v>0.36</v>
      </c>
      <c r="I24" s="80">
        <f t="shared" si="5"/>
        <v>1.96</v>
      </c>
    </row>
    <row r="25" spans="1:9" ht="15.75">
      <c r="A25" s="23">
        <v>2222</v>
      </c>
      <c r="B25" s="26" t="s">
        <v>39</v>
      </c>
      <c r="C25" s="80">
        <v>83</v>
      </c>
      <c r="D25" s="127">
        <f t="shared" si="2"/>
        <v>118.1</v>
      </c>
      <c r="E25" s="80">
        <f t="shared" si="3"/>
        <v>0.58</v>
      </c>
      <c r="F25" s="25">
        <f t="shared" si="6"/>
        <v>0.58</v>
      </c>
      <c r="G25" s="25">
        <f t="shared" si="7"/>
        <v>0.58</v>
      </c>
      <c r="H25" s="25">
        <f t="shared" si="4"/>
        <v>1.7399999999999998</v>
      </c>
      <c r="I25" s="80">
        <f t="shared" si="5"/>
        <v>9.473333333333333</v>
      </c>
    </row>
    <row r="26" spans="1:10" ht="15.75">
      <c r="A26" s="23">
        <v>2223</v>
      </c>
      <c r="B26" s="26" t="s">
        <v>40</v>
      </c>
      <c r="C26" s="80">
        <v>56</v>
      </c>
      <c r="D26" s="127">
        <f t="shared" si="2"/>
        <v>79.68</v>
      </c>
      <c r="E26" s="80">
        <f t="shared" si="3"/>
        <v>0.39</v>
      </c>
      <c r="F26" s="25">
        <f t="shared" si="6"/>
        <v>0.39</v>
      </c>
      <c r="G26" s="25">
        <f t="shared" si="7"/>
        <v>0.39</v>
      </c>
      <c r="H26" s="25">
        <f t="shared" si="4"/>
        <v>1.1700000000000002</v>
      </c>
      <c r="I26" s="80">
        <f t="shared" si="5"/>
        <v>6.370000000000001</v>
      </c>
      <c r="J26" s="1"/>
    </row>
    <row r="27" spans="1:9" ht="15.75">
      <c r="A27" s="23">
        <v>2230</v>
      </c>
      <c r="B27" s="26" t="s">
        <v>41</v>
      </c>
      <c r="C27" s="80">
        <v>7</v>
      </c>
      <c r="D27" s="127">
        <f t="shared" si="2"/>
        <v>9.96</v>
      </c>
      <c r="E27" s="80">
        <f t="shared" si="3"/>
        <v>0.05</v>
      </c>
      <c r="F27" s="25">
        <f t="shared" si="6"/>
        <v>0.05</v>
      </c>
      <c r="G27" s="25">
        <f t="shared" si="7"/>
        <v>0.05</v>
      </c>
      <c r="H27" s="25">
        <f t="shared" si="4"/>
        <v>0.15000000000000002</v>
      </c>
      <c r="I27" s="80">
        <f t="shared" si="5"/>
        <v>0.8166666666666669</v>
      </c>
    </row>
    <row r="28" spans="1:9" ht="15.75" hidden="1">
      <c r="A28" s="23">
        <v>2241</v>
      </c>
      <c r="B28" s="26" t="s">
        <v>9</v>
      </c>
      <c r="C28" s="80"/>
      <c r="D28" s="127">
        <f t="shared" si="2"/>
        <v>0</v>
      </c>
      <c r="E28" s="80">
        <f t="shared" si="3"/>
        <v>0</v>
      </c>
      <c r="F28" s="25">
        <f t="shared" si="6"/>
        <v>0</v>
      </c>
      <c r="G28" s="25">
        <f t="shared" si="7"/>
        <v>0</v>
      </c>
      <c r="H28" s="25">
        <f t="shared" si="4"/>
        <v>0</v>
      </c>
      <c r="I28" s="80">
        <f t="shared" si="5"/>
        <v>0</v>
      </c>
    </row>
    <row r="29" spans="1:9" ht="15.75">
      <c r="A29" s="23">
        <v>2242</v>
      </c>
      <c r="B29" s="26" t="s">
        <v>10</v>
      </c>
      <c r="C29" s="80">
        <v>23</v>
      </c>
      <c r="D29" s="127">
        <f t="shared" si="2"/>
        <v>32.73</v>
      </c>
      <c r="E29" s="80">
        <f t="shared" si="3"/>
        <v>0.16</v>
      </c>
      <c r="F29" s="25">
        <f t="shared" si="6"/>
        <v>0.16</v>
      </c>
      <c r="G29" s="25">
        <f t="shared" si="7"/>
        <v>0.16</v>
      </c>
      <c r="H29" s="25">
        <f t="shared" si="4"/>
        <v>0.48</v>
      </c>
      <c r="I29" s="80">
        <f t="shared" si="5"/>
        <v>2.6133333333333333</v>
      </c>
    </row>
    <row r="30" spans="1:9" ht="15.75">
      <c r="A30" s="23">
        <v>2243</v>
      </c>
      <c r="B30" s="26" t="s">
        <v>11</v>
      </c>
      <c r="C30" s="80">
        <v>79</v>
      </c>
      <c r="D30" s="127">
        <f t="shared" si="2"/>
        <v>112.41</v>
      </c>
      <c r="E30" s="80">
        <f t="shared" si="3"/>
        <v>0.55</v>
      </c>
      <c r="F30" s="25">
        <f t="shared" si="6"/>
        <v>0.55</v>
      </c>
      <c r="G30" s="25">
        <f t="shared" si="7"/>
        <v>0.55</v>
      </c>
      <c r="H30" s="25">
        <f t="shared" si="4"/>
        <v>1.65</v>
      </c>
      <c r="I30" s="80">
        <f t="shared" si="5"/>
        <v>8.983333333333333</v>
      </c>
    </row>
    <row r="31" spans="1:9" ht="15.75">
      <c r="A31" s="22">
        <v>2244</v>
      </c>
      <c r="B31" s="26" t="s">
        <v>12</v>
      </c>
      <c r="C31" s="80">
        <v>1181</v>
      </c>
      <c r="D31" s="127">
        <f t="shared" si="2"/>
        <v>1680.41</v>
      </c>
      <c r="E31" s="80">
        <f t="shared" si="3"/>
        <v>8.19</v>
      </c>
      <c r="F31" s="25">
        <f t="shared" si="6"/>
        <v>8.19</v>
      </c>
      <c r="G31" s="25">
        <f t="shared" si="7"/>
        <v>8.19</v>
      </c>
      <c r="H31" s="25">
        <f t="shared" si="4"/>
        <v>24.569999999999997</v>
      </c>
      <c r="I31" s="80">
        <f t="shared" si="5"/>
        <v>133.76999999999998</v>
      </c>
    </row>
    <row r="32" spans="1:9" ht="15.75">
      <c r="A32" s="22">
        <v>2247</v>
      </c>
      <c r="B32" s="21" t="s">
        <v>76</v>
      </c>
      <c r="C32" s="80">
        <v>6</v>
      </c>
      <c r="D32" s="127">
        <f t="shared" si="2"/>
        <v>8.54</v>
      </c>
      <c r="E32" s="80">
        <f t="shared" si="3"/>
        <v>0.04</v>
      </c>
      <c r="F32" s="25">
        <f t="shared" si="6"/>
        <v>0.04</v>
      </c>
      <c r="G32" s="25">
        <f t="shared" si="7"/>
        <v>0.04</v>
      </c>
      <c r="H32" s="25">
        <f t="shared" si="4"/>
        <v>0.12</v>
      </c>
      <c r="I32" s="80">
        <f t="shared" si="5"/>
        <v>0.6533333333333333</v>
      </c>
    </row>
    <row r="33" spans="1:9" ht="15.75">
      <c r="A33" s="22">
        <v>2249</v>
      </c>
      <c r="B33" s="26" t="s">
        <v>13</v>
      </c>
      <c r="C33" s="80">
        <v>28</v>
      </c>
      <c r="D33" s="127">
        <f t="shared" si="2"/>
        <v>39.84</v>
      </c>
      <c r="E33" s="80">
        <f t="shared" si="3"/>
        <v>0.19</v>
      </c>
      <c r="F33" s="25">
        <f t="shared" si="6"/>
        <v>0.19</v>
      </c>
      <c r="G33" s="25">
        <f t="shared" si="7"/>
        <v>0.19</v>
      </c>
      <c r="H33" s="25">
        <f t="shared" si="4"/>
        <v>0.57</v>
      </c>
      <c r="I33" s="80">
        <f t="shared" si="5"/>
        <v>3.103333333333333</v>
      </c>
    </row>
    <row r="34" spans="1:9" ht="15.75">
      <c r="A34" s="22">
        <v>2251</v>
      </c>
      <c r="B34" s="26" t="s">
        <v>77</v>
      </c>
      <c r="C34" s="80">
        <v>86</v>
      </c>
      <c r="D34" s="127">
        <f t="shared" si="2"/>
        <v>122.37</v>
      </c>
      <c r="E34" s="80">
        <f t="shared" si="3"/>
        <v>0.6</v>
      </c>
      <c r="F34" s="25">
        <f t="shared" si="6"/>
        <v>0.6</v>
      </c>
      <c r="G34" s="25">
        <f t="shared" si="7"/>
        <v>0.6</v>
      </c>
      <c r="H34" s="25">
        <f t="shared" si="4"/>
        <v>1.8</v>
      </c>
      <c r="I34" s="80">
        <f t="shared" si="5"/>
        <v>9.8</v>
      </c>
    </row>
    <row r="35" spans="1:9" ht="15.75" hidden="1">
      <c r="A35" s="22">
        <v>2252</v>
      </c>
      <c r="B35" s="26" t="s">
        <v>7</v>
      </c>
      <c r="C35" s="80"/>
      <c r="D35" s="127">
        <f t="shared" si="2"/>
        <v>0</v>
      </c>
      <c r="E35" s="80">
        <f t="shared" si="3"/>
        <v>0</v>
      </c>
      <c r="F35" s="25">
        <f t="shared" si="6"/>
        <v>0</v>
      </c>
      <c r="G35" s="25">
        <f t="shared" si="7"/>
        <v>0</v>
      </c>
      <c r="H35" s="25">
        <f t="shared" si="4"/>
        <v>0</v>
      </c>
      <c r="I35" s="80">
        <f t="shared" si="5"/>
        <v>0</v>
      </c>
    </row>
    <row r="36" spans="1:9" ht="15.75" hidden="1">
      <c r="A36" s="22">
        <v>2259</v>
      </c>
      <c r="B36" s="26" t="s">
        <v>8</v>
      </c>
      <c r="C36" s="80"/>
      <c r="D36" s="127">
        <f t="shared" si="2"/>
        <v>0</v>
      </c>
      <c r="E36" s="80">
        <f t="shared" si="3"/>
        <v>0</v>
      </c>
      <c r="F36" s="25">
        <f t="shared" si="6"/>
        <v>0</v>
      </c>
      <c r="G36" s="25">
        <f t="shared" si="7"/>
        <v>0</v>
      </c>
      <c r="H36" s="25">
        <f t="shared" si="4"/>
        <v>0</v>
      </c>
      <c r="I36" s="80">
        <f t="shared" si="5"/>
        <v>0</v>
      </c>
    </row>
    <row r="37" spans="1:9" ht="15.75">
      <c r="A37" s="22">
        <v>2261</v>
      </c>
      <c r="B37" s="26" t="s">
        <v>14</v>
      </c>
      <c r="C37" s="80">
        <v>15</v>
      </c>
      <c r="D37" s="127">
        <f t="shared" si="2"/>
        <v>21.34</v>
      </c>
      <c r="E37" s="80">
        <f t="shared" si="3"/>
        <v>0.1</v>
      </c>
      <c r="F37" s="25">
        <f t="shared" si="6"/>
        <v>0.1</v>
      </c>
      <c r="G37" s="25">
        <f t="shared" si="7"/>
        <v>0.1</v>
      </c>
      <c r="H37" s="25">
        <f t="shared" si="4"/>
        <v>0.30000000000000004</v>
      </c>
      <c r="I37" s="80">
        <f t="shared" si="5"/>
        <v>1.6333333333333337</v>
      </c>
    </row>
    <row r="38" spans="1:9" ht="15.75">
      <c r="A38" s="22">
        <v>2262</v>
      </c>
      <c r="B38" s="26" t="s">
        <v>15</v>
      </c>
      <c r="C38" s="80">
        <v>68</v>
      </c>
      <c r="D38" s="127">
        <f t="shared" si="2"/>
        <v>96.76</v>
      </c>
      <c r="E38" s="80">
        <f t="shared" si="3"/>
        <v>0.47</v>
      </c>
      <c r="F38" s="25">
        <f t="shared" si="6"/>
        <v>0.47</v>
      </c>
      <c r="G38" s="25">
        <f t="shared" si="7"/>
        <v>0.47</v>
      </c>
      <c r="H38" s="25">
        <f t="shared" si="4"/>
        <v>1.41</v>
      </c>
      <c r="I38" s="80">
        <f t="shared" si="5"/>
        <v>7.676666666666666</v>
      </c>
    </row>
    <row r="39" spans="1:9" ht="15.75">
      <c r="A39" s="22">
        <v>2263</v>
      </c>
      <c r="B39" s="26" t="s">
        <v>16</v>
      </c>
      <c r="C39" s="80">
        <v>252</v>
      </c>
      <c r="D39" s="127">
        <f t="shared" si="2"/>
        <v>358.56</v>
      </c>
      <c r="E39" s="80">
        <f t="shared" si="3"/>
        <v>1.75</v>
      </c>
      <c r="F39" s="25">
        <f t="shared" si="6"/>
        <v>1.75</v>
      </c>
      <c r="G39" s="25">
        <f t="shared" si="7"/>
        <v>1.75</v>
      </c>
      <c r="H39" s="25">
        <f t="shared" si="4"/>
        <v>5.25</v>
      </c>
      <c r="I39" s="80">
        <f t="shared" si="5"/>
        <v>28.583333333333332</v>
      </c>
    </row>
    <row r="40" spans="1:9" ht="15.75">
      <c r="A40" s="23">
        <v>2264</v>
      </c>
      <c r="B40" s="26" t="s">
        <v>17</v>
      </c>
      <c r="C40" s="80">
        <v>1</v>
      </c>
      <c r="D40" s="127">
        <f t="shared" si="2"/>
        <v>1.42</v>
      </c>
      <c r="E40" s="80">
        <f t="shared" si="3"/>
        <v>0.01</v>
      </c>
      <c r="F40" s="25">
        <f t="shared" si="6"/>
        <v>0.01</v>
      </c>
      <c r="G40" s="25">
        <f t="shared" si="7"/>
        <v>0.01</v>
      </c>
      <c r="H40" s="25">
        <f t="shared" si="4"/>
        <v>0.03</v>
      </c>
      <c r="I40" s="80">
        <f t="shared" si="5"/>
        <v>0.16333333333333333</v>
      </c>
    </row>
    <row r="41" spans="1:9" ht="15.75">
      <c r="A41" s="23">
        <v>2279</v>
      </c>
      <c r="B41" s="26" t="s">
        <v>18</v>
      </c>
      <c r="C41" s="80">
        <v>301.6</v>
      </c>
      <c r="D41" s="127">
        <f t="shared" si="2"/>
        <v>429.14</v>
      </c>
      <c r="E41" s="80">
        <f t="shared" si="3"/>
        <v>2.09</v>
      </c>
      <c r="F41" s="25">
        <f t="shared" si="6"/>
        <v>2.09</v>
      </c>
      <c r="G41" s="25">
        <f t="shared" si="7"/>
        <v>2.09</v>
      </c>
      <c r="H41" s="25">
        <f t="shared" si="4"/>
        <v>6.2700000000000005</v>
      </c>
      <c r="I41" s="80">
        <f t="shared" si="5"/>
        <v>34.13666666666667</v>
      </c>
    </row>
    <row r="42" spans="1:9" ht="15.75">
      <c r="A42" s="23">
        <v>2311</v>
      </c>
      <c r="B42" s="26" t="s">
        <v>19</v>
      </c>
      <c r="C42" s="80">
        <v>31</v>
      </c>
      <c r="D42" s="127">
        <f t="shared" si="2"/>
        <v>44.11</v>
      </c>
      <c r="E42" s="80">
        <f t="shared" si="3"/>
        <v>0.22</v>
      </c>
      <c r="F42" s="25">
        <f t="shared" si="6"/>
        <v>0.22</v>
      </c>
      <c r="G42" s="25">
        <f t="shared" si="7"/>
        <v>0.22</v>
      </c>
      <c r="H42" s="25">
        <f t="shared" si="4"/>
        <v>0.66</v>
      </c>
      <c r="I42" s="80">
        <f t="shared" si="5"/>
        <v>3.5933333333333337</v>
      </c>
    </row>
    <row r="43" spans="1:9" ht="15.75">
      <c r="A43" s="23">
        <v>2312</v>
      </c>
      <c r="B43" s="26" t="s">
        <v>20</v>
      </c>
      <c r="C43" s="80">
        <v>49</v>
      </c>
      <c r="D43" s="127">
        <f t="shared" si="2"/>
        <v>69.72</v>
      </c>
      <c r="E43" s="80">
        <f t="shared" si="3"/>
        <v>0.34</v>
      </c>
      <c r="F43" s="25">
        <f t="shared" si="6"/>
        <v>0.34</v>
      </c>
      <c r="G43" s="25">
        <f t="shared" si="7"/>
        <v>0.34</v>
      </c>
      <c r="H43" s="25">
        <f t="shared" si="4"/>
        <v>1.02</v>
      </c>
      <c r="I43" s="80">
        <f t="shared" si="5"/>
        <v>5.553333333333334</v>
      </c>
    </row>
    <row r="44" spans="1:9" ht="15.75">
      <c r="A44" s="23">
        <v>2321</v>
      </c>
      <c r="B44" s="26" t="s">
        <v>21</v>
      </c>
      <c r="C44" s="80">
        <v>164</v>
      </c>
      <c r="D44" s="127">
        <f t="shared" si="2"/>
        <v>233.35</v>
      </c>
      <c r="E44" s="80">
        <f t="shared" si="3"/>
        <v>1.14</v>
      </c>
      <c r="F44" s="25">
        <f t="shared" si="6"/>
        <v>1.14</v>
      </c>
      <c r="G44" s="25">
        <f t="shared" si="7"/>
        <v>1.14</v>
      </c>
      <c r="H44" s="25">
        <f t="shared" si="4"/>
        <v>3.42</v>
      </c>
      <c r="I44" s="80">
        <f t="shared" si="5"/>
        <v>18.62</v>
      </c>
    </row>
    <row r="45" spans="1:9" ht="15.75">
      <c r="A45" s="23">
        <v>2322</v>
      </c>
      <c r="B45" s="26" t="s">
        <v>22</v>
      </c>
      <c r="C45" s="80">
        <v>22</v>
      </c>
      <c r="D45" s="127">
        <f t="shared" si="2"/>
        <v>31.3</v>
      </c>
      <c r="E45" s="80">
        <f t="shared" si="3"/>
        <v>0.15</v>
      </c>
      <c r="F45" s="25">
        <f t="shared" si="6"/>
        <v>0.15</v>
      </c>
      <c r="G45" s="25">
        <f t="shared" si="7"/>
        <v>0.15</v>
      </c>
      <c r="H45" s="25">
        <f t="shared" si="4"/>
        <v>0.45</v>
      </c>
      <c r="I45" s="80">
        <f t="shared" si="5"/>
        <v>2.45</v>
      </c>
    </row>
    <row r="46" spans="1:9" ht="15.75">
      <c r="A46" s="23">
        <v>2341</v>
      </c>
      <c r="B46" s="26" t="s">
        <v>23</v>
      </c>
      <c r="C46" s="80">
        <v>36</v>
      </c>
      <c r="D46" s="127">
        <f t="shared" si="2"/>
        <v>51.22</v>
      </c>
      <c r="E46" s="80">
        <f t="shared" si="3"/>
        <v>0.25</v>
      </c>
      <c r="F46" s="25">
        <f t="shared" si="6"/>
        <v>0.25</v>
      </c>
      <c r="G46" s="25">
        <f t="shared" si="7"/>
        <v>0.25</v>
      </c>
      <c r="H46" s="25">
        <f t="shared" si="4"/>
        <v>0.75</v>
      </c>
      <c r="I46" s="80">
        <f t="shared" si="5"/>
        <v>4.083333333333333</v>
      </c>
    </row>
    <row r="47" spans="1:9" ht="15.75">
      <c r="A47" s="23">
        <v>2344</v>
      </c>
      <c r="B47" s="26" t="s">
        <v>24</v>
      </c>
      <c r="C47" s="80">
        <v>1</v>
      </c>
      <c r="D47" s="127">
        <f t="shared" si="2"/>
        <v>1.42</v>
      </c>
      <c r="E47" s="80">
        <f t="shared" si="3"/>
        <v>0.01</v>
      </c>
      <c r="F47" s="25">
        <f t="shared" si="6"/>
        <v>0.01</v>
      </c>
      <c r="G47" s="25">
        <f t="shared" si="7"/>
        <v>0.01</v>
      </c>
      <c r="H47" s="25">
        <f t="shared" si="4"/>
        <v>0.03</v>
      </c>
      <c r="I47" s="80">
        <f t="shared" si="5"/>
        <v>0.16333333333333333</v>
      </c>
    </row>
    <row r="48" spans="1:9" ht="15.75">
      <c r="A48" s="23">
        <v>2350</v>
      </c>
      <c r="B48" s="26" t="s">
        <v>25</v>
      </c>
      <c r="C48" s="80">
        <v>224</v>
      </c>
      <c r="D48" s="127">
        <f t="shared" si="2"/>
        <v>318.72</v>
      </c>
      <c r="E48" s="80">
        <f t="shared" si="3"/>
        <v>1.55</v>
      </c>
      <c r="F48" s="25">
        <f t="shared" si="6"/>
        <v>1.55</v>
      </c>
      <c r="G48" s="25">
        <f t="shared" si="7"/>
        <v>1.55</v>
      </c>
      <c r="H48" s="25">
        <f t="shared" si="4"/>
        <v>4.65</v>
      </c>
      <c r="I48" s="80">
        <f t="shared" si="5"/>
        <v>25.31666666666667</v>
      </c>
    </row>
    <row r="49" spans="1:9" ht="15.75">
      <c r="A49" s="23">
        <v>2361</v>
      </c>
      <c r="B49" s="26" t="s">
        <v>26</v>
      </c>
      <c r="C49" s="80">
        <v>137</v>
      </c>
      <c r="D49" s="127">
        <f t="shared" si="2"/>
        <v>194.93</v>
      </c>
      <c r="E49" s="80">
        <f t="shared" si="3"/>
        <v>0.95</v>
      </c>
      <c r="F49" s="25">
        <f t="shared" si="6"/>
        <v>0.95</v>
      </c>
      <c r="G49" s="25">
        <f t="shared" si="7"/>
        <v>0.95</v>
      </c>
      <c r="H49" s="25">
        <f t="shared" si="4"/>
        <v>2.8499999999999996</v>
      </c>
      <c r="I49" s="80">
        <f t="shared" si="5"/>
        <v>15.516666666666664</v>
      </c>
    </row>
    <row r="50" spans="1:9" ht="15.75" hidden="1">
      <c r="A50" s="23">
        <v>2362</v>
      </c>
      <c r="B50" s="26" t="s">
        <v>27</v>
      </c>
      <c r="C50" s="80"/>
      <c r="D50" s="127">
        <f t="shared" si="2"/>
        <v>0</v>
      </c>
      <c r="E50" s="80">
        <f t="shared" si="3"/>
        <v>0</v>
      </c>
      <c r="F50" s="25">
        <f t="shared" si="6"/>
        <v>0</v>
      </c>
      <c r="G50" s="25">
        <f t="shared" si="7"/>
        <v>0</v>
      </c>
      <c r="H50" s="25">
        <f t="shared" si="4"/>
        <v>0</v>
      </c>
      <c r="I50" s="80">
        <f t="shared" si="5"/>
        <v>0</v>
      </c>
    </row>
    <row r="51" spans="1:9" ht="15.75" hidden="1">
      <c r="A51" s="23">
        <v>2363</v>
      </c>
      <c r="B51" s="26" t="s">
        <v>28</v>
      </c>
      <c r="C51" s="80"/>
      <c r="D51" s="127">
        <f t="shared" si="2"/>
        <v>0</v>
      </c>
      <c r="E51" s="80">
        <f t="shared" si="3"/>
        <v>0</v>
      </c>
      <c r="F51" s="25">
        <f t="shared" si="6"/>
        <v>0</v>
      </c>
      <c r="G51" s="25">
        <f t="shared" si="7"/>
        <v>0</v>
      </c>
      <c r="H51" s="25">
        <f t="shared" si="4"/>
        <v>0</v>
      </c>
      <c r="I51" s="80">
        <f t="shared" si="5"/>
        <v>0</v>
      </c>
    </row>
    <row r="52" spans="1:9" ht="15.75" hidden="1">
      <c r="A52" s="23">
        <v>2370</v>
      </c>
      <c r="B52" s="26" t="s">
        <v>29</v>
      </c>
      <c r="C52" s="80"/>
      <c r="D52" s="127">
        <f t="shared" si="2"/>
        <v>0</v>
      </c>
      <c r="E52" s="80">
        <f t="shared" si="3"/>
        <v>0</v>
      </c>
      <c r="F52" s="25">
        <f t="shared" si="6"/>
        <v>0</v>
      </c>
      <c r="G52" s="25">
        <f t="shared" si="7"/>
        <v>0</v>
      </c>
      <c r="H52" s="25">
        <f t="shared" si="4"/>
        <v>0</v>
      </c>
      <c r="I52" s="80">
        <f t="shared" si="5"/>
        <v>0</v>
      </c>
    </row>
    <row r="53" spans="1:9" ht="15.75">
      <c r="A53" s="23">
        <v>2400</v>
      </c>
      <c r="B53" s="26" t="s">
        <v>43</v>
      </c>
      <c r="C53" s="80">
        <v>10</v>
      </c>
      <c r="D53" s="127">
        <f t="shared" si="2"/>
        <v>14.23</v>
      </c>
      <c r="E53" s="80">
        <f t="shared" si="3"/>
        <v>0.07</v>
      </c>
      <c r="F53" s="25">
        <f t="shared" si="6"/>
        <v>0.07</v>
      </c>
      <c r="G53" s="25">
        <f t="shared" si="7"/>
        <v>0.07</v>
      </c>
      <c r="H53" s="25">
        <f t="shared" si="4"/>
        <v>0.21000000000000002</v>
      </c>
      <c r="I53" s="80">
        <f t="shared" si="5"/>
        <v>1.1433333333333335</v>
      </c>
    </row>
    <row r="54" spans="1:9" ht="15.75" hidden="1">
      <c r="A54" s="23">
        <v>2512</v>
      </c>
      <c r="B54" s="26" t="s">
        <v>30</v>
      </c>
      <c r="C54" s="80">
        <v>0</v>
      </c>
      <c r="D54" s="127">
        <f t="shared" si="2"/>
        <v>0</v>
      </c>
      <c r="E54" s="80">
        <f t="shared" si="3"/>
        <v>0</v>
      </c>
      <c r="F54" s="25">
        <f t="shared" si="6"/>
        <v>0</v>
      </c>
      <c r="G54" s="25">
        <f t="shared" si="7"/>
        <v>0</v>
      </c>
      <c r="H54" s="25">
        <f t="shared" si="4"/>
        <v>0</v>
      </c>
      <c r="I54" s="80">
        <f t="shared" si="5"/>
        <v>0</v>
      </c>
    </row>
    <row r="55" spans="1:9" ht="15.75">
      <c r="A55" s="23">
        <v>2513</v>
      </c>
      <c r="B55" s="26" t="s">
        <v>31</v>
      </c>
      <c r="C55" s="80">
        <v>184</v>
      </c>
      <c r="D55" s="127">
        <f t="shared" si="2"/>
        <v>261.81</v>
      </c>
      <c r="E55" s="80">
        <f t="shared" si="3"/>
        <v>1.28</v>
      </c>
      <c r="F55" s="25">
        <v>1.1</v>
      </c>
      <c r="G55" s="25">
        <v>0.92</v>
      </c>
      <c r="H55" s="25">
        <f t="shared" si="4"/>
        <v>2.7600000000000002</v>
      </c>
      <c r="I55" s="80">
        <f t="shared" si="5"/>
        <v>15.026666666666667</v>
      </c>
    </row>
    <row r="56" spans="1:9" ht="15.75">
      <c r="A56" s="23">
        <v>2515</v>
      </c>
      <c r="B56" s="26" t="s">
        <v>78</v>
      </c>
      <c r="C56" s="80">
        <v>7</v>
      </c>
      <c r="D56" s="127">
        <f t="shared" si="2"/>
        <v>9.96</v>
      </c>
      <c r="E56" s="80">
        <f t="shared" si="3"/>
        <v>0.05</v>
      </c>
      <c r="F56" s="25">
        <f t="shared" si="6"/>
        <v>0.05</v>
      </c>
      <c r="G56" s="25">
        <f t="shared" si="7"/>
        <v>0.05</v>
      </c>
      <c r="H56" s="25">
        <f t="shared" si="4"/>
        <v>0.15000000000000002</v>
      </c>
      <c r="I56" s="80">
        <f t="shared" si="5"/>
        <v>0.8166666666666669</v>
      </c>
    </row>
    <row r="57" spans="1:9" ht="15.75">
      <c r="A57" s="23">
        <v>2519</v>
      </c>
      <c r="B57" s="26" t="s">
        <v>34</v>
      </c>
      <c r="C57" s="80">
        <v>44</v>
      </c>
      <c r="D57" s="127">
        <f t="shared" si="2"/>
        <v>62.61</v>
      </c>
      <c r="E57" s="80">
        <f t="shared" si="3"/>
        <v>0.31</v>
      </c>
      <c r="F57" s="25">
        <f t="shared" si="6"/>
        <v>0.31</v>
      </c>
      <c r="G57" s="25">
        <f t="shared" si="7"/>
        <v>0.31</v>
      </c>
      <c r="H57" s="25">
        <f t="shared" si="4"/>
        <v>0.9299999999999999</v>
      </c>
      <c r="I57" s="80">
        <f t="shared" si="5"/>
        <v>5.0633333333333335</v>
      </c>
    </row>
    <row r="58" spans="1:9" ht="15.75" hidden="1">
      <c r="A58" s="23">
        <v>6240</v>
      </c>
      <c r="B58" s="26"/>
      <c r="C58" s="80"/>
      <c r="D58" s="127">
        <f t="shared" si="2"/>
        <v>0</v>
      </c>
      <c r="E58" s="80">
        <f t="shared" si="3"/>
        <v>0</v>
      </c>
      <c r="F58" s="25">
        <f t="shared" si="6"/>
        <v>0</v>
      </c>
      <c r="G58" s="25">
        <f t="shared" si="7"/>
        <v>0</v>
      </c>
      <c r="H58" s="25">
        <f t="shared" si="4"/>
        <v>0</v>
      </c>
      <c r="I58" s="80">
        <f t="shared" si="5"/>
        <v>0</v>
      </c>
    </row>
    <row r="59" spans="1:9" ht="15.75" hidden="1">
      <c r="A59" s="23">
        <v>6290</v>
      </c>
      <c r="B59" s="26"/>
      <c r="C59" s="80"/>
      <c r="D59" s="127">
        <f t="shared" si="2"/>
        <v>0</v>
      </c>
      <c r="E59" s="80">
        <f t="shared" si="3"/>
        <v>0</v>
      </c>
      <c r="F59" s="25">
        <f t="shared" si="6"/>
        <v>0</v>
      </c>
      <c r="G59" s="25">
        <f t="shared" si="7"/>
        <v>0</v>
      </c>
      <c r="H59" s="25">
        <f t="shared" si="4"/>
        <v>0</v>
      </c>
      <c r="I59" s="80">
        <f t="shared" si="5"/>
        <v>0</v>
      </c>
    </row>
    <row r="60" spans="1:9" ht="15.75">
      <c r="A60" s="23">
        <v>5121</v>
      </c>
      <c r="B60" s="26" t="s">
        <v>32</v>
      </c>
      <c r="C60" s="80">
        <v>32</v>
      </c>
      <c r="D60" s="127">
        <f t="shared" si="2"/>
        <v>45.53</v>
      </c>
      <c r="E60" s="80">
        <f t="shared" si="3"/>
        <v>0.22</v>
      </c>
      <c r="F60" s="25">
        <f t="shared" si="6"/>
        <v>0.22</v>
      </c>
      <c r="G60" s="25">
        <f t="shared" si="7"/>
        <v>0.22</v>
      </c>
      <c r="H60" s="25">
        <f t="shared" si="4"/>
        <v>0.66</v>
      </c>
      <c r="I60" s="80">
        <f t="shared" si="5"/>
        <v>3.5933333333333337</v>
      </c>
    </row>
    <row r="61" spans="1:9" ht="15.75">
      <c r="A61" s="23">
        <v>5232</v>
      </c>
      <c r="B61" s="26" t="s">
        <v>33</v>
      </c>
      <c r="C61" s="80">
        <v>4</v>
      </c>
      <c r="D61" s="127">
        <v>34.69</v>
      </c>
      <c r="E61" s="80">
        <v>0.16</v>
      </c>
      <c r="F61" s="25">
        <f t="shared" si="6"/>
        <v>0.16</v>
      </c>
      <c r="G61" s="25">
        <f t="shared" si="7"/>
        <v>0.16</v>
      </c>
      <c r="H61" s="25">
        <f t="shared" si="4"/>
        <v>0.48</v>
      </c>
      <c r="I61" s="80">
        <f t="shared" si="5"/>
        <v>2.6133333333333333</v>
      </c>
    </row>
    <row r="62" spans="1:9" ht="15.75" hidden="1">
      <c r="A62" s="23">
        <v>5238</v>
      </c>
      <c r="B62" s="26" t="s">
        <v>35</v>
      </c>
      <c r="C62" s="80">
        <v>0</v>
      </c>
      <c r="D62" s="127">
        <f t="shared" si="2"/>
        <v>0</v>
      </c>
      <c r="E62" s="80">
        <f t="shared" si="3"/>
        <v>0</v>
      </c>
      <c r="F62" s="25">
        <f t="shared" si="6"/>
        <v>0</v>
      </c>
      <c r="G62" s="25">
        <f t="shared" si="7"/>
        <v>0</v>
      </c>
      <c r="H62" s="25">
        <f t="shared" si="4"/>
        <v>0</v>
      </c>
      <c r="I62" s="80">
        <f t="shared" si="5"/>
        <v>0</v>
      </c>
    </row>
    <row r="63" spans="1:9" ht="15.75">
      <c r="A63" s="23">
        <v>5240</v>
      </c>
      <c r="B63" s="26" t="s">
        <v>36</v>
      </c>
      <c r="C63" s="80">
        <v>1</v>
      </c>
      <c r="D63" s="127">
        <v>26.79</v>
      </c>
      <c r="E63" s="80">
        <f t="shared" si="3"/>
        <v>0.13</v>
      </c>
      <c r="F63" s="25">
        <f t="shared" si="6"/>
        <v>0.13</v>
      </c>
      <c r="G63" s="25">
        <f t="shared" si="7"/>
        <v>0.13</v>
      </c>
      <c r="H63" s="25">
        <f t="shared" si="4"/>
        <v>0.38999999999999996</v>
      </c>
      <c r="I63" s="80">
        <f t="shared" si="5"/>
        <v>2.123333333333333</v>
      </c>
    </row>
    <row r="64" spans="1:9" ht="15.75" hidden="1">
      <c r="A64" s="22">
        <v>5250</v>
      </c>
      <c r="B64" s="26" t="s">
        <v>37</v>
      </c>
      <c r="C64" s="80"/>
      <c r="D64" s="26"/>
      <c r="E64" s="80"/>
      <c r="F64" s="25">
        <f>E64/12309*150</f>
        <v>0</v>
      </c>
      <c r="G64" s="25">
        <f t="shared" si="7"/>
        <v>0</v>
      </c>
      <c r="H64" s="25">
        <f t="shared" si="4"/>
        <v>0</v>
      </c>
      <c r="I64" s="183"/>
    </row>
    <row r="65" spans="1:9" ht="15.75">
      <c r="A65" s="33"/>
      <c r="B65" s="34" t="s">
        <v>79</v>
      </c>
      <c r="C65" s="82">
        <f aca="true" t="shared" si="8" ref="C65:I65">SUM(C22:C64)</f>
        <v>8265.6</v>
      </c>
      <c r="D65" s="82">
        <f t="shared" si="8"/>
        <v>11815.250000000002</v>
      </c>
      <c r="E65" s="82">
        <f t="shared" si="8"/>
        <v>57.589999999999975</v>
      </c>
      <c r="F65" s="28">
        <f t="shared" si="8"/>
        <v>58.46999999999998</v>
      </c>
      <c r="G65" s="28">
        <f t="shared" si="8"/>
        <v>58.28999999999998</v>
      </c>
      <c r="H65" s="28">
        <f t="shared" si="8"/>
        <v>174.87</v>
      </c>
      <c r="I65" s="28">
        <f t="shared" si="8"/>
        <v>952.0700000000003</v>
      </c>
    </row>
    <row r="66" spans="1:9" ht="15.75">
      <c r="A66" s="33"/>
      <c r="B66" s="34" t="s">
        <v>80</v>
      </c>
      <c r="C66" s="82">
        <f aca="true" t="shared" si="9" ref="C66:I66">C65+C20</f>
        <v>34219.02</v>
      </c>
      <c r="D66" s="82">
        <f t="shared" si="9"/>
        <v>48743.64</v>
      </c>
      <c r="E66" s="82">
        <f t="shared" si="9"/>
        <v>237.59999999999997</v>
      </c>
      <c r="F66" s="28">
        <f t="shared" si="9"/>
        <v>243.84999999999997</v>
      </c>
      <c r="G66" s="28">
        <f t="shared" si="9"/>
        <v>282</v>
      </c>
      <c r="H66" s="28">
        <f t="shared" si="9"/>
        <v>887.4000000000001</v>
      </c>
      <c r="I66" s="28">
        <f t="shared" si="9"/>
        <v>4831.4000000000015</v>
      </c>
    </row>
    <row r="67" spans="1:8" ht="15.75">
      <c r="A67" s="9"/>
      <c r="B67" s="14"/>
      <c r="C67" s="35"/>
      <c r="D67" s="35"/>
      <c r="E67" s="35"/>
      <c r="F67" s="35"/>
      <c r="G67" s="35"/>
      <c r="H67" s="35"/>
    </row>
    <row r="68" spans="1:9" ht="15.75">
      <c r="A68" s="212" t="s">
        <v>45</v>
      </c>
      <c r="B68" s="213"/>
      <c r="C68" s="36">
        <v>12309</v>
      </c>
      <c r="D68" s="36">
        <v>12309</v>
      </c>
      <c r="E68" s="17">
        <v>60</v>
      </c>
      <c r="F68" s="17">
        <v>60</v>
      </c>
      <c r="G68" s="17">
        <v>60</v>
      </c>
      <c r="H68" s="160">
        <v>180</v>
      </c>
      <c r="I68" s="160">
        <v>980</v>
      </c>
    </row>
    <row r="69" spans="1:9" ht="15.75">
      <c r="A69" s="212" t="s">
        <v>54</v>
      </c>
      <c r="B69" s="213"/>
      <c r="C69" s="83">
        <f>C66/C68</f>
        <v>2.78</v>
      </c>
      <c r="D69" s="98">
        <f>ROUND(D66/D68,2)</f>
        <v>3.96</v>
      </c>
      <c r="E69" s="28">
        <f>ROUND(E66/E68,2)</f>
        <v>3.96</v>
      </c>
      <c r="F69" s="28">
        <f>ROUND(F66/F68,2)</f>
        <v>4.06</v>
      </c>
      <c r="G69" s="28">
        <f>ROUND(G66/G68,2)</f>
        <v>4.7</v>
      </c>
      <c r="H69" s="164">
        <f>ROUND(H66/H68,2)</f>
        <v>4.93</v>
      </c>
      <c r="I69" s="164">
        <f>I66/I68</f>
        <v>4.9300000000000015</v>
      </c>
    </row>
    <row r="70" spans="1:9" ht="15.75">
      <c r="A70" s="14"/>
      <c r="B70" s="11"/>
      <c r="C70" s="11"/>
      <c r="D70" s="11"/>
      <c r="E70" s="11"/>
      <c r="F70" s="36"/>
      <c r="G70" s="36"/>
      <c r="H70" s="36"/>
      <c r="I70" s="36"/>
    </row>
    <row r="71" spans="1:9" ht="15.75">
      <c r="A71" s="212" t="s">
        <v>46</v>
      </c>
      <c r="B71" s="213"/>
      <c r="C71" s="72"/>
      <c r="D71" s="72"/>
      <c r="E71" s="37"/>
      <c r="F71" s="37"/>
      <c r="G71" s="37"/>
      <c r="H71" s="37"/>
      <c r="I71" s="37"/>
    </row>
    <row r="72" spans="1:9" ht="15.75">
      <c r="A72" s="212" t="s">
        <v>56</v>
      </c>
      <c r="B72" s="213"/>
      <c r="C72" s="72"/>
      <c r="D72" s="72"/>
      <c r="E72" s="37"/>
      <c r="F72" s="37"/>
      <c r="G72" s="37"/>
      <c r="H72" s="37"/>
      <c r="I72" s="37"/>
    </row>
    <row r="73" spans="1:8" ht="15.75">
      <c r="A73" s="38"/>
      <c r="B73" s="38"/>
      <c r="C73" s="38"/>
      <c r="D73" s="38"/>
      <c r="E73" s="38"/>
      <c r="F73" s="38"/>
      <c r="G73" s="38"/>
      <c r="H73" s="38"/>
    </row>
    <row r="74" spans="1:8" ht="15.75">
      <c r="A74" s="38" t="s">
        <v>47</v>
      </c>
      <c r="B74" s="38"/>
      <c r="C74" s="38"/>
      <c r="D74" s="38"/>
      <c r="E74" s="38"/>
      <c r="F74" s="38"/>
      <c r="G74" s="38"/>
      <c r="H74" s="38"/>
    </row>
    <row r="75" spans="1:8" ht="15.75">
      <c r="A75" s="7"/>
      <c r="B75" s="7"/>
      <c r="C75" s="7"/>
      <c r="D75" s="7"/>
      <c r="E75" s="7"/>
      <c r="F75" s="15"/>
      <c r="G75" s="15"/>
      <c r="H75" s="15"/>
    </row>
    <row r="76" spans="1:8" ht="15.75">
      <c r="A76" s="38"/>
      <c r="B76" s="39"/>
      <c r="C76" s="39"/>
      <c r="D76" s="39"/>
      <c r="E76" s="38"/>
      <c r="F76" s="38"/>
      <c r="G76" s="38"/>
      <c r="H76" s="38"/>
    </row>
    <row r="77" spans="1:8" ht="15.75">
      <c r="A77" s="38"/>
      <c r="B77" s="40"/>
      <c r="C77" s="40"/>
      <c r="D77" s="40"/>
      <c r="E77" s="38"/>
      <c r="F77" s="38"/>
      <c r="G77" s="38"/>
      <c r="H77" s="38"/>
    </row>
    <row r="78" spans="1:8" ht="15.75">
      <c r="A78" s="7"/>
      <c r="B78" s="7"/>
      <c r="C78" s="7"/>
      <c r="D78" s="7"/>
      <c r="E78" s="7"/>
      <c r="F78" s="15"/>
      <c r="G78" s="15"/>
      <c r="H78" s="15"/>
    </row>
    <row r="79" spans="1:8" ht="15.75">
      <c r="A79" s="7"/>
      <c r="B79" s="7"/>
      <c r="C79" s="7"/>
      <c r="D79" s="7"/>
      <c r="E79" s="7"/>
      <c r="F79" s="15"/>
      <c r="G79" s="15"/>
      <c r="H79" s="15"/>
    </row>
  </sheetData>
  <sheetProtection/>
  <mergeCells count="11">
    <mergeCell ref="A72:B72"/>
    <mergeCell ref="A6:E6"/>
    <mergeCell ref="B7:E7"/>
    <mergeCell ref="B8:E8"/>
    <mergeCell ref="B9:E9"/>
    <mergeCell ref="A68:B68"/>
    <mergeCell ref="A69:B69"/>
    <mergeCell ref="A3:H3"/>
    <mergeCell ref="B4:E4"/>
    <mergeCell ref="A5:E5"/>
    <mergeCell ref="A71:B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3.421875" style="1" customWidth="1"/>
    <col min="2" max="2" width="99.7109375" style="1" customWidth="1"/>
    <col min="3" max="3" width="16.00390625" style="1" hidden="1" customWidth="1"/>
    <col min="4" max="4" width="14.28125" style="1" hidden="1" customWidth="1"/>
    <col min="5" max="5" width="21.57421875" style="1" hidden="1" customWidth="1"/>
    <col min="6" max="7" width="21.7109375" style="4" hidden="1" customWidth="1"/>
    <col min="8" max="8" width="32.00390625" style="4" customWidth="1"/>
  </cols>
  <sheetData>
    <row r="1" spans="1:8" ht="15.75">
      <c r="A1" s="4"/>
      <c r="B1" s="12"/>
      <c r="C1" s="12"/>
      <c r="D1" s="12"/>
      <c r="E1" s="76"/>
      <c r="F1" s="76"/>
      <c r="G1" s="76"/>
      <c r="H1" s="9"/>
    </row>
    <row r="2" spans="1:8" ht="15">
      <c r="A2" s="4"/>
      <c r="B2" s="4"/>
      <c r="C2" s="4"/>
      <c r="D2" s="4"/>
      <c r="E2" s="64"/>
      <c r="F2" s="2"/>
      <c r="G2" s="2"/>
      <c r="H2" s="2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1:8" ht="15">
      <c r="A4" s="4"/>
      <c r="B4" s="218"/>
      <c r="C4" s="218"/>
      <c r="D4" s="218"/>
      <c r="E4" s="218"/>
      <c r="F4" s="2"/>
      <c r="G4" s="2"/>
      <c r="H4" s="2"/>
    </row>
    <row r="5" spans="1:8" ht="15.75" customHeight="1">
      <c r="A5" s="195" t="s">
        <v>1</v>
      </c>
      <c r="B5" s="195"/>
      <c r="C5" s="195"/>
      <c r="D5" s="195"/>
      <c r="E5" s="195"/>
      <c r="F5" s="14"/>
      <c r="G5" s="14"/>
      <c r="H5" s="14"/>
    </row>
    <row r="6" spans="1:8" ht="15.75" customHeight="1">
      <c r="A6" s="195" t="s">
        <v>0</v>
      </c>
      <c r="B6" s="195"/>
      <c r="C6" s="195"/>
      <c r="D6" s="195"/>
      <c r="E6" s="195"/>
      <c r="F6" s="14"/>
      <c r="G6" s="14"/>
      <c r="H6" s="14"/>
    </row>
    <row r="7" spans="1:8" ht="15.75">
      <c r="A7" s="8"/>
      <c r="B7" s="195" t="s">
        <v>44</v>
      </c>
      <c r="C7" s="195"/>
      <c r="D7" s="195"/>
      <c r="E7" s="195"/>
      <c r="F7" s="14"/>
      <c r="G7" s="14"/>
      <c r="H7" s="14"/>
    </row>
    <row r="8" spans="1:8" ht="15.75">
      <c r="A8" s="8"/>
      <c r="B8" s="195" t="s">
        <v>85</v>
      </c>
      <c r="C8" s="195"/>
      <c r="D8" s="195"/>
      <c r="E8" s="195"/>
      <c r="F8" s="14"/>
      <c r="G8" s="14"/>
      <c r="H8" s="14"/>
    </row>
    <row r="9" spans="1:8" ht="15.75">
      <c r="A9" s="8"/>
      <c r="B9" s="195" t="s">
        <v>109</v>
      </c>
      <c r="C9" s="195"/>
      <c r="D9" s="195"/>
      <c r="E9" s="195"/>
      <c r="F9" s="14"/>
      <c r="G9" s="14"/>
      <c r="H9" s="14"/>
    </row>
    <row r="10" spans="1:8" ht="15.75">
      <c r="A10" s="8" t="s">
        <v>2</v>
      </c>
      <c r="B10" s="8" t="s">
        <v>205</v>
      </c>
      <c r="C10" s="8"/>
      <c r="D10" s="8"/>
      <c r="E10" s="8"/>
      <c r="F10" s="14"/>
      <c r="G10" s="14"/>
      <c r="H10" s="14"/>
    </row>
    <row r="11" spans="1:8" ht="15.75" hidden="1">
      <c r="A11" s="15"/>
      <c r="B11" s="16"/>
      <c r="C11" s="16"/>
      <c r="D11" s="16"/>
      <c r="E11" s="77"/>
      <c r="F11" s="14"/>
      <c r="G11" s="14"/>
      <c r="H11" s="14"/>
    </row>
    <row r="12" spans="1:8" ht="47.25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9"/>
      <c r="D13" s="19"/>
      <c r="E13" s="18">
        <v>3</v>
      </c>
      <c r="F13" s="19">
        <v>4</v>
      </c>
      <c r="G13" s="19"/>
      <c r="H13" s="19">
        <v>3</v>
      </c>
    </row>
    <row r="14" spans="1:8" ht="15.75">
      <c r="A14" s="20"/>
      <c r="B14" s="45" t="s">
        <v>71</v>
      </c>
      <c r="C14" s="45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3503.06</v>
      </c>
      <c r="D15" s="68">
        <f>ROUND(C15/0.702804,2)</f>
        <v>4984.41</v>
      </c>
      <c r="E15" s="25">
        <f>ROUND(D15/7223*25,2)</f>
        <v>17.25</v>
      </c>
      <c r="F15" s="25">
        <v>17.94</v>
      </c>
      <c r="G15" s="25">
        <v>22.78</v>
      </c>
      <c r="H15" s="25">
        <f>G15/25*43+43*0.1</f>
        <v>43.4816</v>
      </c>
    </row>
    <row r="16" spans="1:8" ht="15.75">
      <c r="A16" s="23">
        <v>1200</v>
      </c>
      <c r="B16" s="32" t="s">
        <v>73</v>
      </c>
      <c r="C16" s="47">
        <v>826.37</v>
      </c>
      <c r="D16" s="68">
        <f>ROUND(C16/0.702804,2)</f>
        <v>1175.82</v>
      </c>
      <c r="E16" s="25">
        <f>ROUND(D16/7223*25,2)</f>
        <v>4.07</v>
      </c>
      <c r="F16" s="25">
        <v>4.23</v>
      </c>
      <c r="G16" s="25">
        <v>5.49</v>
      </c>
      <c r="H16" s="25">
        <f>G16/25*43+43*0.02</f>
        <v>10.3028</v>
      </c>
    </row>
    <row r="17" spans="1:8" ht="15.75">
      <c r="A17" s="23">
        <v>2222</v>
      </c>
      <c r="B17" s="32" t="s">
        <v>39</v>
      </c>
      <c r="C17" s="25">
        <v>3178.12</v>
      </c>
      <c r="D17" s="68">
        <f>ROUND(C17/0.702804,2)</f>
        <v>4522.06</v>
      </c>
      <c r="E17" s="25">
        <f>ROUND(D17/7223*25,2)</f>
        <v>15.65</v>
      </c>
      <c r="F17" s="25">
        <f>E17</f>
        <v>15.65</v>
      </c>
      <c r="G17" s="25">
        <f>F17</f>
        <v>15.65</v>
      </c>
      <c r="H17" s="25">
        <f>G17/25*43</f>
        <v>26.918</v>
      </c>
    </row>
    <row r="18" spans="1:8" ht="15.75">
      <c r="A18" s="31">
        <v>2341</v>
      </c>
      <c r="B18" s="32" t="s">
        <v>23</v>
      </c>
      <c r="C18" s="25">
        <v>103.67</v>
      </c>
      <c r="D18" s="68">
        <f>ROUND(C18/0.702804,2)</f>
        <v>147.51</v>
      </c>
      <c r="E18" s="25">
        <f>ROUND(D18/7223*25,2)</f>
        <v>0.51</v>
      </c>
      <c r="F18" s="25">
        <f>E18</f>
        <v>0.51</v>
      </c>
      <c r="G18" s="25">
        <f>F18</f>
        <v>0.51</v>
      </c>
      <c r="H18" s="25">
        <f>G18/25*43</f>
        <v>0.8772000000000001</v>
      </c>
    </row>
    <row r="19" spans="1:8" ht="15.75" hidden="1">
      <c r="A19" s="23">
        <v>2350</v>
      </c>
      <c r="B19" s="32" t="s">
        <v>25</v>
      </c>
      <c r="C19" s="25">
        <v>0</v>
      </c>
      <c r="D19" s="32"/>
      <c r="E19" s="25">
        <v>0</v>
      </c>
      <c r="F19" s="25">
        <f>E19/12309*150</f>
        <v>0</v>
      </c>
      <c r="G19" s="25">
        <f>F19</f>
        <v>0</v>
      </c>
      <c r="H19" s="25">
        <f>G19/25*43</f>
        <v>0</v>
      </c>
    </row>
    <row r="20" spans="1:8" ht="15.75" hidden="1">
      <c r="A20" s="23"/>
      <c r="B20" s="23"/>
      <c r="C20" s="25"/>
      <c r="D20" s="23"/>
      <c r="E20" s="25"/>
      <c r="F20" s="25">
        <f>E20/12309*150</f>
        <v>0</v>
      </c>
      <c r="G20" s="25">
        <f>F20</f>
        <v>0</v>
      </c>
      <c r="H20" s="25">
        <f>G20/25*43</f>
        <v>0</v>
      </c>
    </row>
    <row r="21" spans="1:8" ht="15.75">
      <c r="A21" s="23"/>
      <c r="B21" s="46" t="s">
        <v>74</v>
      </c>
      <c r="C21" s="28">
        <f aca="true" t="shared" si="0" ref="C21:H21">SUM(C15:C20)</f>
        <v>7611.22</v>
      </c>
      <c r="D21" s="28">
        <f t="shared" si="0"/>
        <v>10829.800000000001</v>
      </c>
      <c r="E21" s="28">
        <f t="shared" si="0"/>
        <v>37.48</v>
      </c>
      <c r="F21" s="28">
        <f t="shared" si="0"/>
        <v>38.33</v>
      </c>
      <c r="G21" s="28">
        <f t="shared" si="0"/>
        <v>44.43</v>
      </c>
      <c r="H21" s="28">
        <f t="shared" si="0"/>
        <v>81.5796</v>
      </c>
    </row>
    <row r="22" spans="1:8" ht="15.75">
      <c r="A22" s="29"/>
      <c r="B22" s="23" t="s">
        <v>75</v>
      </c>
      <c r="C22" s="25"/>
      <c r="D22" s="23"/>
      <c r="E22" s="25"/>
      <c r="F22" s="25"/>
      <c r="G22" s="25"/>
      <c r="H22" s="25"/>
    </row>
    <row r="23" spans="1:8" ht="15.75">
      <c r="A23" s="23">
        <v>1100</v>
      </c>
      <c r="B23" s="23" t="s">
        <v>72</v>
      </c>
      <c r="C23" s="25">
        <v>2428.19</v>
      </c>
      <c r="D23" s="68">
        <f aca="true" t="shared" si="1" ref="D23:D64">ROUND(C23/0.702804,2)</f>
        <v>3455</v>
      </c>
      <c r="E23" s="25">
        <f aca="true" t="shared" si="2" ref="E23:E65">ROUND(D23/7223*25,2)</f>
        <v>11.96</v>
      </c>
      <c r="F23" s="25">
        <v>12.32</v>
      </c>
      <c r="G23" s="25">
        <v>12.27</v>
      </c>
      <c r="H23" s="25">
        <f aca="true" t="shared" si="3" ref="H23:H66">G23/25*43</f>
        <v>21.1044</v>
      </c>
    </row>
    <row r="24" spans="1:8" ht="15.75">
      <c r="A24" s="23">
        <v>1200</v>
      </c>
      <c r="B24" s="32" t="s">
        <v>73</v>
      </c>
      <c r="C24" s="47">
        <v>572.81</v>
      </c>
      <c r="D24" s="68">
        <f t="shared" si="1"/>
        <v>815.04</v>
      </c>
      <c r="E24" s="25">
        <f t="shared" si="2"/>
        <v>2.82</v>
      </c>
      <c r="F24" s="25">
        <v>2.91</v>
      </c>
      <c r="G24" s="25">
        <v>2.96</v>
      </c>
      <c r="H24" s="25">
        <f t="shared" si="3"/>
        <v>5.091200000000001</v>
      </c>
    </row>
    <row r="25" spans="1:8" ht="15.75" hidden="1">
      <c r="A25" s="23">
        <v>2100</v>
      </c>
      <c r="B25" s="30" t="s">
        <v>42</v>
      </c>
      <c r="C25" s="25"/>
      <c r="D25" s="68">
        <f t="shared" si="1"/>
        <v>0</v>
      </c>
      <c r="E25" s="25">
        <f t="shared" si="2"/>
        <v>0</v>
      </c>
      <c r="F25" s="25">
        <f aca="true" t="shared" si="4" ref="F25:G65">E25</f>
        <v>0</v>
      </c>
      <c r="G25" s="25">
        <f t="shared" si="4"/>
        <v>0</v>
      </c>
      <c r="H25" s="25">
        <f t="shared" si="3"/>
        <v>0</v>
      </c>
    </row>
    <row r="26" spans="1:8" ht="15.75">
      <c r="A26" s="31">
        <v>2210</v>
      </c>
      <c r="B26" s="32" t="s">
        <v>38</v>
      </c>
      <c r="C26" s="25">
        <v>8</v>
      </c>
      <c r="D26" s="68">
        <f t="shared" si="1"/>
        <v>11.38</v>
      </c>
      <c r="E26" s="25">
        <f t="shared" si="2"/>
        <v>0.04</v>
      </c>
      <c r="F26" s="25">
        <f t="shared" si="4"/>
        <v>0.04</v>
      </c>
      <c r="G26" s="25">
        <f t="shared" si="4"/>
        <v>0.04</v>
      </c>
      <c r="H26" s="25">
        <f t="shared" si="3"/>
        <v>0.0688</v>
      </c>
    </row>
    <row r="27" spans="1:8" ht="15.75">
      <c r="A27" s="23">
        <v>2222</v>
      </c>
      <c r="B27" s="32" t="s">
        <v>39</v>
      </c>
      <c r="C27" s="25">
        <v>51</v>
      </c>
      <c r="D27" s="68">
        <f t="shared" si="1"/>
        <v>72.57</v>
      </c>
      <c r="E27" s="25">
        <f t="shared" si="2"/>
        <v>0.25</v>
      </c>
      <c r="F27" s="25">
        <f t="shared" si="4"/>
        <v>0.25</v>
      </c>
      <c r="G27" s="25">
        <f t="shared" si="4"/>
        <v>0.25</v>
      </c>
      <c r="H27" s="25">
        <f t="shared" si="3"/>
        <v>0.43</v>
      </c>
    </row>
    <row r="28" spans="1:8" ht="15.75">
      <c r="A28" s="23">
        <v>2223</v>
      </c>
      <c r="B28" s="32" t="s">
        <v>40</v>
      </c>
      <c r="C28" s="25">
        <v>31</v>
      </c>
      <c r="D28" s="68">
        <f t="shared" si="1"/>
        <v>44.11</v>
      </c>
      <c r="E28" s="25">
        <f t="shared" si="2"/>
        <v>0.15</v>
      </c>
      <c r="F28" s="25">
        <f t="shared" si="4"/>
        <v>0.15</v>
      </c>
      <c r="G28" s="25">
        <f t="shared" si="4"/>
        <v>0.15</v>
      </c>
      <c r="H28" s="25">
        <f t="shared" si="3"/>
        <v>0.258</v>
      </c>
    </row>
    <row r="29" spans="1:8" ht="15.75">
      <c r="A29" s="23">
        <v>2230</v>
      </c>
      <c r="B29" s="32" t="s">
        <v>41</v>
      </c>
      <c r="C29" s="25">
        <v>6</v>
      </c>
      <c r="D29" s="68">
        <f t="shared" si="1"/>
        <v>8.54</v>
      </c>
      <c r="E29" s="25">
        <f t="shared" si="2"/>
        <v>0.03</v>
      </c>
      <c r="F29" s="25">
        <f t="shared" si="4"/>
        <v>0.03</v>
      </c>
      <c r="G29" s="25">
        <f t="shared" si="4"/>
        <v>0.03</v>
      </c>
      <c r="H29" s="25">
        <f t="shared" si="3"/>
        <v>0.05159999999999999</v>
      </c>
    </row>
    <row r="30" spans="1:8" ht="15.75" hidden="1">
      <c r="A30" s="23">
        <v>2241</v>
      </c>
      <c r="B30" s="32" t="s">
        <v>9</v>
      </c>
      <c r="C30" s="25"/>
      <c r="D30" s="68">
        <f t="shared" si="1"/>
        <v>0</v>
      </c>
      <c r="E30" s="25">
        <f t="shared" si="2"/>
        <v>0</v>
      </c>
      <c r="F30" s="25">
        <f t="shared" si="4"/>
        <v>0</v>
      </c>
      <c r="G30" s="25">
        <f t="shared" si="4"/>
        <v>0</v>
      </c>
      <c r="H30" s="25">
        <f t="shared" si="3"/>
        <v>0</v>
      </c>
    </row>
    <row r="31" spans="1:8" ht="15.75">
      <c r="A31" s="23">
        <v>2242</v>
      </c>
      <c r="B31" s="32" t="s">
        <v>10</v>
      </c>
      <c r="C31" s="25">
        <v>14</v>
      </c>
      <c r="D31" s="68">
        <f t="shared" si="1"/>
        <v>19.92</v>
      </c>
      <c r="E31" s="25">
        <f t="shared" si="2"/>
        <v>0.07</v>
      </c>
      <c r="F31" s="25">
        <f t="shared" si="4"/>
        <v>0.07</v>
      </c>
      <c r="G31" s="25">
        <f t="shared" si="4"/>
        <v>0.07</v>
      </c>
      <c r="H31" s="25">
        <f t="shared" si="3"/>
        <v>0.12040000000000002</v>
      </c>
    </row>
    <row r="32" spans="1:8" ht="15.75">
      <c r="A32" s="23">
        <v>2243</v>
      </c>
      <c r="B32" s="32" t="s">
        <v>11</v>
      </c>
      <c r="C32" s="25">
        <v>46</v>
      </c>
      <c r="D32" s="68">
        <f t="shared" si="1"/>
        <v>65.45</v>
      </c>
      <c r="E32" s="25">
        <f t="shared" si="2"/>
        <v>0.23</v>
      </c>
      <c r="F32" s="25">
        <f t="shared" si="4"/>
        <v>0.23</v>
      </c>
      <c r="G32" s="25">
        <f t="shared" si="4"/>
        <v>0.23</v>
      </c>
      <c r="H32" s="25">
        <f t="shared" si="3"/>
        <v>0.3956</v>
      </c>
    </row>
    <row r="33" spans="1:8" ht="15.75">
      <c r="A33" s="23">
        <v>2244</v>
      </c>
      <c r="B33" s="32" t="s">
        <v>12</v>
      </c>
      <c r="C33" s="25">
        <v>680.14</v>
      </c>
      <c r="D33" s="68">
        <f t="shared" si="1"/>
        <v>967.75</v>
      </c>
      <c r="E33" s="25">
        <f t="shared" si="2"/>
        <v>3.35</v>
      </c>
      <c r="F33" s="25">
        <f t="shared" si="4"/>
        <v>3.35</v>
      </c>
      <c r="G33" s="25">
        <f t="shared" si="4"/>
        <v>3.35</v>
      </c>
      <c r="H33" s="25">
        <f t="shared" si="3"/>
        <v>5.7620000000000005</v>
      </c>
    </row>
    <row r="34" spans="1:8" ht="15.75">
      <c r="A34" s="23">
        <v>2247</v>
      </c>
      <c r="B34" s="45" t="s">
        <v>76</v>
      </c>
      <c r="C34" s="25">
        <v>4</v>
      </c>
      <c r="D34" s="68">
        <f t="shared" si="1"/>
        <v>5.69</v>
      </c>
      <c r="E34" s="25">
        <f t="shared" si="2"/>
        <v>0.02</v>
      </c>
      <c r="F34" s="25">
        <f t="shared" si="4"/>
        <v>0.02</v>
      </c>
      <c r="G34" s="25">
        <f t="shared" si="4"/>
        <v>0.02</v>
      </c>
      <c r="H34" s="25">
        <f t="shared" si="3"/>
        <v>0.0344</v>
      </c>
    </row>
    <row r="35" spans="1:8" ht="15.75">
      <c r="A35" s="23">
        <v>2249</v>
      </c>
      <c r="B35" s="32" t="s">
        <v>13</v>
      </c>
      <c r="C35" s="25">
        <v>17</v>
      </c>
      <c r="D35" s="68">
        <f t="shared" si="1"/>
        <v>24.19</v>
      </c>
      <c r="E35" s="25">
        <f t="shared" si="2"/>
        <v>0.08</v>
      </c>
      <c r="F35" s="25">
        <f t="shared" si="4"/>
        <v>0.08</v>
      </c>
      <c r="G35" s="25">
        <f t="shared" si="4"/>
        <v>0.08</v>
      </c>
      <c r="H35" s="25">
        <f t="shared" si="3"/>
        <v>0.1376</v>
      </c>
    </row>
    <row r="36" spans="1:8" ht="15.75">
      <c r="A36" s="23">
        <v>2251</v>
      </c>
      <c r="B36" s="32" t="s">
        <v>77</v>
      </c>
      <c r="C36" s="25">
        <v>51</v>
      </c>
      <c r="D36" s="68">
        <f t="shared" si="1"/>
        <v>72.57</v>
      </c>
      <c r="E36" s="25">
        <f t="shared" si="2"/>
        <v>0.25</v>
      </c>
      <c r="F36" s="25">
        <f t="shared" si="4"/>
        <v>0.25</v>
      </c>
      <c r="G36" s="25">
        <f t="shared" si="4"/>
        <v>0.25</v>
      </c>
      <c r="H36" s="25">
        <f t="shared" si="3"/>
        <v>0.43</v>
      </c>
    </row>
    <row r="37" spans="1:8" ht="15.75" hidden="1">
      <c r="A37" s="23">
        <v>2252</v>
      </c>
      <c r="B37" s="32" t="s">
        <v>7</v>
      </c>
      <c r="C37" s="25"/>
      <c r="D37" s="68">
        <f t="shared" si="1"/>
        <v>0</v>
      </c>
      <c r="E37" s="25">
        <f t="shared" si="2"/>
        <v>0</v>
      </c>
      <c r="F37" s="25">
        <f t="shared" si="4"/>
        <v>0</v>
      </c>
      <c r="G37" s="25">
        <f t="shared" si="4"/>
        <v>0</v>
      </c>
      <c r="H37" s="25">
        <f t="shared" si="3"/>
        <v>0</v>
      </c>
    </row>
    <row r="38" spans="1:8" ht="15.75" hidden="1">
      <c r="A38" s="23">
        <v>2259</v>
      </c>
      <c r="B38" s="32" t="s">
        <v>8</v>
      </c>
      <c r="C38" s="25"/>
      <c r="D38" s="68">
        <f t="shared" si="1"/>
        <v>0</v>
      </c>
      <c r="E38" s="25">
        <f t="shared" si="2"/>
        <v>0</v>
      </c>
      <c r="F38" s="25">
        <f t="shared" si="4"/>
        <v>0</v>
      </c>
      <c r="G38" s="25">
        <f t="shared" si="4"/>
        <v>0</v>
      </c>
      <c r="H38" s="25">
        <f t="shared" si="3"/>
        <v>0</v>
      </c>
    </row>
    <row r="39" spans="1:8" ht="15.75">
      <c r="A39" s="23">
        <v>2261</v>
      </c>
      <c r="B39" s="32" t="s">
        <v>14</v>
      </c>
      <c r="C39" s="25">
        <v>9</v>
      </c>
      <c r="D39" s="68">
        <f t="shared" si="1"/>
        <v>12.81</v>
      </c>
      <c r="E39" s="25">
        <f t="shared" si="2"/>
        <v>0.04</v>
      </c>
      <c r="F39" s="25">
        <f t="shared" si="4"/>
        <v>0.04</v>
      </c>
      <c r="G39" s="25">
        <f t="shared" si="4"/>
        <v>0.04</v>
      </c>
      <c r="H39" s="25">
        <f t="shared" si="3"/>
        <v>0.0688</v>
      </c>
    </row>
    <row r="40" spans="1:8" ht="15.75">
      <c r="A40" s="23">
        <v>2262</v>
      </c>
      <c r="B40" s="32" t="s">
        <v>15</v>
      </c>
      <c r="C40" s="25">
        <v>40</v>
      </c>
      <c r="D40" s="68">
        <f t="shared" si="1"/>
        <v>56.91</v>
      </c>
      <c r="E40" s="25">
        <f t="shared" si="2"/>
        <v>0.2</v>
      </c>
      <c r="F40" s="25">
        <f t="shared" si="4"/>
        <v>0.2</v>
      </c>
      <c r="G40" s="25">
        <f t="shared" si="4"/>
        <v>0.2</v>
      </c>
      <c r="H40" s="25">
        <f t="shared" si="3"/>
        <v>0.34400000000000003</v>
      </c>
    </row>
    <row r="41" spans="1:8" ht="15.75">
      <c r="A41" s="23">
        <v>2263</v>
      </c>
      <c r="B41" s="32" t="s">
        <v>16</v>
      </c>
      <c r="C41" s="25">
        <v>148</v>
      </c>
      <c r="D41" s="68">
        <f t="shared" si="1"/>
        <v>210.59</v>
      </c>
      <c r="E41" s="25">
        <f t="shared" si="2"/>
        <v>0.73</v>
      </c>
      <c r="F41" s="25">
        <f t="shared" si="4"/>
        <v>0.73</v>
      </c>
      <c r="G41" s="25">
        <f t="shared" si="4"/>
        <v>0.73</v>
      </c>
      <c r="H41" s="25">
        <f t="shared" si="3"/>
        <v>1.2556</v>
      </c>
    </row>
    <row r="42" spans="1:8" ht="15.75" hidden="1">
      <c r="A42" s="23">
        <v>2264</v>
      </c>
      <c r="B42" s="32" t="s">
        <v>17</v>
      </c>
      <c r="C42" s="25">
        <v>1</v>
      </c>
      <c r="D42" s="68">
        <f t="shared" si="1"/>
        <v>1.42</v>
      </c>
      <c r="E42" s="25">
        <f t="shared" si="2"/>
        <v>0</v>
      </c>
      <c r="F42" s="25">
        <f t="shared" si="4"/>
        <v>0</v>
      </c>
      <c r="G42" s="25">
        <f t="shared" si="4"/>
        <v>0</v>
      </c>
      <c r="H42" s="25">
        <f t="shared" si="3"/>
        <v>0</v>
      </c>
    </row>
    <row r="43" spans="1:8" ht="15.75">
      <c r="A43" s="23">
        <v>2279</v>
      </c>
      <c r="B43" s="32" t="s">
        <v>18</v>
      </c>
      <c r="C43" s="25">
        <v>175</v>
      </c>
      <c r="D43" s="68">
        <f t="shared" si="1"/>
        <v>249</v>
      </c>
      <c r="E43" s="25">
        <f t="shared" si="2"/>
        <v>0.86</v>
      </c>
      <c r="F43" s="25">
        <f t="shared" si="4"/>
        <v>0.86</v>
      </c>
      <c r="G43" s="25">
        <f t="shared" si="4"/>
        <v>0.86</v>
      </c>
      <c r="H43" s="25">
        <f t="shared" si="3"/>
        <v>1.4792</v>
      </c>
    </row>
    <row r="44" spans="1:8" ht="15.75">
      <c r="A44" s="23">
        <v>2311</v>
      </c>
      <c r="B44" s="32" t="s">
        <v>19</v>
      </c>
      <c r="C44" s="25">
        <v>15.2</v>
      </c>
      <c r="D44" s="68">
        <f t="shared" si="1"/>
        <v>21.63</v>
      </c>
      <c r="E44" s="25">
        <f t="shared" si="2"/>
        <v>0.07</v>
      </c>
      <c r="F44" s="25">
        <f t="shared" si="4"/>
        <v>0.07</v>
      </c>
      <c r="G44" s="25">
        <f t="shared" si="4"/>
        <v>0.07</v>
      </c>
      <c r="H44" s="25">
        <f t="shared" si="3"/>
        <v>0.12040000000000002</v>
      </c>
    </row>
    <row r="45" spans="1:8" ht="15.75">
      <c r="A45" s="23">
        <v>2312</v>
      </c>
      <c r="B45" s="32" t="s">
        <v>20</v>
      </c>
      <c r="C45" s="25">
        <v>29</v>
      </c>
      <c r="D45" s="68">
        <f t="shared" si="1"/>
        <v>41.26</v>
      </c>
      <c r="E45" s="25">
        <f t="shared" si="2"/>
        <v>0.14</v>
      </c>
      <c r="F45" s="25">
        <f t="shared" si="4"/>
        <v>0.14</v>
      </c>
      <c r="G45" s="25">
        <f t="shared" si="4"/>
        <v>0.14</v>
      </c>
      <c r="H45" s="25">
        <f t="shared" si="3"/>
        <v>0.24080000000000004</v>
      </c>
    </row>
    <row r="46" spans="1:8" ht="15.75">
      <c r="A46" s="23">
        <v>2321</v>
      </c>
      <c r="B46" s="32" t="s">
        <v>21</v>
      </c>
      <c r="C46" s="25">
        <v>107</v>
      </c>
      <c r="D46" s="68">
        <f t="shared" si="1"/>
        <v>152.25</v>
      </c>
      <c r="E46" s="25">
        <f t="shared" si="2"/>
        <v>0.53</v>
      </c>
      <c r="F46" s="25">
        <f t="shared" si="4"/>
        <v>0.53</v>
      </c>
      <c r="G46" s="25">
        <f t="shared" si="4"/>
        <v>0.53</v>
      </c>
      <c r="H46" s="25">
        <f t="shared" si="3"/>
        <v>0.9116</v>
      </c>
    </row>
    <row r="47" spans="1:8" ht="15.75">
      <c r="A47" s="23">
        <v>2322</v>
      </c>
      <c r="B47" s="32" t="s">
        <v>22</v>
      </c>
      <c r="C47" s="25">
        <v>7</v>
      </c>
      <c r="D47" s="68">
        <f t="shared" si="1"/>
        <v>9.96</v>
      </c>
      <c r="E47" s="25">
        <f t="shared" si="2"/>
        <v>0.03</v>
      </c>
      <c r="F47" s="25">
        <f t="shared" si="4"/>
        <v>0.03</v>
      </c>
      <c r="G47" s="25">
        <f t="shared" si="4"/>
        <v>0.03</v>
      </c>
      <c r="H47" s="25">
        <f t="shared" si="3"/>
        <v>0.05159999999999999</v>
      </c>
    </row>
    <row r="48" spans="1:8" ht="15.75">
      <c r="A48" s="23">
        <v>2341</v>
      </c>
      <c r="B48" s="32" t="s">
        <v>23</v>
      </c>
      <c r="C48" s="25">
        <v>14</v>
      </c>
      <c r="D48" s="68">
        <f t="shared" si="1"/>
        <v>19.92</v>
      </c>
      <c r="E48" s="25">
        <f t="shared" si="2"/>
        <v>0.07</v>
      </c>
      <c r="F48" s="25">
        <f t="shared" si="4"/>
        <v>0.07</v>
      </c>
      <c r="G48" s="25">
        <f t="shared" si="4"/>
        <v>0.07</v>
      </c>
      <c r="H48" s="25">
        <f t="shared" si="3"/>
        <v>0.12040000000000002</v>
      </c>
    </row>
    <row r="49" spans="1:8" ht="15.75" hidden="1">
      <c r="A49" s="23">
        <v>2344</v>
      </c>
      <c r="B49" s="32" t="s">
        <v>24</v>
      </c>
      <c r="C49" s="25">
        <v>0</v>
      </c>
      <c r="D49" s="68">
        <f t="shared" si="1"/>
        <v>0</v>
      </c>
      <c r="E49" s="25">
        <f t="shared" si="2"/>
        <v>0</v>
      </c>
      <c r="F49" s="25">
        <f t="shared" si="4"/>
        <v>0</v>
      </c>
      <c r="G49" s="25">
        <f t="shared" si="4"/>
        <v>0</v>
      </c>
      <c r="H49" s="25">
        <f t="shared" si="3"/>
        <v>0</v>
      </c>
    </row>
    <row r="50" spans="1:8" ht="15.75">
      <c r="A50" s="23">
        <v>2350</v>
      </c>
      <c r="B50" s="32" t="s">
        <v>25</v>
      </c>
      <c r="C50" s="25">
        <v>132</v>
      </c>
      <c r="D50" s="68">
        <f t="shared" si="1"/>
        <v>187.82</v>
      </c>
      <c r="E50" s="25">
        <f t="shared" si="2"/>
        <v>0.65</v>
      </c>
      <c r="F50" s="25">
        <f t="shared" si="4"/>
        <v>0.65</v>
      </c>
      <c r="G50" s="25">
        <f t="shared" si="4"/>
        <v>0.65</v>
      </c>
      <c r="H50" s="25">
        <f t="shared" si="3"/>
        <v>1.118</v>
      </c>
    </row>
    <row r="51" spans="1:8" ht="15.75">
      <c r="A51" s="23">
        <v>2361</v>
      </c>
      <c r="B51" s="32" t="s">
        <v>26</v>
      </c>
      <c r="C51" s="25">
        <v>81</v>
      </c>
      <c r="D51" s="68">
        <f t="shared" si="1"/>
        <v>115.25</v>
      </c>
      <c r="E51" s="25">
        <f t="shared" si="2"/>
        <v>0.4</v>
      </c>
      <c r="F51" s="25">
        <f t="shared" si="4"/>
        <v>0.4</v>
      </c>
      <c r="G51" s="25">
        <f t="shared" si="4"/>
        <v>0.4</v>
      </c>
      <c r="H51" s="25">
        <f t="shared" si="3"/>
        <v>0.6880000000000001</v>
      </c>
    </row>
    <row r="52" spans="1:8" ht="15.75" hidden="1">
      <c r="A52" s="23">
        <v>2362</v>
      </c>
      <c r="B52" s="32" t="s">
        <v>27</v>
      </c>
      <c r="C52" s="25"/>
      <c r="D52" s="68">
        <f t="shared" si="1"/>
        <v>0</v>
      </c>
      <c r="E52" s="25">
        <f t="shared" si="2"/>
        <v>0</v>
      </c>
      <c r="F52" s="25">
        <f t="shared" si="4"/>
        <v>0</v>
      </c>
      <c r="G52" s="25">
        <f t="shared" si="4"/>
        <v>0</v>
      </c>
      <c r="H52" s="25">
        <f t="shared" si="3"/>
        <v>0</v>
      </c>
    </row>
    <row r="53" spans="1:8" ht="15.75" hidden="1">
      <c r="A53" s="23">
        <v>2363</v>
      </c>
      <c r="B53" s="32" t="s">
        <v>28</v>
      </c>
      <c r="C53" s="25"/>
      <c r="D53" s="68">
        <f t="shared" si="1"/>
        <v>0</v>
      </c>
      <c r="E53" s="25">
        <f t="shared" si="2"/>
        <v>0</v>
      </c>
      <c r="F53" s="25">
        <f t="shared" si="4"/>
        <v>0</v>
      </c>
      <c r="G53" s="25">
        <f t="shared" si="4"/>
        <v>0</v>
      </c>
      <c r="H53" s="25">
        <f t="shared" si="3"/>
        <v>0</v>
      </c>
    </row>
    <row r="54" spans="1:8" ht="15.75" hidden="1">
      <c r="A54" s="23">
        <v>2370</v>
      </c>
      <c r="B54" s="32" t="s">
        <v>29</v>
      </c>
      <c r="C54" s="25"/>
      <c r="D54" s="68">
        <f t="shared" si="1"/>
        <v>0</v>
      </c>
      <c r="E54" s="25">
        <f t="shared" si="2"/>
        <v>0</v>
      </c>
      <c r="F54" s="25">
        <f t="shared" si="4"/>
        <v>0</v>
      </c>
      <c r="G54" s="25">
        <f t="shared" si="4"/>
        <v>0</v>
      </c>
      <c r="H54" s="25">
        <f t="shared" si="3"/>
        <v>0</v>
      </c>
    </row>
    <row r="55" spans="1:8" ht="15.75">
      <c r="A55" s="23">
        <v>2400</v>
      </c>
      <c r="B55" s="32" t="s">
        <v>43</v>
      </c>
      <c r="C55" s="25">
        <v>6</v>
      </c>
      <c r="D55" s="68">
        <f t="shared" si="1"/>
        <v>8.54</v>
      </c>
      <c r="E55" s="25">
        <f t="shared" si="2"/>
        <v>0.03</v>
      </c>
      <c r="F55" s="25">
        <v>0.06</v>
      </c>
      <c r="G55" s="25">
        <f t="shared" si="4"/>
        <v>0.06</v>
      </c>
      <c r="H55" s="25">
        <f t="shared" si="3"/>
        <v>0.10319999999999999</v>
      </c>
    </row>
    <row r="56" spans="1:8" ht="15.75" hidden="1">
      <c r="A56" s="23">
        <v>2512</v>
      </c>
      <c r="B56" s="32" t="s">
        <v>30</v>
      </c>
      <c r="C56" s="25">
        <v>0</v>
      </c>
      <c r="D56" s="68">
        <f t="shared" si="1"/>
        <v>0</v>
      </c>
      <c r="E56" s="25">
        <f t="shared" si="2"/>
        <v>0</v>
      </c>
      <c r="F56" s="25">
        <f t="shared" si="4"/>
        <v>0</v>
      </c>
      <c r="G56" s="25">
        <f t="shared" si="4"/>
        <v>0</v>
      </c>
      <c r="H56" s="25">
        <f t="shared" si="3"/>
        <v>0</v>
      </c>
    </row>
    <row r="57" spans="1:8" ht="15.75">
      <c r="A57" s="23">
        <v>2513</v>
      </c>
      <c r="B57" s="32" t="s">
        <v>31</v>
      </c>
      <c r="C57" s="25">
        <v>86</v>
      </c>
      <c r="D57" s="68">
        <f t="shared" si="1"/>
        <v>122.37</v>
      </c>
      <c r="E57" s="25">
        <f t="shared" si="2"/>
        <v>0.42</v>
      </c>
      <c r="F57" s="25">
        <f t="shared" si="4"/>
        <v>0.42</v>
      </c>
      <c r="G57" s="25">
        <v>0.34</v>
      </c>
      <c r="H57" s="25">
        <f t="shared" si="3"/>
        <v>0.5848</v>
      </c>
    </row>
    <row r="58" spans="1:8" ht="15.75">
      <c r="A58" s="23">
        <v>2515</v>
      </c>
      <c r="B58" s="32" t="s">
        <v>78</v>
      </c>
      <c r="C58" s="25">
        <v>4</v>
      </c>
      <c r="D58" s="68">
        <f t="shared" si="1"/>
        <v>5.69</v>
      </c>
      <c r="E58" s="25">
        <f t="shared" si="2"/>
        <v>0.02</v>
      </c>
      <c r="F58" s="25">
        <f t="shared" si="4"/>
        <v>0.02</v>
      </c>
      <c r="G58" s="25">
        <f t="shared" si="4"/>
        <v>0.02</v>
      </c>
      <c r="H58" s="25">
        <f t="shared" si="3"/>
        <v>0.0344</v>
      </c>
    </row>
    <row r="59" spans="1:8" ht="15.75">
      <c r="A59" s="23">
        <v>2519</v>
      </c>
      <c r="B59" s="32" t="s">
        <v>34</v>
      </c>
      <c r="C59" s="25">
        <v>27</v>
      </c>
      <c r="D59" s="68">
        <f t="shared" si="1"/>
        <v>38.42</v>
      </c>
      <c r="E59" s="25">
        <f t="shared" si="2"/>
        <v>0.13</v>
      </c>
      <c r="F59" s="25">
        <v>0.03</v>
      </c>
      <c r="G59" s="25">
        <f t="shared" si="4"/>
        <v>0.03</v>
      </c>
      <c r="H59" s="25">
        <f t="shared" si="3"/>
        <v>0.05159999999999999</v>
      </c>
    </row>
    <row r="60" spans="1:8" ht="15.75" hidden="1">
      <c r="A60" s="23">
        <v>6240</v>
      </c>
      <c r="B60" s="32"/>
      <c r="C60" s="25"/>
      <c r="D60" s="68">
        <f t="shared" si="1"/>
        <v>0</v>
      </c>
      <c r="E60" s="25">
        <f t="shared" si="2"/>
        <v>0</v>
      </c>
      <c r="F60" s="25">
        <f t="shared" si="4"/>
        <v>0</v>
      </c>
      <c r="G60" s="25">
        <f t="shared" si="4"/>
        <v>0</v>
      </c>
      <c r="H60" s="25">
        <f t="shared" si="3"/>
        <v>0</v>
      </c>
    </row>
    <row r="61" spans="1:8" ht="15.75" hidden="1">
      <c r="A61" s="23">
        <v>6290</v>
      </c>
      <c r="B61" s="32"/>
      <c r="C61" s="25"/>
      <c r="D61" s="68">
        <f t="shared" si="1"/>
        <v>0</v>
      </c>
      <c r="E61" s="25">
        <f t="shared" si="2"/>
        <v>0</v>
      </c>
      <c r="F61" s="25">
        <f t="shared" si="4"/>
        <v>0</v>
      </c>
      <c r="G61" s="25">
        <f t="shared" si="4"/>
        <v>0</v>
      </c>
      <c r="H61" s="25">
        <f t="shared" si="3"/>
        <v>0</v>
      </c>
    </row>
    <row r="62" spans="1:8" ht="15.75">
      <c r="A62" s="23">
        <v>5121</v>
      </c>
      <c r="B62" s="32" t="s">
        <v>32</v>
      </c>
      <c r="C62" s="25">
        <v>19</v>
      </c>
      <c r="D62" s="68">
        <f t="shared" si="1"/>
        <v>27.03</v>
      </c>
      <c r="E62" s="25">
        <f t="shared" si="2"/>
        <v>0.09</v>
      </c>
      <c r="F62" s="25">
        <f t="shared" si="4"/>
        <v>0.09</v>
      </c>
      <c r="G62" s="25">
        <f t="shared" si="4"/>
        <v>0.09</v>
      </c>
      <c r="H62" s="25">
        <f t="shared" si="3"/>
        <v>0.1548</v>
      </c>
    </row>
    <row r="63" spans="1:8" ht="15.75">
      <c r="A63" s="23">
        <v>5232</v>
      </c>
      <c r="B63" s="32" t="s">
        <v>33</v>
      </c>
      <c r="C63" s="25">
        <v>2</v>
      </c>
      <c r="D63" s="68">
        <v>12.85</v>
      </c>
      <c r="E63" s="25">
        <v>0.07</v>
      </c>
      <c r="F63" s="25">
        <f t="shared" si="4"/>
        <v>0.07</v>
      </c>
      <c r="G63" s="25">
        <f t="shared" si="4"/>
        <v>0.07</v>
      </c>
      <c r="H63" s="25">
        <f t="shared" si="3"/>
        <v>0.12040000000000002</v>
      </c>
    </row>
    <row r="64" spans="1:8" ht="15.75" hidden="1">
      <c r="A64" s="23">
        <v>5238</v>
      </c>
      <c r="B64" s="32" t="s">
        <v>35</v>
      </c>
      <c r="C64" s="25">
        <v>0</v>
      </c>
      <c r="D64" s="68">
        <f t="shared" si="1"/>
        <v>0</v>
      </c>
      <c r="E64" s="25">
        <f t="shared" si="2"/>
        <v>0</v>
      </c>
      <c r="F64" s="25">
        <f t="shared" si="4"/>
        <v>0</v>
      </c>
      <c r="G64" s="25">
        <f t="shared" si="4"/>
        <v>0</v>
      </c>
      <c r="H64" s="25">
        <f t="shared" si="3"/>
        <v>0</v>
      </c>
    </row>
    <row r="65" spans="1:8" ht="15.75">
      <c r="A65" s="23">
        <v>5240</v>
      </c>
      <c r="B65" s="32" t="s">
        <v>36</v>
      </c>
      <c r="C65" s="25">
        <v>1</v>
      </c>
      <c r="D65" s="68">
        <v>10.62</v>
      </c>
      <c r="E65" s="25">
        <f t="shared" si="2"/>
        <v>0.04</v>
      </c>
      <c r="F65" s="25">
        <f t="shared" si="4"/>
        <v>0.04</v>
      </c>
      <c r="G65" s="25">
        <f t="shared" si="4"/>
        <v>0.04</v>
      </c>
      <c r="H65" s="25">
        <f t="shared" si="3"/>
        <v>0.0688</v>
      </c>
    </row>
    <row r="66" spans="1:8" ht="15.75" hidden="1">
      <c r="A66" s="23">
        <v>5250</v>
      </c>
      <c r="B66" s="32" t="s">
        <v>37</v>
      </c>
      <c r="C66" s="25">
        <v>0</v>
      </c>
      <c r="D66" s="32"/>
      <c r="E66" s="25">
        <v>0</v>
      </c>
      <c r="F66" s="25">
        <f>E66/12309*150</f>
        <v>0</v>
      </c>
      <c r="G66" s="25">
        <f>F66</f>
        <v>0</v>
      </c>
      <c r="H66" s="25">
        <f t="shared" si="3"/>
        <v>0</v>
      </c>
    </row>
    <row r="67" spans="1:8" ht="15.75">
      <c r="A67" s="29"/>
      <c r="B67" s="48" t="s">
        <v>79</v>
      </c>
      <c r="C67" s="28">
        <f aca="true" t="shared" si="5" ref="C67:H67">SUM(C23:C66)</f>
        <v>4812.339999999999</v>
      </c>
      <c r="D67" s="28">
        <f t="shared" si="5"/>
        <v>6866.549999999998</v>
      </c>
      <c r="E67" s="28">
        <f t="shared" si="5"/>
        <v>23.77</v>
      </c>
      <c r="F67" s="28">
        <f t="shared" si="5"/>
        <v>24.15</v>
      </c>
      <c r="G67" s="28">
        <f t="shared" si="5"/>
        <v>24.069999999999997</v>
      </c>
      <c r="H67" s="28">
        <f t="shared" si="5"/>
        <v>41.4004</v>
      </c>
    </row>
    <row r="68" spans="1:8" ht="15.75" customHeight="1">
      <c r="A68" s="29"/>
      <c r="B68" s="48" t="s">
        <v>80</v>
      </c>
      <c r="C68" s="28">
        <f aca="true" t="shared" si="6" ref="C68:H68">C67+C21</f>
        <v>12423.56</v>
      </c>
      <c r="D68" s="28">
        <f t="shared" si="6"/>
        <v>17696.35</v>
      </c>
      <c r="E68" s="28">
        <f t="shared" si="6"/>
        <v>61.25</v>
      </c>
      <c r="F68" s="28">
        <f t="shared" si="6"/>
        <v>62.48</v>
      </c>
      <c r="G68" s="28">
        <f t="shared" si="6"/>
        <v>68.5</v>
      </c>
      <c r="H68" s="28">
        <f t="shared" si="6"/>
        <v>122.97999999999999</v>
      </c>
    </row>
    <row r="69" spans="1:8" ht="15.75" customHeight="1">
      <c r="A69" s="49"/>
      <c r="B69" s="50"/>
      <c r="C69" s="41"/>
      <c r="D69" s="41"/>
      <c r="E69" s="41"/>
      <c r="F69" s="41"/>
      <c r="G69" s="41"/>
      <c r="H69" s="41"/>
    </row>
    <row r="70" spans="1:8" ht="15.75">
      <c r="A70" s="214" t="s">
        <v>45</v>
      </c>
      <c r="B70" s="215"/>
      <c r="C70" s="69">
        <v>7223</v>
      </c>
      <c r="D70" s="69">
        <v>7223</v>
      </c>
      <c r="E70" s="42">
        <v>25</v>
      </c>
      <c r="F70" s="42">
        <v>25</v>
      </c>
      <c r="G70" s="42">
        <v>25</v>
      </c>
      <c r="H70" s="162">
        <v>43</v>
      </c>
    </row>
    <row r="71" spans="1:8" ht="15.75" customHeight="1">
      <c r="A71" s="214" t="s">
        <v>54</v>
      </c>
      <c r="B71" s="215"/>
      <c r="C71" s="128">
        <f>C68/C70</f>
        <v>1.72</v>
      </c>
      <c r="D71" s="124">
        <f>ROUND(D68/D70,2)</f>
        <v>2.45</v>
      </c>
      <c r="E71" s="28">
        <f>ROUND(E68/E70,2)</f>
        <v>2.45</v>
      </c>
      <c r="F71" s="28">
        <f>ROUND(F68/F70,2)</f>
        <v>2.5</v>
      </c>
      <c r="G71" s="28">
        <f>ROUND(G68/G70,2)</f>
        <v>2.74</v>
      </c>
      <c r="H71" s="164">
        <f>ROUND(H68/H70,2)</f>
        <v>2.86</v>
      </c>
    </row>
    <row r="72" spans="1:8" ht="15.75" customHeight="1">
      <c r="A72" s="50"/>
      <c r="B72" s="43"/>
      <c r="C72" s="74"/>
      <c r="D72" s="74"/>
      <c r="E72" s="128"/>
      <c r="F72" s="51"/>
      <c r="G72" s="51"/>
      <c r="H72" s="51"/>
    </row>
    <row r="73" spans="1:8" ht="15.75">
      <c r="A73" s="214" t="s">
        <v>46</v>
      </c>
      <c r="B73" s="215"/>
      <c r="C73" s="73"/>
      <c r="D73" s="73"/>
      <c r="E73" s="44"/>
      <c r="F73" s="44"/>
      <c r="G73" s="44"/>
      <c r="H73" s="44"/>
    </row>
    <row r="74" spans="1:8" ht="15.75">
      <c r="A74" s="214" t="s">
        <v>56</v>
      </c>
      <c r="B74" s="215"/>
      <c r="C74" s="73"/>
      <c r="D74" s="73"/>
      <c r="E74" s="44"/>
      <c r="F74" s="44"/>
      <c r="G74" s="44"/>
      <c r="H74" s="44"/>
    </row>
    <row r="75" spans="1:8" ht="15.75">
      <c r="A75" s="38"/>
      <c r="B75" s="38"/>
      <c r="C75" s="38"/>
      <c r="D75" s="38"/>
      <c r="E75" s="38"/>
      <c r="F75" s="38"/>
      <c r="G75" s="38"/>
      <c r="H75" s="38"/>
    </row>
    <row r="76" spans="1:8" ht="15.75">
      <c r="A76" s="38" t="s">
        <v>47</v>
      </c>
      <c r="B76" s="38"/>
      <c r="C76" s="38"/>
      <c r="D76" s="38"/>
      <c r="E76" s="38"/>
      <c r="F76" s="38"/>
      <c r="G76" s="38"/>
      <c r="H76" s="38"/>
    </row>
    <row r="77" spans="1:8" ht="15.75">
      <c r="A77" s="38"/>
      <c r="B77" s="38"/>
      <c r="C77" s="38"/>
      <c r="D77" s="38"/>
      <c r="E77" s="38"/>
      <c r="F77" s="38"/>
      <c r="G77" s="38"/>
      <c r="H77" s="38"/>
    </row>
    <row r="78" spans="1:8" ht="15.75">
      <c r="A78" s="38"/>
      <c r="B78" s="39"/>
      <c r="C78" s="39"/>
      <c r="D78" s="39"/>
      <c r="E78" s="38"/>
      <c r="F78" s="38"/>
      <c r="G78" s="38"/>
      <c r="H78" s="38"/>
    </row>
    <row r="79" spans="1:8" ht="15.75">
      <c r="A79" s="38"/>
      <c r="B79" s="40"/>
      <c r="C79" s="40"/>
      <c r="D79" s="40"/>
      <c r="E79" s="38"/>
      <c r="F79" s="38"/>
      <c r="G79" s="38"/>
      <c r="H79" s="38"/>
    </row>
    <row r="80" spans="1:8" ht="15">
      <c r="A80" s="4"/>
      <c r="B80" s="220"/>
      <c r="C80" s="220"/>
      <c r="D80" s="220"/>
      <c r="E80" s="220"/>
      <c r="F80" s="6"/>
      <c r="G80" s="6"/>
      <c r="H80" s="6"/>
    </row>
  </sheetData>
  <sheetProtection/>
  <mergeCells count="12">
    <mergeCell ref="A73:B73"/>
    <mergeCell ref="A74:B74"/>
    <mergeCell ref="B80:E80"/>
    <mergeCell ref="A6:E6"/>
    <mergeCell ref="B7:E7"/>
    <mergeCell ref="B8:E8"/>
    <mergeCell ref="B9:E9"/>
    <mergeCell ref="A3:H3"/>
    <mergeCell ref="B4:E4"/>
    <mergeCell ref="A5:E5"/>
    <mergeCell ref="A71:B71"/>
    <mergeCell ref="A70:B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3.421875" style="1" customWidth="1"/>
    <col min="2" max="2" width="99.7109375" style="1" customWidth="1"/>
    <col min="3" max="3" width="10.57421875" style="1" hidden="1" customWidth="1"/>
    <col min="4" max="4" width="10.8515625" style="1" hidden="1" customWidth="1"/>
    <col min="5" max="5" width="21.57421875" style="1" hidden="1" customWidth="1"/>
    <col min="6" max="7" width="21.57421875" style="4" hidden="1" customWidth="1"/>
    <col min="8" max="8" width="33.00390625" style="4" bestFit="1" customWidth="1"/>
  </cols>
  <sheetData>
    <row r="1" spans="1:8" ht="15.75">
      <c r="A1" s="4"/>
      <c r="B1" s="12"/>
      <c r="C1" s="12"/>
      <c r="D1" s="12"/>
      <c r="E1" s="76"/>
      <c r="F1" s="10"/>
      <c r="G1" s="10"/>
      <c r="H1" s="9"/>
    </row>
    <row r="2" spans="1:8" ht="15">
      <c r="A2" s="4"/>
      <c r="B2" s="4"/>
      <c r="C2" s="4"/>
      <c r="D2" s="4"/>
      <c r="E2" s="64"/>
      <c r="F2" s="2"/>
      <c r="G2" s="2"/>
      <c r="H2" s="2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1:8" ht="15">
      <c r="A4" s="4"/>
      <c r="B4" s="218"/>
      <c r="C4" s="218"/>
      <c r="D4" s="218"/>
      <c r="E4" s="218"/>
      <c r="F4" s="2"/>
      <c r="G4" s="2"/>
      <c r="H4" s="2"/>
    </row>
    <row r="5" spans="1:8" ht="15">
      <c r="A5" s="221" t="s">
        <v>1</v>
      </c>
      <c r="B5" s="222"/>
      <c r="C5" s="129"/>
      <c r="D5" s="129"/>
      <c r="E5" s="129"/>
      <c r="F5" s="130"/>
      <c r="G5" s="130"/>
      <c r="H5" s="130"/>
    </row>
    <row r="6" spans="1:8" ht="15">
      <c r="A6" s="221" t="s">
        <v>0</v>
      </c>
      <c r="B6" s="221"/>
      <c r="C6" s="221"/>
      <c r="D6" s="221"/>
      <c r="E6" s="221"/>
      <c r="F6" s="130"/>
      <c r="G6" s="130"/>
      <c r="H6" s="130"/>
    </row>
    <row r="7" spans="1:8" ht="15">
      <c r="A7" s="129"/>
      <c r="B7" s="221" t="s">
        <v>44</v>
      </c>
      <c r="C7" s="221"/>
      <c r="D7" s="221"/>
      <c r="E7" s="221"/>
      <c r="F7" s="130"/>
      <c r="G7" s="130"/>
      <c r="H7" s="130"/>
    </row>
    <row r="8" spans="1:8" ht="15">
      <c r="A8" s="129"/>
      <c r="B8" s="221" t="s">
        <v>85</v>
      </c>
      <c r="C8" s="221"/>
      <c r="D8" s="221"/>
      <c r="E8" s="221"/>
      <c r="F8" s="130"/>
      <c r="G8" s="130"/>
      <c r="H8" s="130"/>
    </row>
    <row r="9" spans="1:8" ht="15">
      <c r="A9" s="129"/>
      <c r="B9" s="221" t="s">
        <v>110</v>
      </c>
      <c r="C9" s="221"/>
      <c r="D9" s="221"/>
      <c r="E9" s="221"/>
      <c r="F9" s="130"/>
      <c r="G9" s="130"/>
      <c r="H9" s="130"/>
    </row>
    <row r="10" spans="1:8" ht="15">
      <c r="A10" s="129" t="s">
        <v>2</v>
      </c>
      <c r="B10" s="129" t="s">
        <v>205</v>
      </c>
      <c r="C10" s="129"/>
      <c r="D10" s="129"/>
      <c r="E10" s="129"/>
      <c r="F10" s="130"/>
      <c r="G10" s="130"/>
      <c r="H10" s="130"/>
    </row>
    <row r="11" spans="1:8" ht="15" customHeight="1" hidden="1">
      <c r="A11" s="131"/>
      <c r="B11" s="132"/>
      <c r="C11" s="132"/>
      <c r="D11" s="132"/>
      <c r="E11" s="133"/>
      <c r="F11" s="130"/>
      <c r="G11" s="130"/>
      <c r="H11" s="130"/>
    </row>
    <row r="12" spans="1:8" ht="47.25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20">
        <v>1</v>
      </c>
      <c r="B13" s="134">
        <v>2</v>
      </c>
      <c r="C13" s="134"/>
      <c r="D13" s="134"/>
      <c r="E13" s="20">
        <v>3</v>
      </c>
      <c r="F13" s="134">
        <v>4</v>
      </c>
      <c r="G13" s="134"/>
      <c r="H13" s="134">
        <v>3</v>
      </c>
    </row>
    <row r="14" spans="1:8" ht="15.75">
      <c r="A14" s="20"/>
      <c r="B14" s="45" t="s">
        <v>71</v>
      </c>
      <c r="C14" s="45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2356.74</v>
      </c>
      <c r="D15" s="68">
        <f aca="true" t="shared" si="0" ref="D15:D20">ROUND(C15/0.702804,2)</f>
        <v>3353.34</v>
      </c>
      <c r="E15" s="25">
        <f aca="true" t="shared" si="1" ref="E15:E20">ROUND(D15/2971*35,2)</f>
        <v>39.5</v>
      </c>
      <c r="F15" s="25">
        <v>41.08</v>
      </c>
      <c r="G15" s="25">
        <v>52.17</v>
      </c>
      <c r="H15" s="25">
        <f>G15/35*50+50*0.2</f>
        <v>84.52857142857144</v>
      </c>
    </row>
    <row r="16" spans="1:8" ht="15.75">
      <c r="A16" s="23">
        <v>1200</v>
      </c>
      <c r="B16" s="32" t="s">
        <v>73</v>
      </c>
      <c r="C16" s="47">
        <v>555.96</v>
      </c>
      <c r="D16" s="68">
        <f t="shared" si="0"/>
        <v>791.06</v>
      </c>
      <c r="E16" s="25">
        <f t="shared" si="1"/>
        <v>9.32</v>
      </c>
      <c r="F16" s="25">
        <v>9.69</v>
      </c>
      <c r="G16" s="25">
        <v>12.57</v>
      </c>
      <c r="H16" s="25">
        <f>G16/35*50+50*0.05</f>
        <v>20.45714285714286</v>
      </c>
    </row>
    <row r="17" spans="1:8" ht="15.75">
      <c r="A17" s="23">
        <v>2222</v>
      </c>
      <c r="B17" s="32" t="s">
        <v>39</v>
      </c>
      <c r="C17" s="25">
        <v>1717.1</v>
      </c>
      <c r="D17" s="68">
        <f t="shared" si="0"/>
        <v>2443.21</v>
      </c>
      <c r="E17" s="25">
        <f t="shared" si="1"/>
        <v>28.78</v>
      </c>
      <c r="F17" s="25">
        <f aca="true" t="shared" si="2" ref="F17:G20">E17</f>
        <v>28.78</v>
      </c>
      <c r="G17" s="25">
        <f t="shared" si="2"/>
        <v>28.78</v>
      </c>
      <c r="H17" s="25">
        <f>G17/35*50</f>
        <v>41.114285714285714</v>
      </c>
    </row>
    <row r="18" spans="1:8" ht="15.75">
      <c r="A18" s="23">
        <v>2243</v>
      </c>
      <c r="B18" s="32" t="s">
        <v>11</v>
      </c>
      <c r="C18" s="25">
        <v>216.8</v>
      </c>
      <c r="D18" s="68">
        <f t="shared" si="0"/>
        <v>308.48</v>
      </c>
      <c r="E18" s="25">
        <f t="shared" si="1"/>
        <v>3.63</v>
      </c>
      <c r="F18" s="25">
        <f t="shared" si="2"/>
        <v>3.63</v>
      </c>
      <c r="G18" s="25">
        <f t="shared" si="2"/>
        <v>3.63</v>
      </c>
      <c r="H18" s="25">
        <f>G18/35*50</f>
        <v>5.185714285714286</v>
      </c>
    </row>
    <row r="19" spans="1:8" ht="15.75">
      <c r="A19" s="31">
        <v>2341</v>
      </c>
      <c r="B19" s="32" t="s">
        <v>23</v>
      </c>
      <c r="C19" s="25">
        <v>21.71</v>
      </c>
      <c r="D19" s="68">
        <f t="shared" si="0"/>
        <v>30.89</v>
      </c>
      <c r="E19" s="25">
        <f t="shared" si="1"/>
        <v>0.36</v>
      </c>
      <c r="F19" s="25">
        <f t="shared" si="2"/>
        <v>0.36</v>
      </c>
      <c r="G19" s="25">
        <f t="shared" si="2"/>
        <v>0.36</v>
      </c>
      <c r="H19" s="25">
        <f>G19/35*50</f>
        <v>0.5142857142857142</v>
      </c>
    </row>
    <row r="20" spans="1:8" ht="15.75">
      <c r="A20" s="23">
        <v>2350</v>
      </c>
      <c r="B20" s="32" t="s">
        <v>25</v>
      </c>
      <c r="C20" s="25">
        <v>91.5</v>
      </c>
      <c r="D20" s="68">
        <f t="shared" si="0"/>
        <v>130.19</v>
      </c>
      <c r="E20" s="25">
        <f t="shared" si="1"/>
        <v>1.53</v>
      </c>
      <c r="F20" s="25">
        <f t="shared" si="2"/>
        <v>1.53</v>
      </c>
      <c r="G20" s="25">
        <f t="shared" si="2"/>
        <v>1.53</v>
      </c>
      <c r="H20" s="25">
        <f>G20/35*50</f>
        <v>2.1857142857142855</v>
      </c>
    </row>
    <row r="21" spans="1:8" ht="15.75">
      <c r="A21" s="23"/>
      <c r="B21" s="46" t="s">
        <v>74</v>
      </c>
      <c r="C21" s="28">
        <f aca="true" t="shared" si="3" ref="C21:H21">SUM(C15:C20)</f>
        <v>4959.8099999999995</v>
      </c>
      <c r="D21" s="28">
        <f t="shared" si="3"/>
        <v>7057.17</v>
      </c>
      <c r="E21" s="28">
        <f t="shared" si="3"/>
        <v>83.11999999999999</v>
      </c>
      <c r="F21" s="28">
        <f t="shared" si="3"/>
        <v>85.07</v>
      </c>
      <c r="G21" s="28">
        <f t="shared" si="3"/>
        <v>99.04</v>
      </c>
      <c r="H21" s="28">
        <f t="shared" si="3"/>
        <v>153.9857142857143</v>
      </c>
    </row>
    <row r="22" spans="1:8" ht="15.75">
      <c r="A22" s="29"/>
      <c r="B22" s="23" t="s">
        <v>75</v>
      </c>
      <c r="C22" s="25"/>
      <c r="D22" s="23"/>
      <c r="E22" s="25"/>
      <c r="F22" s="25"/>
      <c r="G22" s="25"/>
      <c r="H22" s="25"/>
    </row>
    <row r="23" spans="1:8" ht="15.75">
      <c r="A23" s="23">
        <v>1100</v>
      </c>
      <c r="B23" s="23" t="s">
        <v>72</v>
      </c>
      <c r="C23" s="25">
        <v>4840.2</v>
      </c>
      <c r="D23" s="68">
        <f aca="true" t="shared" si="4" ref="D23:D62">ROUND(C23/0.702804,2)</f>
        <v>6886.98</v>
      </c>
      <c r="E23" s="25">
        <f aca="true" t="shared" si="5" ref="E23:E62">ROUND(D23/2971*35,2)</f>
        <v>81.13</v>
      </c>
      <c r="F23" s="25">
        <v>83.56</v>
      </c>
      <c r="G23" s="25">
        <v>83.22</v>
      </c>
      <c r="H23" s="25">
        <f aca="true" t="shared" si="6" ref="H23:H66">G23/35*50</f>
        <v>118.88571428571429</v>
      </c>
    </row>
    <row r="24" spans="1:8" ht="15.75">
      <c r="A24" s="23">
        <v>1200</v>
      </c>
      <c r="B24" s="32" t="s">
        <v>73</v>
      </c>
      <c r="C24" s="25">
        <v>1141.8</v>
      </c>
      <c r="D24" s="68">
        <f t="shared" si="4"/>
        <v>1624.64</v>
      </c>
      <c r="E24" s="25">
        <f t="shared" si="5"/>
        <v>19.14</v>
      </c>
      <c r="F24" s="25">
        <v>19.71</v>
      </c>
      <c r="G24" s="25">
        <v>20.05</v>
      </c>
      <c r="H24" s="25">
        <f t="shared" si="6"/>
        <v>28.642857142857142</v>
      </c>
    </row>
    <row r="25" spans="1:8" ht="15.75" hidden="1">
      <c r="A25" s="23">
        <v>2100</v>
      </c>
      <c r="B25" s="30" t="s">
        <v>42</v>
      </c>
      <c r="C25" s="25"/>
      <c r="D25" s="68">
        <f t="shared" si="4"/>
        <v>0</v>
      </c>
      <c r="E25" s="25">
        <f t="shared" si="5"/>
        <v>0</v>
      </c>
      <c r="F25" s="25">
        <f aca="true" t="shared" si="7" ref="F25:F62">E25</f>
        <v>0</v>
      </c>
      <c r="G25" s="25">
        <f aca="true" t="shared" si="8" ref="G25:G65">F25</f>
        <v>0</v>
      </c>
      <c r="H25" s="25">
        <f t="shared" si="6"/>
        <v>0</v>
      </c>
    </row>
    <row r="26" spans="1:8" ht="15.75">
      <c r="A26" s="31">
        <v>2210</v>
      </c>
      <c r="B26" s="32" t="s">
        <v>38</v>
      </c>
      <c r="C26" s="25">
        <v>8</v>
      </c>
      <c r="D26" s="68">
        <f t="shared" si="4"/>
        <v>11.38</v>
      </c>
      <c r="E26" s="25">
        <f t="shared" si="5"/>
        <v>0.13</v>
      </c>
      <c r="F26" s="25">
        <f t="shared" si="7"/>
        <v>0.13</v>
      </c>
      <c r="G26" s="25">
        <f t="shared" si="8"/>
        <v>0.13</v>
      </c>
      <c r="H26" s="25">
        <f t="shared" si="6"/>
        <v>0.18571428571428572</v>
      </c>
    </row>
    <row r="27" spans="1:8" ht="15.75">
      <c r="A27" s="23">
        <v>2222</v>
      </c>
      <c r="B27" s="32" t="s">
        <v>39</v>
      </c>
      <c r="C27" s="25">
        <v>47</v>
      </c>
      <c r="D27" s="68">
        <f t="shared" si="4"/>
        <v>66.87</v>
      </c>
      <c r="E27" s="25">
        <f t="shared" si="5"/>
        <v>0.79</v>
      </c>
      <c r="F27" s="25">
        <f t="shared" si="7"/>
        <v>0.79</v>
      </c>
      <c r="G27" s="25">
        <f t="shared" si="8"/>
        <v>0.79</v>
      </c>
      <c r="H27" s="25">
        <f t="shared" si="6"/>
        <v>1.1285714285714286</v>
      </c>
    </row>
    <row r="28" spans="1:8" ht="15.75">
      <c r="A28" s="23">
        <v>2223</v>
      </c>
      <c r="B28" s="32" t="s">
        <v>40</v>
      </c>
      <c r="C28" s="25">
        <v>28</v>
      </c>
      <c r="D28" s="68">
        <f t="shared" si="4"/>
        <v>39.84</v>
      </c>
      <c r="E28" s="25">
        <f t="shared" si="5"/>
        <v>0.47</v>
      </c>
      <c r="F28" s="25">
        <f t="shared" si="7"/>
        <v>0.47</v>
      </c>
      <c r="G28" s="25">
        <f t="shared" si="8"/>
        <v>0.47</v>
      </c>
      <c r="H28" s="25">
        <f t="shared" si="6"/>
        <v>0.6714285714285715</v>
      </c>
    </row>
    <row r="29" spans="1:8" ht="15.75">
      <c r="A29" s="23">
        <v>2230</v>
      </c>
      <c r="B29" s="32" t="s">
        <v>41</v>
      </c>
      <c r="C29" s="25">
        <v>6</v>
      </c>
      <c r="D29" s="68">
        <f t="shared" si="4"/>
        <v>8.54</v>
      </c>
      <c r="E29" s="25">
        <f t="shared" si="5"/>
        <v>0.1</v>
      </c>
      <c r="F29" s="25">
        <f t="shared" si="7"/>
        <v>0.1</v>
      </c>
      <c r="G29" s="25">
        <f t="shared" si="8"/>
        <v>0.1</v>
      </c>
      <c r="H29" s="25">
        <f t="shared" si="6"/>
        <v>0.14285714285714285</v>
      </c>
    </row>
    <row r="30" spans="1:8" ht="15.75" hidden="1">
      <c r="A30" s="23">
        <v>2241</v>
      </c>
      <c r="B30" s="32" t="s">
        <v>9</v>
      </c>
      <c r="C30" s="25"/>
      <c r="D30" s="68">
        <f t="shared" si="4"/>
        <v>0</v>
      </c>
      <c r="E30" s="25">
        <f t="shared" si="5"/>
        <v>0</v>
      </c>
      <c r="F30" s="25">
        <f t="shared" si="7"/>
        <v>0</v>
      </c>
      <c r="G30" s="25">
        <f t="shared" si="8"/>
        <v>0</v>
      </c>
      <c r="H30" s="25">
        <f t="shared" si="6"/>
        <v>0</v>
      </c>
    </row>
    <row r="31" spans="1:8" ht="15.75">
      <c r="A31" s="23">
        <v>2242</v>
      </c>
      <c r="B31" s="32" t="s">
        <v>10</v>
      </c>
      <c r="C31" s="25">
        <v>13</v>
      </c>
      <c r="D31" s="68">
        <f t="shared" si="4"/>
        <v>18.5</v>
      </c>
      <c r="E31" s="25">
        <f t="shared" si="5"/>
        <v>0.22</v>
      </c>
      <c r="F31" s="25">
        <f t="shared" si="7"/>
        <v>0.22</v>
      </c>
      <c r="G31" s="25">
        <f t="shared" si="8"/>
        <v>0.22</v>
      </c>
      <c r="H31" s="25">
        <f t="shared" si="6"/>
        <v>0.3142857142857143</v>
      </c>
    </row>
    <row r="32" spans="1:8" ht="15.75">
      <c r="A32" s="23">
        <v>2243</v>
      </c>
      <c r="B32" s="32" t="s">
        <v>11</v>
      </c>
      <c r="C32" s="25">
        <v>43</v>
      </c>
      <c r="D32" s="68">
        <f t="shared" si="4"/>
        <v>61.18</v>
      </c>
      <c r="E32" s="25">
        <f t="shared" si="5"/>
        <v>0.72</v>
      </c>
      <c r="F32" s="25">
        <f t="shared" si="7"/>
        <v>0.72</v>
      </c>
      <c r="G32" s="25">
        <f t="shared" si="8"/>
        <v>0.72</v>
      </c>
      <c r="H32" s="25">
        <f t="shared" si="6"/>
        <v>1.0285714285714285</v>
      </c>
    </row>
    <row r="33" spans="1:8" ht="15.75">
      <c r="A33" s="23">
        <v>2244</v>
      </c>
      <c r="B33" s="32" t="s">
        <v>12</v>
      </c>
      <c r="C33" s="25">
        <v>625.94</v>
      </c>
      <c r="D33" s="68">
        <f t="shared" si="4"/>
        <v>890.63</v>
      </c>
      <c r="E33" s="25">
        <f t="shared" si="5"/>
        <v>10.49</v>
      </c>
      <c r="F33" s="25">
        <f t="shared" si="7"/>
        <v>10.49</v>
      </c>
      <c r="G33" s="25">
        <f t="shared" si="8"/>
        <v>10.49</v>
      </c>
      <c r="H33" s="25">
        <f t="shared" si="6"/>
        <v>14.985714285714286</v>
      </c>
    </row>
    <row r="34" spans="1:8" ht="15.75">
      <c r="A34" s="23">
        <v>2247</v>
      </c>
      <c r="B34" s="45" t="s">
        <v>76</v>
      </c>
      <c r="C34" s="25">
        <v>4</v>
      </c>
      <c r="D34" s="68">
        <f t="shared" si="4"/>
        <v>5.69</v>
      </c>
      <c r="E34" s="25">
        <f t="shared" si="5"/>
        <v>0.07</v>
      </c>
      <c r="F34" s="25">
        <f t="shared" si="7"/>
        <v>0.07</v>
      </c>
      <c r="G34" s="25">
        <f t="shared" si="8"/>
        <v>0.07</v>
      </c>
      <c r="H34" s="25">
        <f t="shared" si="6"/>
        <v>0.1</v>
      </c>
    </row>
    <row r="35" spans="1:8" ht="15.75">
      <c r="A35" s="23">
        <v>2249</v>
      </c>
      <c r="B35" s="32" t="s">
        <v>13</v>
      </c>
      <c r="C35" s="25">
        <v>16</v>
      </c>
      <c r="D35" s="68">
        <f t="shared" si="4"/>
        <v>22.77</v>
      </c>
      <c r="E35" s="25">
        <f t="shared" si="5"/>
        <v>0.27</v>
      </c>
      <c r="F35" s="25">
        <f t="shared" si="7"/>
        <v>0.27</v>
      </c>
      <c r="G35" s="25">
        <f t="shared" si="8"/>
        <v>0.27</v>
      </c>
      <c r="H35" s="25">
        <f t="shared" si="6"/>
        <v>0.3857142857142858</v>
      </c>
    </row>
    <row r="36" spans="1:8" ht="15.75">
      <c r="A36" s="23">
        <v>2251</v>
      </c>
      <c r="B36" s="32" t="s">
        <v>77</v>
      </c>
      <c r="C36" s="25">
        <v>46</v>
      </c>
      <c r="D36" s="68">
        <f t="shared" si="4"/>
        <v>65.45</v>
      </c>
      <c r="E36" s="25">
        <f t="shared" si="5"/>
        <v>0.77</v>
      </c>
      <c r="F36" s="25">
        <f t="shared" si="7"/>
        <v>0.77</v>
      </c>
      <c r="G36" s="25">
        <f t="shared" si="8"/>
        <v>0.77</v>
      </c>
      <c r="H36" s="25">
        <f t="shared" si="6"/>
        <v>1.1</v>
      </c>
    </row>
    <row r="37" spans="1:8" ht="15.75" hidden="1">
      <c r="A37" s="23">
        <v>2252</v>
      </c>
      <c r="B37" s="32" t="s">
        <v>7</v>
      </c>
      <c r="C37" s="25"/>
      <c r="D37" s="68">
        <f t="shared" si="4"/>
        <v>0</v>
      </c>
      <c r="E37" s="25">
        <f t="shared" si="5"/>
        <v>0</v>
      </c>
      <c r="F37" s="25">
        <f t="shared" si="7"/>
        <v>0</v>
      </c>
      <c r="G37" s="25">
        <f t="shared" si="8"/>
        <v>0</v>
      </c>
      <c r="H37" s="25">
        <f t="shared" si="6"/>
        <v>0</v>
      </c>
    </row>
    <row r="38" spans="1:8" ht="15.75" hidden="1">
      <c r="A38" s="23">
        <v>2259</v>
      </c>
      <c r="B38" s="32" t="s">
        <v>8</v>
      </c>
      <c r="C38" s="25"/>
      <c r="D38" s="68">
        <f t="shared" si="4"/>
        <v>0</v>
      </c>
      <c r="E38" s="25">
        <f t="shared" si="5"/>
        <v>0</v>
      </c>
      <c r="F38" s="25">
        <f t="shared" si="7"/>
        <v>0</v>
      </c>
      <c r="G38" s="25">
        <f t="shared" si="8"/>
        <v>0</v>
      </c>
      <c r="H38" s="25">
        <f t="shared" si="6"/>
        <v>0</v>
      </c>
    </row>
    <row r="39" spans="1:8" ht="15.75">
      <c r="A39" s="23">
        <v>2261</v>
      </c>
      <c r="B39" s="32" t="s">
        <v>14</v>
      </c>
      <c r="C39" s="25">
        <v>9</v>
      </c>
      <c r="D39" s="68">
        <f t="shared" si="4"/>
        <v>12.81</v>
      </c>
      <c r="E39" s="25">
        <f t="shared" si="5"/>
        <v>0.15</v>
      </c>
      <c r="F39" s="25">
        <f t="shared" si="7"/>
        <v>0.15</v>
      </c>
      <c r="G39" s="25">
        <f t="shared" si="8"/>
        <v>0.15</v>
      </c>
      <c r="H39" s="25">
        <f t="shared" si="6"/>
        <v>0.2142857142857143</v>
      </c>
    </row>
    <row r="40" spans="1:8" ht="15.75">
      <c r="A40" s="23">
        <v>2262</v>
      </c>
      <c r="B40" s="32" t="s">
        <v>15</v>
      </c>
      <c r="C40" s="25">
        <v>37</v>
      </c>
      <c r="D40" s="68">
        <f t="shared" si="4"/>
        <v>52.65</v>
      </c>
      <c r="E40" s="25">
        <f t="shared" si="5"/>
        <v>0.62</v>
      </c>
      <c r="F40" s="25">
        <f t="shared" si="7"/>
        <v>0.62</v>
      </c>
      <c r="G40" s="25">
        <f t="shared" si="8"/>
        <v>0.62</v>
      </c>
      <c r="H40" s="25">
        <f t="shared" si="6"/>
        <v>0.8857142857142857</v>
      </c>
    </row>
    <row r="41" spans="1:8" ht="15.75">
      <c r="A41" s="23">
        <v>2263</v>
      </c>
      <c r="B41" s="32" t="s">
        <v>16</v>
      </c>
      <c r="C41" s="25">
        <v>137</v>
      </c>
      <c r="D41" s="68">
        <f t="shared" si="4"/>
        <v>194.93</v>
      </c>
      <c r="E41" s="25">
        <f t="shared" si="5"/>
        <v>2.3</v>
      </c>
      <c r="F41" s="25">
        <f t="shared" si="7"/>
        <v>2.3</v>
      </c>
      <c r="G41" s="25">
        <f t="shared" si="8"/>
        <v>2.3</v>
      </c>
      <c r="H41" s="25">
        <f t="shared" si="6"/>
        <v>3.2857142857142856</v>
      </c>
    </row>
    <row r="42" spans="1:8" ht="15.75" hidden="1">
      <c r="A42" s="23">
        <v>2264</v>
      </c>
      <c r="B42" s="32" t="s">
        <v>17</v>
      </c>
      <c r="C42" s="25">
        <v>0</v>
      </c>
      <c r="D42" s="68">
        <f t="shared" si="4"/>
        <v>0</v>
      </c>
      <c r="E42" s="25">
        <f t="shared" si="5"/>
        <v>0</v>
      </c>
      <c r="F42" s="25">
        <f t="shared" si="7"/>
        <v>0</v>
      </c>
      <c r="G42" s="25">
        <f t="shared" si="8"/>
        <v>0</v>
      </c>
      <c r="H42" s="25">
        <f t="shared" si="6"/>
        <v>0</v>
      </c>
    </row>
    <row r="43" spans="1:8" ht="15.75">
      <c r="A43" s="23">
        <v>2279</v>
      </c>
      <c r="B43" s="32" t="s">
        <v>18</v>
      </c>
      <c r="C43" s="25">
        <v>155</v>
      </c>
      <c r="D43" s="68">
        <f t="shared" si="4"/>
        <v>220.55</v>
      </c>
      <c r="E43" s="25">
        <f t="shared" si="5"/>
        <v>2.6</v>
      </c>
      <c r="F43" s="25">
        <f t="shared" si="7"/>
        <v>2.6</v>
      </c>
      <c r="G43" s="25">
        <f t="shared" si="8"/>
        <v>2.6</v>
      </c>
      <c r="H43" s="25">
        <f t="shared" si="6"/>
        <v>3.7142857142857144</v>
      </c>
    </row>
    <row r="44" spans="1:8" ht="15.75">
      <c r="A44" s="23">
        <v>2311</v>
      </c>
      <c r="B44" s="32" t="s">
        <v>19</v>
      </c>
      <c r="C44" s="25">
        <v>14</v>
      </c>
      <c r="D44" s="68">
        <f t="shared" si="4"/>
        <v>19.92</v>
      </c>
      <c r="E44" s="25">
        <f t="shared" si="5"/>
        <v>0.23</v>
      </c>
      <c r="F44" s="25">
        <f t="shared" si="7"/>
        <v>0.23</v>
      </c>
      <c r="G44" s="25">
        <f t="shared" si="8"/>
        <v>0.23</v>
      </c>
      <c r="H44" s="25">
        <f t="shared" si="6"/>
        <v>0.32857142857142857</v>
      </c>
    </row>
    <row r="45" spans="1:8" ht="15.75">
      <c r="A45" s="23">
        <v>2312</v>
      </c>
      <c r="B45" s="32" t="s">
        <v>20</v>
      </c>
      <c r="C45" s="25">
        <v>27</v>
      </c>
      <c r="D45" s="68">
        <f t="shared" si="4"/>
        <v>38.42</v>
      </c>
      <c r="E45" s="25">
        <f t="shared" si="5"/>
        <v>0.45</v>
      </c>
      <c r="F45" s="25">
        <f t="shared" si="7"/>
        <v>0.45</v>
      </c>
      <c r="G45" s="25">
        <f t="shared" si="8"/>
        <v>0.45</v>
      </c>
      <c r="H45" s="25">
        <f t="shared" si="6"/>
        <v>0.6428571428571428</v>
      </c>
    </row>
    <row r="46" spans="1:8" ht="15.75">
      <c r="A46" s="23">
        <v>2321</v>
      </c>
      <c r="B46" s="32" t="s">
        <v>21</v>
      </c>
      <c r="C46" s="25">
        <v>81</v>
      </c>
      <c r="D46" s="68">
        <f t="shared" si="4"/>
        <v>115.25</v>
      </c>
      <c r="E46" s="25">
        <f t="shared" si="5"/>
        <v>1.36</v>
      </c>
      <c r="F46" s="25">
        <f t="shared" si="7"/>
        <v>1.36</v>
      </c>
      <c r="G46" s="25">
        <f t="shared" si="8"/>
        <v>1.36</v>
      </c>
      <c r="H46" s="25">
        <f t="shared" si="6"/>
        <v>1.942857142857143</v>
      </c>
    </row>
    <row r="47" spans="1:8" ht="15.75">
      <c r="A47" s="23">
        <v>2322</v>
      </c>
      <c r="B47" s="32" t="s">
        <v>22</v>
      </c>
      <c r="C47" s="25">
        <v>18</v>
      </c>
      <c r="D47" s="68">
        <f t="shared" si="4"/>
        <v>25.61</v>
      </c>
      <c r="E47" s="25">
        <f t="shared" si="5"/>
        <v>0.3</v>
      </c>
      <c r="F47" s="25">
        <v>0.2</v>
      </c>
      <c r="G47" s="25">
        <f t="shared" si="8"/>
        <v>0.2</v>
      </c>
      <c r="H47" s="25">
        <f t="shared" si="6"/>
        <v>0.2857142857142857</v>
      </c>
    </row>
    <row r="48" spans="1:8" ht="15.75">
      <c r="A48" s="23">
        <v>2341</v>
      </c>
      <c r="B48" s="32" t="s">
        <v>23</v>
      </c>
      <c r="C48" s="25">
        <v>20</v>
      </c>
      <c r="D48" s="68">
        <f t="shared" si="4"/>
        <v>28.46</v>
      </c>
      <c r="E48" s="25">
        <f t="shared" si="5"/>
        <v>0.34</v>
      </c>
      <c r="F48" s="25">
        <f t="shared" si="7"/>
        <v>0.34</v>
      </c>
      <c r="G48" s="25">
        <f t="shared" si="8"/>
        <v>0.34</v>
      </c>
      <c r="H48" s="25">
        <f t="shared" si="6"/>
        <v>0.48571428571428577</v>
      </c>
    </row>
    <row r="49" spans="1:8" ht="15.75" hidden="1">
      <c r="A49" s="23">
        <v>2344</v>
      </c>
      <c r="B49" s="32" t="s">
        <v>24</v>
      </c>
      <c r="C49" s="25"/>
      <c r="D49" s="68">
        <f t="shared" si="4"/>
        <v>0</v>
      </c>
      <c r="E49" s="25">
        <f t="shared" si="5"/>
        <v>0</v>
      </c>
      <c r="F49" s="25">
        <f t="shared" si="7"/>
        <v>0</v>
      </c>
      <c r="G49" s="25">
        <f t="shared" si="8"/>
        <v>0</v>
      </c>
      <c r="H49" s="25">
        <f t="shared" si="6"/>
        <v>0</v>
      </c>
    </row>
    <row r="50" spans="1:8" ht="15.75">
      <c r="A50" s="23">
        <v>2350</v>
      </c>
      <c r="B50" s="32" t="s">
        <v>25</v>
      </c>
      <c r="C50" s="25">
        <v>123</v>
      </c>
      <c r="D50" s="68">
        <f t="shared" si="4"/>
        <v>175.01</v>
      </c>
      <c r="E50" s="25">
        <f t="shared" si="5"/>
        <v>2.06</v>
      </c>
      <c r="F50" s="25">
        <f t="shared" si="7"/>
        <v>2.06</v>
      </c>
      <c r="G50" s="25">
        <f t="shared" si="8"/>
        <v>2.06</v>
      </c>
      <c r="H50" s="25">
        <f t="shared" si="6"/>
        <v>2.942857142857143</v>
      </c>
    </row>
    <row r="51" spans="1:8" ht="15.75">
      <c r="A51" s="23">
        <v>2361</v>
      </c>
      <c r="B51" s="32" t="s">
        <v>26</v>
      </c>
      <c r="C51" s="25">
        <v>75</v>
      </c>
      <c r="D51" s="68">
        <f t="shared" si="4"/>
        <v>106.72</v>
      </c>
      <c r="E51" s="25">
        <f t="shared" si="5"/>
        <v>1.26</v>
      </c>
      <c r="F51" s="25">
        <f t="shared" si="7"/>
        <v>1.26</v>
      </c>
      <c r="G51" s="25">
        <f t="shared" si="8"/>
        <v>1.26</v>
      </c>
      <c r="H51" s="25">
        <f t="shared" si="6"/>
        <v>1.7999999999999998</v>
      </c>
    </row>
    <row r="52" spans="1:8" ht="15.75" customHeight="1" hidden="1">
      <c r="A52" s="23">
        <v>2362</v>
      </c>
      <c r="B52" s="32" t="s">
        <v>27</v>
      </c>
      <c r="C52" s="25"/>
      <c r="D52" s="68">
        <f t="shared" si="4"/>
        <v>0</v>
      </c>
      <c r="E52" s="25">
        <f t="shared" si="5"/>
        <v>0</v>
      </c>
      <c r="F52" s="25">
        <f t="shared" si="7"/>
        <v>0</v>
      </c>
      <c r="G52" s="25">
        <f t="shared" si="8"/>
        <v>0</v>
      </c>
      <c r="H52" s="25">
        <f t="shared" si="6"/>
        <v>0</v>
      </c>
    </row>
    <row r="53" spans="1:8" ht="15.75" customHeight="1" hidden="1">
      <c r="A53" s="23">
        <v>2363</v>
      </c>
      <c r="B53" s="32" t="s">
        <v>28</v>
      </c>
      <c r="C53" s="25"/>
      <c r="D53" s="68">
        <f t="shared" si="4"/>
        <v>0</v>
      </c>
      <c r="E53" s="25">
        <f t="shared" si="5"/>
        <v>0</v>
      </c>
      <c r="F53" s="25">
        <f t="shared" si="7"/>
        <v>0</v>
      </c>
      <c r="G53" s="25">
        <f t="shared" si="8"/>
        <v>0</v>
      </c>
      <c r="H53" s="25">
        <f t="shared" si="6"/>
        <v>0</v>
      </c>
    </row>
    <row r="54" spans="1:8" ht="15.75" customHeight="1" hidden="1">
      <c r="A54" s="23">
        <v>2370</v>
      </c>
      <c r="B54" s="32" t="s">
        <v>29</v>
      </c>
      <c r="C54" s="25"/>
      <c r="D54" s="68">
        <f t="shared" si="4"/>
        <v>0</v>
      </c>
      <c r="E54" s="25">
        <f t="shared" si="5"/>
        <v>0</v>
      </c>
      <c r="F54" s="25">
        <f t="shared" si="7"/>
        <v>0</v>
      </c>
      <c r="G54" s="25">
        <f t="shared" si="8"/>
        <v>0</v>
      </c>
      <c r="H54" s="25">
        <f t="shared" si="6"/>
        <v>0</v>
      </c>
    </row>
    <row r="55" spans="1:8" ht="15.75">
      <c r="A55" s="23">
        <v>2400</v>
      </c>
      <c r="B55" s="32" t="s">
        <v>43</v>
      </c>
      <c r="C55" s="25">
        <v>6</v>
      </c>
      <c r="D55" s="68">
        <f t="shared" si="4"/>
        <v>8.54</v>
      </c>
      <c r="E55" s="25">
        <f t="shared" si="5"/>
        <v>0.1</v>
      </c>
      <c r="F55" s="25">
        <f t="shared" si="7"/>
        <v>0.1</v>
      </c>
      <c r="G55" s="25">
        <f t="shared" si="8"/>
        <v>0.1</v>
      </c>
      <c r="H55" s="25">
        <f t="shared" si="6"/>
        <v>0.14285714285714285</v>
      </c>
    </row>
    <row r="56" spans="1:8" ht="15.75" hidden="1">
      <c r="A56" s="23">
        <v>2512</v>
      </c>
      <c r="B56" s="32" t="s">
        <v>30</v>
      </c>
      <c r="C56" s="25">
        <v>0</v>
      </c>
      <c r="D56" s="68">
        <f t="shared" si="4"/>
        <v>0</v>
      </c>
      <c r="E56" s="25">
        <f t="shared" si="5"/>
        <v>0</v>
      </c>
      <c r="F56" s="25">
        <f t="shared" si="7"/>
        <v>0</v>
      </c>
      <c r="G56" s="25">
        <f t="shared" si="8"/>
        <v>0</v>
      </c>
      <c r="H56" s="25">
        <f t="shared" si="6"/>
        <v>0</v>
      </c>
    </row>
    <row r="57" spans="1:8" ht="15.75">
      <c r="A57" s="23">
        <v>2513</v>
      </c>
      <c r="B57" s="32" t="s">
        <v>31</v>
      </c>
      <c r="C57" s="25">
        <v>98</v>
      </c>
      <c r="D57" s="68">
        <f t="shared" si="4"/>
        <v>139.44</v>
      </c>
      <c r="E57" s="25">
        <f t="shared" si="5"/>
        <v>1.64</v>
      </c>
      <c r="F57" s="25">
        <f t="shared" si="7"/>
        <v>1.64</v>
      </c>
      <c r="G57" s="25">
        <f t="shared" si="8"/>
        <v>1.64</v>
      </c>
      <c r="H57" s="25">
        <f t="shared" si="6"/>
        <v>2.3428571428571425</v>
      </c>
    </row>
    <row r="58" spans="1:8" ht="15.75">
      <c r="A58" s="23">
        <v>2515</v>
      </c>
      <c r="B58" s="32" t="s">
        <v>78</v>
      </c>
      <c r="C58" s="25">
        <v>4</v>
      </c>
      <c r="D58" s="68">
        <f t="shared" si="4"/>
        <v>5.69</v>
      </c>
      <c r="E58" s="25">
        <f t="shared" si="5"/>
        <v>0.07</v>
      </c>
      <c r="F58" s="25">
        <f t="shared" si="7"/>
        <v>0.07</v>
      </c>
      <c r="G58" s="25">
        <f t="shared" si="8"/>
        <v>0.07</v>
      </c>
      <c r="H58" s="25">
        <f t="shared" si="6"/>
        <v>0.1</v>
      </c>
    </row>
    <row r="59" spans="1:8" ht="15.75">
      <c r="A59" s="23">
        <v>2519</v>
      </c>
      <c r="B59" s="32" t="s">
        <v>34</v>
      </c>
      <c r="C59" s="25">
        <v>25</v>
      </c>
      <c r="D59" s="68">
        <f t="shared" si="4"/>
        <v>35.57</v>
      </c>
      <c r="E59" s="25">
        <f t="shared" si="5"/>
        <v>0.42</v>
      </c>
      <c r="F59" s="25">
        <f t="shared" si="7"/>
        <v>0.42</v>
      </c>
      <c r="G59" s="25">
        <f t="shared" si="8"/>
        <v>0.42</v>
      </c>
      <c r="H59" s="25">
        <f t="shared" si="6"/>
        <v>0.6</v>
      </c>
    </row>
    <row r="60" spans="1:8" ht="15.75" hidden="1">
      <c r="A60" s="23">
        <v>6240</v>
      </c>
      <c r="B60" s="32"/>
      <c r="C60" s="25"/>
      <c r="D60" s="68">
        <f t="shared" si="4"/>
        <v>0</v>
      </c>
      <c r="E60" s="25">
        <f t="shared" si="5"/>
        <v>0</v>
      </c>
      <c r="F60" s="25">
        <f t="shared" si="7"/>
        <v>0</v>
      </c>
      <c r="G60" s="25">
        <f t="shared" si="8"/>
        <v>0</v>
      </c>
      <c r="H60" s="25">
        <f t="shared" si="6"/>
        <v>0</v>
      </c>
    </row>
    <row r="61" spans="1:8" ht="15.75" hidden="1">
      <c r="A61" s="23">
        <v>6290</v>
      </c>
      <c r="B61" s="32"/>
      <c r="C61" s="25"/>
      <c r="D61" s="68">
        <f t="shared" si="4"/>
        <v>0</v>
      </c>
      <c r="E61" s="25">
        <f t="shared" si="5"/>
        <v>0</v>
      </c>
      <c r="F61" s="25">
        <f t="shared" si="7"/>
        <v>0</v>
      </c>
      <c r="G61" s="25">
        <f t="shared" si="8"/>
        <v>0</v>
      </c>
      <c r="H61" s="25">
        <f t="shared" si="6"/>
        <v>0</v>
      </c>
    </row>
    <row r="62" spans="1:8" ht="15.75">
      <c r="A62" s="23">
        <v>5121</v>
      </c>
      <c r="B62" s="32" t="s">
        <v>32</v>
      </c>
      <c r="C62" s="25">
        <v>17</v>
      </c>
      <c r="D62" s="68">
        <f t="shared" si="4"/>
        <v>24.19</v>
      </c>
      <c r="E62" s="25">
        <f t="shared" si="5"/>
        <v>0.28</v>
      </c>
      <c r="F62" s="25">
        <f t="shared" si="7"/>
        <v>0.28</v>
      </c>
      <c r="G62" s="25">
        <f t="shared" si="8"/>
        <v>0.28</v>
      </c>
      <c r="H62" s="25">
        <f t="shared" si="6"/>
        <v>0.4</v>
      </c>
    </row>
    <row r="63" spans="1:8" ht="15.75">
      <c r="A63" s="23">
        <v>5232</v>
      </c>
      <c r="B63" s="32" t="s">
        <v>33</v>
      </c>
      <c r="C63" s="25">
        <v>2</v>
      </c>
      <c r="D63" s="68">
        <v>11.15</v>
      </c>
      <c r="E63" s="25">
        <v>0.15</v>
      </c>
      <c r="F63" s="25">
        <v>0.15</v>
      </c>
      <c r="G63" s="25">
        <v>0.23</v>
      </c>
      <c r="H63" s="25">
        <f t="shared" si="6"/>
        <v>0.32857142857142857</v>
      </c>
    </row>
    <row r="64" spans="1:8" ht="15.75" hidden="1">
      <c r="A64" s="23">
        <v>5238</v>
      </c>
      <c r="B64" s="32" t="s">
        <v>35</v>
      </c>
      <c r="C64" s="25">
        <v>0</v>
      </c>
      <c r="D64" s="32"/>
      <c r="E64" s="25">
        <v>0</v>
      </c>
      <c r="F64" s="25">
        <f>E64/7223*40</f>
        <v>0</v>
      </c>
      <c r="G64" s="25">
        <f t="shared" si="8"/>
        <v>0</v>
      </c>
      <c r="H64" s="25">
        <f t="shared" si="6"/>
        <v>0</v>
      </c>
    </row>
    <row r="65" spans="1:8" ht="15.75" hidden="1">
      <c r="A65" s="23">
        <v>5240</v>
      </c>
      <c r="B65" s="32" t="s">
        <v>36</v>
      </c>
      <c r="C65" s="25">
        <v>0</v>
      </c>
      <c r="D65" s="32"/>
      <c r="E65" s="25">
        <v>0</v>
      </c>
      <c r="F65" s="25">
        <f>E65/7223*40</f>
        <v>0</v>
      </c>
      <c r="G65" s="25">
        <f t="shared" si="8"/>
        <v>0</v>
      </c>
      <c r="H65" s="25">
        <f t="shared" si="6"/>
        <v>0</v>
      </c>
    </row>
    <row r="66" spans="1:8" ht="15.75" hidden="1">
      <c r="A66" s="23">
        <v>5250</v>
      </c>
      <c r="B66" s="32" t="s">
        <v>37</v>
      </c>
      <c r="C66" s="25"/>
      <c r="D66" s="32"/>
      <c r="E66" s="25"/>
      <c r="F66" s="25">
        <f>E66/12309*150</f>
        <v>0</v>
      </c>
      <c r="G66" s="25">
        <f>F66</f>
        <v>0</v>
      </c>
      <c r="H66" s="25">
        <f t="shared" si="6"/>
        <v>0</v>
      </c>
    </row>
    <row r="67" spans="1:8" ht="15.75">
      <c r="A67" s="29"/>
      <c r="B67" s="48" t="s">
        <v>79</v>
      </c>
      <c r="C67" s="28">
        <f>SUM(C23:C66)</f>
        <v>7666.9400000000005</v>
      </c>
      <c r="D67" s="28">
        <f>SUM(D23:D66)</f>
        <v>10917.380000000001</v>
      </c>
      <c r="E67" s="28">
        <f>SUM(E23:E66)</f>
        <v>128.62999999999997</v>
      </c>
      <c r="F67" s="28">
        <f>SUM(F22:F66)</f>
        <v>131.52999999999997</v>
      </c>
      <c r="G67" s="28">
        <f>SUM(G22:G66)</f>
        <v>131.60999999999993</v>
      </c>
      <c r="H67" s="28">
        <f>SUM(H22:H66)</f>
        <v>188.01428571428573</v>
      </c>
    </row>
    <row r="68" spans="1:8" ht="15.75">
      <c r="A68" s="29"/>
      <c r="B68" s="48" t="s">
        <v>80</v>
      </c>
      <c r="C68" s="28">
        <f aca="true" t="shared" si="9" ref="C68:H68">C67+C21</f>
        <v>12626.75</v>
      </c>
      <c r="D68" s="28">
        <f t="shared" si="9"/>
        <v>17974.550000000003</v>
      </c>
      <c r="E68" s="28">
        <f t="shared" si="9"/>
        <v>211.74999999999994</v>
      </c>
      <c r="F68" s="28">
        <f t="shared" si="9"/>
        <v>216.59999999999997</v>
      </c>
      <c r="G68" s="28">
        <f t="shared" si="9"/>
        <v>230.64999999999992</v>
      </c>
      <c r="H68" s="28">
        <f t="shared" si="9"/>
        <v>342</v>
      </c>
    </row>
    <row r="69" spans="1:8" ht="15.75">
      <c r="A69" s="49"/>
      <c r="B69" s="50"/>
      <c r="C69" s="41"/>
      <c r="D69" s="41"/>
      <c r="E69" s="41"/>
      <c r="F69" s="41"/>
      <c r="G69" s="41"/>
      <c r="H69" s="41"/>
    </row>
    <row r="70" spans="1:8" ht="15.75">
      <c r="A70" s="214" t="s">
        <v>45</v>
      </c>
      <c r="B70" s="215"/>
      <c r="C70" s="69">
        <v>2971</v>
      </c>
      <c r="D70" s="69">
        <v>2971</v>
      </c>
      <c r="E70" s="42">
        <v>35</v>
      </c>
      <c r="F70" s="42">
        <v>35</v>
      </c>
      <c r="G70" s="42">
        <v>35</v>
      </c>
      <c r="H70" s="162">
        <v>50</v>
      </c>
    </row>
    <row r="71" spans="1:8" ht="15.75">
      <c r="A71" s="214" t="s">
        <v>91</v>
      </c>
      <c r="B71" s="215"/>
      <c r="C71" s="135">
        <f>C68/C70</f>
        <v>4.25</v>
      </c>
      <c r="D71" s="51">
        <f>ROUND(D68/D70,2)</f>
        <v>6.05</v>
      </c>
      <c r="E71" s="28">
        <f>ROUND(E68/E70,2)</f>
        <v>6.05</v>
      </c>
      <c r="F71" s="28">
        <f>ROUND(F68/F70,2)</f>
        <v>6.19</v>
      </c>
      <c r="G71" s="28">
        <f>ROUND(G68/G70,2)</f>
        <v>6.59</v>
      </c>
      <c r="H71" s="164">
        <f>ROUND(H68/H70,2)</f>
        <v>6.84</v>
      </c>
    </row>
    <row r="72" spans="1:8" ht="15.75">
      <c r="A72" s="50"/>
      <c r="B72" s="43"/>
      <c r="C72" s="43"/>
      <c r="D72" s="43"/>
      <c r="E72" s="43"/>
      <c r="F72" s="69"/>
      <c r="G72" s="69"/>
      <c r="H72" s="69"/>
    </row>
    <row r="73" spans="1:8" ht="15.75">
      <c r="A73" s="214" t="s">
        <v>46</v>
      </c>
      <c r="B73" s="215"/>
      <c r="C73" s="73"/>
      <c r="D73" s="73"/>
      <c r="E73" s="44"/>
      <c r="F73" s="44"/>
      <c r="G73" s="44"/>
      <c r="H73" s="44"/>
    </row>
    <row r="74" spans="1:8" ht="15.75">
      <c r="A74" s="214" t="s">
        <v>55</v>
      </c>
      <c r="B74" s="215"/>
      <c r="C74" s="73"/>
      <c r="D74" s="73"/>
      <c r="E74" s="44"/>
      <c r="F74" s="44"/>
      <c r="G74" s="44"/>
      <c r="H74" s="44"/>
    </row>
    <row r="75" spans="1:8" ht="15.75">
      <c r="A75" s="136"/>
      <c r="B75" s="136"/>
      <c r="C75" s="136"/>
      <c r="D75" s="136"/>
      <c r="E75" s="136"/>
      <c r="F75" s="136"/>
      <c r="G75" s="136"/>
      <c r="H75" s="136"/>
    </row>
    <row r="76" spans="1:8" ht="15.75">
      <c r="A76" s="136" t="s">
        <v>47</v>
      </c>
      <c r="B76" s="136"/>
      <c r="C76" s="136"/>
      <c r="D76" s="136"/>
      <c r="E76" s="136"/>
      <c r="F76" s="136"/>
      <c r="G76" s="136"/>
      <c r="H76" s="136"/>
    </row>
    <row r="77" spans="1:8" ht="15.75">
      <c r="A77" s="136"/>
      <c r="B77" s="136"/>
      <c r="C77" s="136"/>
      <c r="D77" s="136"/>
      <c r="E77" s="136"/>
      <c r="F77" s="136"/>
      <c r="G77" s="136"/>
      <c r="H77" s="136"/>
    </row>
    <row r="78" spans="1:8" ht="15.75">
      <c r="A78" s="136"/>
      <c r="B78" s="137"/>
      <c r="C78" s="137"/>
      <c r="D78" s="137"/>
      <c r="E78" s="136"/>
      <c r="F78" s="136"/>
      <c r="G78" s="136"/>
      <c r="H78" s="136"/>
    </row>
    <row r="79" spans="1:8" ht="15.75">
      <c r="A79" s="136"/>
      <c r="B79" s="138"/>
      <c r="C79" s="138"/>
      <c r="D79" s="138"/>
      <c r="E79" s="136"/>
      <c r="F79" s="136"/>
      <c r="G79" s="136"/>
      <c r="H79" s="136"/>
    </row>
    <row r="80" spans="1:8" ht="15">
      <c r="A80" s="139"/>
      <c r="B80" s="139"/>
      <c r="C80" s="139"/>
      <c r="D80" s="139"/>
      <c r="E80" s="139"/>
      <c r="F80" s="131"/>
      <c r="G80" s="131"/>
      <c r="H80" s="131"/>
    </row>
  </sheetData>
  <sheetProtection/>
  <mergeCells count="11">
    <mergeCell ref="B8:E8"/>
    <mergeCell ref="B9:E9"/>
    <mergeCell ref="A70:B70"/>
    <mergeCell ref="A71:B71"/>
    <mergeCell ref="A5:B5"/>
    <mergeCell ref="A3:H3"/>
    <mergeCell ref="B4:E4"/>
    <mergeCell ref="A73:B73"/>
    <mergeCell ref="A74:B74"/>
    <mergeCell ref="A6:E6"/>
    <mergeCell ref="B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Layout" workbookViewId="0" topLeftCell="A1">
      <selection activeCell="B8" sqref="B8:E8"/>
    </sheetView>
  </sheetViews>
  <sheetFormatPr defaultColWidth="9.140625" defaultRowHeight="12.75"/>
  <cols>
    <col min="1" max="1" width="13.140625" style="1" customWidth="1"/>
    <col min="2" max="2" width="99.7109375" style="1" customWidth="1"/>
    <col min="3" max="3" width="12.28125" style="1" hidden="1" customWidth="1"/>
    <col min="4" max="4" width="11.140625" style="1" hidden="1" customWidth="1"/>
    <col min="5" max="5" width="21.57421875" style="1" hidden="1" customWidth="1"/>
    <col min="6" max="7" width="21.57421875" style="4" hidden="1" customWidth="1"/>
    <col min="8" max="8" width="32.00390625" style="4" customWidth="1"/>
  </cols>
  <sheetData>
    <row r="1" spans="1:8" ht="15.75">
      <c r="A1" s="4"/>
      <c r="B1" s="108"/>
      <c r="C1" s="108"/>
      <c r="D1" s="108"/>
      <c r="E1" s="10"/>
      <c r="F1" s="10"/>
      <c r="G1" s="10"/>
      <c r="H1" s="9"/>
    </row>
    <row r="2" spans="1:8" ht="15">
      <c r="A2" s="4"/>
      <c r="B2" s="4"/>
      <c r="C2" s="4"/>
      <c r="D2" s="4"/>
      <c r="E2" s="64"/>
      <c r="F2" s="2"/>
      <c r="G2" s="2"/>
      <c r="H2" s="2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1:8" ht="15">
      <c r="A4" s="4"/>
      <c r="B4" s="218"/>
      <c r="C4" s="218"/>
      <c r="D4" s="218"/>
      <c r="E4" s="218"/>
      <c r="F4" s="2"/>
      <c r="G4" s="2"/>
      <c r="H4" s="2"/>
    </row>
    <row r="5" spans="1:8" ht="15" customHeight="1">
      <c r="A5" s="223" t="s">
        <v>1</v>
      </c>
      <c r="B5" s="223"/>
      <c r="C5" s="223"/>
      <c r="D5" s="223"/>
      <c r="E5" s="223"/>
      <c r="F5" s="25"/>
      <c r="G5" s="159"/>
      <c r="H5" s="50"/>
    </row>
    <row r="6" spans="1:8" ht="15" customHeight="1">
      <c r="A6" s="223" t="s">
        <v>0</v>
      </c>
      <c r="B6" s="223"/>
      <c r="C6" s="223"/>
      <c r="D6" s="223"/>
      <c r="E6" s="223"/>
      <c r="F6" s="25"/>
      <c r="G6" s="159"/>
      <c r="H6" s="50"/>
    </row>
    <row r="7" spans="1:8" ht="15.75">
      <c r="A7" s="110"/>
      <c r="B7" s="223" t="s">
        <v>44</v>
      </c>
      <c r="C7" s="223"/>
      <c r="D7" s="223"/>
      <c r="E7" s="223"/>
      <c r="F7" s="159"/>
      <c r="G7" s="159"/>
      <c r="H7" s="50"/>
    </row>
    <row r="8" spans="1:8" ht="15.75">
      <c r="A8" s="110"/>
      <c r="B8" s="223" t="s">
        <v>85</v>
      </c>
      <c r="C8" s="223"/>
      <c r="D8" s="223"/>
      <c r="E8" s="223"/>
      <c r="F8" s="50"/>
      <c r="G8" s="50"/>
      <c r="H8" s="50"/>
    </row>
    <row r="9" spans="1:8" ht="15.75">
      <c r="A9" s="110"/>
      <c r="B9" s="223" t="s">
        <v>122</v>
      </c>
      <c r="C9" s="223"/>
      <c r="D9" s="223"/>
      <c r="E9" s="223"/>
      <c r="F9" s="50"/>
      <c r="G9" s="50"/>
      <c r="H9" s="50"/>
    </row>
    <row r="10" spans="1:8" ht="15.75">
      <c r="A10" s="110" t="s">
        <v>2</v>
      </c>
      <c r="B10" s="129" t="s">
        <v>205</v>
      </c>
      <c r="C10" s="110"/>
      <c r="D10" s="110"/>
      <c r="E10" s="110"/>
      <c r="F10" s="50"/>
      <c r="G10" s="50"/>
      <c r="H10" s="50"/>
    </row>
    <row r="11" spans="1:8" ht="15.75" hidden="1">
      <c r="A11" s="155"/>
      <c r="B11" s="156"/>
      <c r="C11" s="156"/>
      <c r="D11" s="156"/>
      <c r="E11" s="157"/>
      <c r="F11" s="50"/>
      <c r="G11" s="50"/>
      <c r="H11" s="50"/>
    </row>
    <row r="12" spans="1:8" ht="47.25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20">
        <v>1</v>
      </c>
      <c r="B13" s="134">
        <v>2</v>
      </c>
      <c r="C13" s="134"/>
      <c r="D13" s="134"/>
      <c r="E13" s="20"/>
      <c r="F13" s="134"/>
      <c r="G13" s="134"/>
      <c r="H13" s="134">
        <v>3</v>
      </c>
    </row>
    <row r="14" spans="1:8" ht="15.75">
      <c r="A14" s="20"/>
      <c r="B14" s="45" t="s">
        <v>71</v>
      </c>
      <c r="C14" s="45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1.36</v>
      </c>
      <c r="D15" s="68">
        <f>ROUND(C15/0.702804,2)</f>
        <v>1.94</v>
      </c>
      <c r="E15" s="25">
        <f>ROUND(D15/2,2)</f>
        <v>0.97</v>
      </c>
      <c r="F15" s="25">
        <v>1.01</v>
      </c>
      <c r="G15" s="25">
        <v>1.28</v>
      </c>
      <c r="H15" s="25">
        <f>G15*10+10*0.1</f>
        <v>13.8</v>
      </c>
    </row>
    <row r="16" spans="1:8" ht="15.75">
      <c r="A16" s="23">
        <v>1200</v>
      </c>
      <c r="B16" s="32" t="s">
        <v>73</v>
      </c>
      <c r="C16" s="47">
        <v>0.32</v>
      </c>
      <c r="D16" s="68">
        <f>ROUND(C16/0.702804,2)</f>
        <v>0.46</v>
      </c>
      <c r="E16" s="25">
        <f>ROUND(D16/2,2)</f>
        <v>0.23</v>
      </c>
      <c r="F16" s="25">
        <v>0.24</v>
      </c>
      <c r="G16" s="25">
        <v>0.31</v>
      </c>
      <c r="H16" s="25">
        <f>G16*10+10*0.02</f>
        <v>3.3000000000000003</v>
      </c>
    </row>
    <row r="17" spans="1:8" ht="15.75">
      <c r="A17" s="23">
        <v>2222</v>
      </c>
      <c r="B17" s="32" t="s">
        <v>39</v>
      </c>
      <c r="C17" s="25">
        <v>0.88</v>
      </c>
      <c r="D17" s="68">
        <f>ROUND(C17/0.702804,2)</f>
        <v>1.25</v>
      </c>
      <c r="E17" s="25">
        <f>ROUND(D17/2,2)</f>
        <v>0.63</v>
      </c>
      <c r="F17" s="25">
        <f>E17</f>
        <v>0.63</v>
      </c>
      <c r="G17" s="25">
        <f>F17</f>
        <v>0.63</v>
      </c>
      <c r="H17" s="25">
        <f>G17*10</f>
        <v>6.3</v>
      </c>
    </row>
    <row r="18" spans="1:8" ht="15.75">
      <c r="A18" s="31">
        <v>2341</v>
      </c>
      <c r="B18" s="32" t="s">
        <v>23</v>
      </c>
      <c r="C18" s="25">
        <v>0.03</v>
      </c>
      <c r="D18" s="68">
        <f>ROUND(C18/0.702804,2)</f>
        <v>0.04</v>
      </c>
      <c r="E18" s="25">
        <f>ROUND(D18/2,2)</f>
        <v>0.02</v>
      </c>
      <c r="F18" s="25">
        <f>E18</f>
        <v>0.02</v>
      </c>
      <c r="G18" s="25">
        <f>F18</f>
        <v>0.02</v>
      </c>
      <c r="H18" s="25">
        <f>G18*10</f>
        <v>0.2</v>
      </c>
    </row>
    <row r="19" spans="1:8" ht="15.75" hidden="1">
      <c r="A19" s="23">
        <v>2350</v>
      </c>
      <c r="B19" s="32" t="s">
        <v>25</v>
      </c>
      <c r="C19" s="25">
        <v>0</v>
      </c>
      <c r="D19" s="32"/>
      <c r="E19" s="25">
        <v>0</v>
      </c>
      <c r="F19" s="25">
        <f>E19/2971*30</f>
        <v>0</v>
      </c>
      <c r="G19" s="25">
        <f>F19</f>
        <v>0</v>
      </c>
      <c r="H19" s="25">
        <f>G19*10</f>
        <v>0</v>
      </c>
    </row>
    <row r="20" spans="1:8" ht="15.75" hidden="1">
      <c r="A20" s="23"/>
      <c r="B20" s="23"/>
      <c r="C20" s="25"/>
      <c r="D20" s="23"/>
      <c r="E20" s="25"/>
      <c r="F20" s="25">
        <f>E20/2971*30</f>
        <v>0</v>
      </c>
      <c r="G20" s="25">
        <f>F20</f>
        <v>0</v>
      </c>
      <c r="H20" s="25">
        <f>G20*10</f>
        <v>0</v>
      </c>
    </row>
    <row r="21" spans="1:8" ht="15.75">
      <c r="A21" s="23"/>
      <c r="B21" s="46" t="s">
        <v>74</v>
      </c>
      <c r="C21" s="28">
        <f aca="true" t="shared" si="0" ref="C21:H21">SUM(C15:C20)</f>
        <v>2.59</v>
      </c>
      <c r="D21" s="28">
        <f t="shared" si="0"/>
        <v>3.69</v>
      </c>
      <c r="E21" s="28">
        <f t="shared" si="0"/>
        <v>1.85</v>
      </c>
      <c r="F21" s="28">
        <f t="shared" si="0"/>
        <v>1.9</v>
      </c>
      <c r="G21" s="28">
        <f t="shared" si="0"/>
        <v>2.24</v>
      </c>
      <c r="H21" s="28">
        <f t="shared" si="0"/>
        <v>23.6</v>
      </c>
    </row>
    <row r="22" spans="1:8" ht="15.75">
      <c r="A22" s="29"/>
      <c r="B22" s="23" t="s">
        <v>75</v>
      </c>
      <c r="C22" s="25"/>
      <c r="D22" s="23"/>
      <c r="E22" s="25"/>
      <c r="F22" s="28"/>
      <c r="G22" s="28"/>
      <c r="H22" s="28"/>
    </row>
    <row r="23" spans="1:8" ht="15.75">
      <c r="A23" s="23">
        <v>1100</v>
      </c>
      <c r="B23" s="23" t="s">
        <v>72</v>
      </c>
      <c r="C23" s="25">
        <v>0.66</v>
      </c>
      <c r="D23" s="68">
        <f>ROUND(C23/0.702804,2)</f>
        <v>0.94</v>
      </c>
      <c r="E23" s="25">
        <f>ROUND(D23/2,2)</f>
        <v>0.47</v>
      </c>
      <c r="F23" s="25">
        <v>0.48</v>
      </c>
      <c r="G23" s="25">
        <v>0.48</v>
      </c>
      <c r="H23" s="25">
        <f aca="true" t="shared" si="1" ref="H23:H65">G23*10</f>
        <v>4.8</v>
      </c>
    </row>
    <row r="24" spans="1:8" ht="15.75">
      <c r="A24" s="23">
        <v>1200</v>
      </c>
      <c r="B24" s="32" t="s">
        <v>73</v>
      </c>
      <c r="C24" s="25">
        <v>0.16</v>
      </c>
      <c r="D24" s="68">
        <f>ROUND(C24/0.702804,2)</f>
        <v>0.23</v>
      </c>
      <c r="E24" s="25">
        <f>ROUND(D24/2,2)</f>
        <v>0.12</v>
      </c>
      <c r="F24" s="25">
        <v>0.11</v>
      </c>
      <c r="G24" s="25">
        <v>0.11</v>
      </c>
      <c r="H24" s="25">
        <f t="shared" si="1"/>
        <v>1.1</v>
      </c>
    </row>
    <row r="25" spans="1:8" ht="15.75" hidden="1">
      <c r="A25" s="23">
        <v>2100</v>
      </c>
      <c r="B25" s="30" t="s">
        <v>42</v>
      </c>
      <c r="C25" s="25"/>
      <c r="D25" s="68">
        <f>ROUND(C25/0.702804,2)</f>
        <v>0</v>
      </c>
      <c r="E25" s="25">
        <f>ROUND(D25/2,2)</f>
        <v>0</v>
      </c>
      <c r="F25" s="25">
        <f>E25</f>
        <v>0</v>
      </c>
      <c r="G25" s="25">
        <f>F25</f>
        <v>0</v>
      </c>
      <c r="H25" s="25">
        <f t="shared" si="1"/>
        <v>0</v>
      </c>
    </row>
    <row r="26" spans="1:8" ht="15.75" hidden="1">
      <c r="A26" s="31">
        <v>2210</v>
      </c>
      <c r="B26" s="32" t="s">
        <v>38</v>
      </c>
      <c r="C26" s="25">
        <v>0</v>
      </c>
      <c r="D26" s="68">
        <f>ROUND(C26/0.702804,2)</f>
        <v>0</v>
      </c>
      <c r="E26" s="25">
        <f>ROUND(D26/2,2)</f>
        <v>0</v>
      </c>
      <c r="F26" s="25">
        <f>E26</f>
        <v>0</v>
      </c>
      <c r="G26" s="25">
        <f aca="true" t="shared" si="2" ref="G26:G66">F26</f>
        <v>0</v>
      </c>
      <c r="H26" s="25">
        <f t="shared" si="1"/>
        <v>0</v>
      </c>
    </row>
    <row r="27" spans="1:8" ht="15.75" hidden="1">
      <c r="A27" s="23">
        <v>2222</v>
      </c>
      <c r="B27" s="32" t="s">
        <v>39</v>
      </c>
      <c r="C27" s="25"/>
      <c r="D27" s="68">
        <f>ROUND(C27/0.702804,2)</f>
        <v>0</v>
      </c>
      <c r="E27" s="25">
        <f>ROUND(D27/2,2)</f>
        <v>0</v>
      </c>
      <c r="F27" s="25">
        <f>E27</f>
        <v>0</v>
      </c>
      <c r="G27" s="25">
        <f t="shared" si="2"/>
        <v>0</v>
      </c>
      <c r="H27" s="25">
        <f t="shared" si="1"/>
        <v>0</v>
      </c>
    </row>
    <row r="28" spans="1:8" ht="15.75">
      <c r="A28" s="23">
        <v>2223</v>
      </c>
      <c r="B28" s="32" t="s">
        <v>40</v>
      </c>
      <c r="C28" s="25">
        <v>0.51</v>
      </c>
      <c r="D28" s="68">
        <v>0.72</v>
      </c>
      <c r="E28" s="25">
        <v>0.35</v>
      </c>
      <c r="F28" s="25">
        <f>E28</f>
        <v>0.35</v>
      </c>
      <c r="G28" s="25">
        <f t="shared" si="2"/>
        <v>0.35</v>
      </c>
      <c r="H28" s="25">
        <f t="shared" si="1"/>
        <v>3.5</v>
      </c>
    </row>
    <row r="29" spans="1:8" ht="15.75" hidden="1">
      <c r="A29" s="23">
        <v>2230</v>
      </c>
      <c r="B29" s="32" t="s">
        <v>41</v>
      </c>
      <c r="C29" s="25">
        <v>0</v>
      </c>
      <c r="D29" s="32"/>
      <c r="E29" s="25">
        <v>0</v>
      </c>
      <c r="F29" s="25">
        <f aca="true" t="shared" si="3" ref="F29:F64">E29/2971*30</f>
        <v>0</v>
      </c>
      <c r="G29" s="25">
        <f t="shared" si="2"/>
        <v>0</v>
      </c>
      <c r="H29" s="25">
        <f t="shared" si="1"/>
        <v>0</v>
      </c>
    </row>
    <row r="30" spans="1:8" ht="15.75" hidden="1">
      <c r="A30" s="23">
        <v>2241</v>
      </c>
      <c r="B30" s="32" t="s">
        <v>9</v>
      </c>
      <c r="C30" s="25">
        <v>0</v>
      </c>
      <c r="D30" s="32"/>
      <c r="E30" s="25">
        <v>0</v>
      </c>
      <c r="F30" s="25">
        <f t="shared" si="3"/>
        <v>0</v>
      </c>
      <c r="G30" s="25">
        <f t="shared" si="2"/>
        <v>0</v>
      </c>
      <c r="H30" s="25">
        <f t="shared" si="1"/>
        <v>0</v>
      </c>
    </row>
    <row r="31" spans="1:8" ht="15.75" hidden="1">
      <c r="A31" s="23">
        <v>2242</v>
      </c>
      <c r="B31" s="32" t="s">
        <v>10</v>
      </c>
      <c r="C31" s="25">
        <v>0</v>
      </c>
      <c r="D31" s="32"/>
      <c r="E31" s="25">
        <v>0</v>
      </c>
      <c r="F31" s="25">
        <f t="shared" si="3"/>
        <v>0</v>
      </c>
      <c r="G31" s="25">
        <f t="shared" si="2"/>
        <v>0</v>
      </c>
      <c r="H31" s="25">
        <f t="shared" si="1"/>
        <v>0</v>
      </c>
    </row>
    <row r="32" spans="1:8" ht="15.75" hidden="1">
      <c r="A32" s="23">
        <v>2243</v>
      </c>
      <c r="B32" s="32" t="s">
        <v>11</v>
      </c>
      <c r="C32" s="25">
        <v>0</v>
      </c>
      <c r="D32" s="32"/>
      <c r="E32" s="25">
        <v>0</v>
      </c>
      <c r="F32" s="25">
        <f t="shared" si="3"/>
        <v>0</v>
      </c>
      <c r="G32" s="25">
        <f t="shared" si="2"/>
        <v>0</v>
      </c>
      <c r="H32" s="25">
        <f t="shared" si="1"/>
        <v>0</v>
      </c>
    </row>
    <row r="33" spans="1:8" ht="15.75" hidden="1">
      <c r="A33" s="23">
        <v>2244</v>
      </c>
      <c r="B33" s="32" t="s">
        <v>12</v>
      </c>
      <c r="C33" s="25">
        <v>0</v>
      </c>
      <c r="D33" s="32"/>
      <c r="E33" s="25">
        <v>0</v>
      </c>
      <c r="F33" s="25">
        <f t="shared" si="3"/>
        <v>0</v>
      </c>
      <c r="G33" s="25">
        <f t="shared" si="2"/>
        <v>0</v>
      </c>
      <c r="H33" s="25">
        <f t="shared" si="1"/>
        <v>0</v>
      </c>
    </row>
    <row r="34" spans="1:8" ht="15.75" hidden="1">
      <c r="A34" s="23">
        <v>2247</v>
      </c>
      <c r="B34" s="45" t="s">
        <v>76</v>
      </c>
      <c r="C34" s="25">
        <v>0</v>
      </c>
      <c r="D34" s="45"/>
      <c r="E34" s="25">
        <v>0</v>
      </c>
      <c r="F34" s="25">
        <f t="shared" si="3"/>
        <v>0</v>
      </c>
      <c r="G34" s="25">
        <f t="shared" si="2"/>
        <v>0</v>
      </c>
      <c r="H34" s="25">
        <f t="shared" si="1"/>
        <v>0</v>
      </c>
    </row>
    <row r="35" spans="1:8" ht="15.75" hidden="1">
      <c r="A35" s="23">
        <v>2249</v>
      </c>
      <c r="B35" s="32" t="s">
        <v>13</v>
      </c>
      <c r="C35" s="25">
        <v>0</v>
      </c>
      <c r="D35" s="32"/>
      <c r="E35" s="25">
        <v>0</v>
      </c>
      <c r="F35" s="25">
        <f t="shared" si="3"/>
        <v>0</v>
      </c>
      <c r="G35" s="25">
        <f t="shared" si="2"/>
        <v>0</v>
      </c>
      <c r="H35" s="25">
        <f t="shared" si="1"/>
        <v>0</v>
      </c>
    </row>
    <row r="36" spans="1:8" ht="15.75" hidden="1">
      <c r="A36" s="23">
        <v>2251</v>
      </c>
      <c r="B36" s="32" t="s">
        <v>77</v>
      </c>
      <c r="C36" s="25">
        <v>0</v>
      </c>
      <c r="D36" s="32"/>
      <c r="E36" s="25">
        <v>0</v>
      </c>
      <c r="F36" s="25">
        <f t="shared" si="3"/>
        <v>0</v>
      </c>
      <c r="G36" s="25">
        <f t="shared" si="2"/>
        <v>0</v>
      </c>
      <c r="H36" s="25">
        <f t="shared" si="1"/>
        <v>0</v>
      </c>
    </row>
    <row r="37" spans="1:8" ht="15.75" hidden="1">
      <c r="A37" s="23">
        <v>2252</v>
      </c>
      <c r="B37" s="32" t="s">
        <v>7</v>
      </c>
      <c r="C37" s="25"/>
      <c r="D37" s="32"/>
      <c r="E37" s="25"/>
      <c r="F37" s="25">
        <f t="shared" si="3"/>
        <v>0</v>
      </c>
      <c r="G37" s="25">
        <f t="shared" si="2"/>
        <v>0</v>
      </c>
      <c r="H37" s="25">
        <f t="shared" si="1"/>
        <v>0</v>
      </c>
    </row>
    <row r="38" spans="1:8" ht="15.75" hidden="1">
      <c r="A38" s="23">
        <v>2259</v>
      </c>
      <c r="B38" s="32" t="s">
        <v>8</v>
      </c>
      <c r="C38" s="25"/>
      <c r="D38" s="32"/>
      <c r="E38" s="25"/>
      <c r="F38" s="25">
        <f t="shared" si="3"/>
        <v>0</v>
      </c>
      <c r="G38" s="25">
        <f t="shared" si="2"/>
        <v>0</v>
      </c>
      <c r="H38" s="25">
        <f t="shared" si="1"/>
        <v>0</v>
      </c>
    </row>
    <row r="39" spans="1:8" ht="15.75" hidden="1">
      <c r="A39" s="23">
        <v>2261</v>
      </c>
      <c r="B39" s="32" t="s">
        <v>14</v>
      </c>
      <c r="C39" s="25">
        <v>0</v>
      </c>
      <c r="D39" s="32"/>
      <c r="E39" s="25">
        <v>0</v>
      </c>
      <c r="F39" s="25">
        <f t="shared" si="3"/>
        <v>0</v>
      </c>
      <c r="G39" s="25">
        <f t="shared" si="2"/>
        <v>0</v>
      </c>
      <c r="H39" s="25">
        <f t="shared" si="1"/>
        <v>0</v>
      </c>
    </row>
    <row r="40" spans="1:8" ht="15.75" hidden="1">
      <c r="A40" s="23">
        <v>2262</v>
      </c>
      <c r="B40" s="32" t="s">
        <v>15</v>
      </c>
      <c r="C40" s="25">
        <v>0</v>
      </c>
      <c r="D40" s="32"/>
      <c r="E40" s="25">
        <v>0</v>
      </c>
      <c r="F40" s="25">
        <f t="shared" si="3"/>
        <v>0</v>
      </c>
      <c r="G40" s="25">
        <f t="shared" si="2"/>
        <v>0</v>
      </c>
      <c r="H40" s="25">
        <f t="shared" si="1"/>
        <v>0</v>
      </c>
    </row>
    <row r="41" spans="1:8" ht="15.75" hidden="1">
      <c r="A41" s="23">
        <v>2263</v>
      </c>
      <c r="B41" s="32" t="s">
        <v>16</v>
      </c>
      <c r="C41" s="25">
        <v>0</v>
      </c>
      <c r="D41" s="32"/>
      <c r="E41" s="25">
        <v>0</v>
      </c>
      <c r="F41" s="25">
        <f t="shared" si="3"/>
        <v>0</v>
      </c>
      <c r="G41" s="25">
        <f t="shared" si="2"/>
        <v>0</v>
      </c>
      <c r="H41" s="25">
        <f t="shared" si="1"/>
        <v>0</v>
      </c>
    </row>
    <row r="42" spans="1:8" ht="15.75" hidden="1">
      <c r="A42" s="23">
        <v>2264</v>
      </c>
      <c r="B42" s="32" t="s">
        <v>17</v>
      </c>
      <c r="C42" s="25">
        <v>0</v>
      </c>
      <c r="D42" s="32"/>
      <c r="E42" s="25">
        <v>0</v>
      </c>
      <c r="F42" s="25">
        <f t="shared" si="3"/>
        <v>0</v>
      </c>
      <c r="G42" s="25">
        <f t="shared" si="2"/>
        <v>0</v>
      </c>
      <c r="H42" s="25">
        <f t="shared" si="1"/>
        <v>0</v>
      </c>
    </row>
    <row r="43" spans="1:8" ht="15.75" hidden="1">
      <c r="A43" s="23">
        <v>2279</v>
      </c>
      <c r="B43" s="32" t="s">
        <v>18</v>
      </c>
      <c r="C43" s="25">
        <v>0</v>
      </c>
      <c r="D43" s="32"/>
      <c r="E43" s="25">
        <v>0</v>
      </c>
      <c r="F43" s="25">
        <f t="shared" si="3"/>
        <v>0</v>
      </c>
      <c r="G43" s="25">
        <f t="shared" si="2"/>
        <v>0</v>
      </c>
      <c r="H43" s="25">
        <f t="shared" si="1"/>
        <v>0</v>
      </c>
    </row>
    <row r="44" spans="1:8" ht="15.75" hidden="1">
      <c r="A44" s="23">
        <v>2311</v>
      </c>
      <c r="B44" s="32" t="s">
        <v>19</v>
      </c>
      <c r="C44" s="25">
        <v>0</v>
      </c>
      <c r="D44" s="32"/>
      <c r="E44" s="25">
        <v>0</v>
      </c>
      <c r="F44" s="25">
        <f t="shared" si="3"/>
        <v>0</v>
      </c>
      <c r="G44" s="25">
        <f t="shared" si="2"/>
        <v>0</v>
      </c>
      <c r="H44" s="25">
        <f t="shared" si="1"/>
        <v>0</v>
      </c>
    </row>
    <row r="45" spans="1:8" ht="15.75" hidden="1">
      <c r="A45" s="23">
        <v>2312</v>
      </c>
      <c r="B45" s="32" t="s">
        <v>20</v>
      </c>
      <c r="C45" s="25">
        <v>0</v>
      </c>
      <c r="D45" s="32"/>
      <c r="E45" s="25">
        <v>0</v>
      </c>
      <c r="F45" s="25">
        <f t="shared" si="3"/>
        <v>0</v>
      </c>
      <c r="G45" s="25">
        <f t="shared" si="2"/>
        <v>0</v>
      </c>
      <c r="H45" s="25">
        <f t="shared" si="1"/>
        <v>0</v>
      </c>
    </row>
    <row r="46" spans="1:8" ht="15.75" hidden="1">
      <c r="A46" s="23">
        <v>2321</v>
      </c>
      <c r="B46" s="32" t="s">
        <v>21</v>
      </c>
      <c r="C46" s="25">
        <v>0</v>
      </c>
      <c r="D46" s="32"/>
      <c r="E46" s="25">
        <v>0</v>
      </c>
      <c r="F46" s="25">
        <f t="shared" si="3"/>
        <v>0</v>
      </c>
      <c r="G46" s="25">
        <f t="shared" si="2"/>
        <v>0</v>
      </c>
      <c r="H46" s="25">
        <f t="shared" si="1"/>
        <v>0</v>
      </c>
    </row>
    <row r="47" spans="1:8" ht="15.75" hidden="1">
      <c r="A47" s="23">
        <v>2322</v>
      </c>
      <c r="B47" s="32" t="s">
        <v>22</v>
      </c>
      <c r="C47" s="25">
        <v>0</v>
      </c>
      <c r="D47" s="32"/>
      <c r="E47" s="25">
        <v>0</v>
      </c>
      <c r="F47" s="25">
        <f t="shared" si="3"/>
        <v>0</v>
      </c>
      <c r="G47" s="25">
        <f t="shared" si="2"/>
        <v>0</v>
      </c>
      <c r="H47" s="25">
        <f t="shared" si="1"/>
        <v>0</v>
      </c>
    </row>
    <row r="48" spans="1:8" ht="15.75" hidden="1">
      <c r="A48" s="23">
        <v>2341</v>
      </c>
      <c r="B48" s="32" t="s">
        <v>23</v>
      </c>
      <c r="C48" s="25">
        <v>0</v>
      </c>
      <c r="D48" s="32"/>
      <c r="E48" s="25">
        <v>0</v>
      </c>
      <c r="F48" s="25">
        <f t="shared" si="3"/>
        <v>0</v>
      </c>
      <c r="G48" s="25">
        <f t="shared" si="2"/>
        <v>0</v>
      </c>
      <c r="H48" s="25">
        <f t="shared" si="1"/>
        <v>0</v>
      </c>
    </row>
    <row r="49" spans="1:8" ht="15.75" hidden="1">
      <c r="A49" s="23">
        <v>2344</v>
      </c>
      <c r="B49" s="32" t="s">
        <v>24</v>
      </c>
      <c r="C49" s="25">
        <v>0</v>
      </c>
      <c r="D49" s="32"/>
      <c r="E49" s="25">
        <v>0</v>
      </c>
      <c r="F49" s="25">
        <f t="shared" si="3"/>
        <v>0</v>
      </c>
      <c r="G49" s="25">
        <f t="shared" si="2"/>
        <v>0</v>
      </c>
      <c r="H49" s="25">
        <f t="shared" si="1"/>
        <v>0</v>
      </c>
    </row>
    <row r="50" spans="1:8" ht="15.75" hidden="1">
      <c r="A50" s="23">
        <v>2350</v>
      </c>
      <c r="B50" s="32" t="s">
        <v>25</v>
      </c>
      <c r="C50" s="25">
        <v>0</v>
      </c>
      <c r="D50" s="32"/>
      <c r="E50" s="25">
        <v>0</v>
      </c>
      <c r="F50" s="25">
        <f t="shared" si="3"/>
        <v>0</v>
      </c>
      <c r="G50" s="25">
        <f t="shared" si="2"/>
        <v>0</v>
      </c>
      <c r="H50" s="25">
        <f t="shared" si="1"/>
        <v>0</v>
      </c>
    </row>
    <row r="51" spans="1:8" ht="15.75" hidden="1">
      <c r="A51" s="23">
        <v>2361</v>
      </c>
      <c r="B51" s="32" t="s">
        <v>26</v>
      </c>
      <c r="C51" s="25">
        <v>0</v>
      </c>
      <c r="D51" s="32"/>
      <c r="E51" s="25">
        <v>0</v>
      </c>
      <c r="F51" s="25">
        <f t="shared" si="3"/>
        <v>0</v>
      </c>
      <c r="G51" s="25">
        <f t="shared" si="2"/>
        <v>0</v>
      </c>
      <c r="H51" s="25">
        <f t="shared" si="1"/>
        <v>0</v>
      </c>
    </row>
    <row r="52" spans="1:8" ht="15.75" hidden="1">
      <c r="A52" s="23">
        <v>2362</v>
      </c>
      <c r="B52" s="32" t="s">
        <v>27</v>
      </c>
      <c r="C52" s="25">
        <v>0</v>
      </c>
      <c r="D52" s="32"/>
      <c r="E52" s="25">
        <v>0</v>
      </c>
      <c r="F52" s="25">
        <f t="shared" si="3"/>
        <v>0</v>
      </c>
      <c r="G52" s="25">
        <f t="shared" si="2"/>
        <v>0</v>
      </c>
      <c r="H52" s="25">
        <f t="shared" si="1"/>
        <v>0</v>
      </c>
    </row>
    <row r="53" spans="1:8" ht="15.75" hidden="1">
      <c r="A53" s="23">
        <v>2363</v>
      </c>
      <c r="B53" s="32" t="s">
        <v>28</v>
      </c>
      <c r="C53" s="25">
        <v>0</v>
      </c>
      <c r="D53" s="32"/>
      <c r="E53" s="25">
        <v>0</v>
      </c>
      <c r="F53" s="25">
        <f t="shared" si="3"/>
        <v>0</v>
      </c>
      <c r="G53" s="25">
        <f t="shared" si="2"/>
        <v>0</v>
      </c>
      <c r="H53" s="25">
        <f t="shared" si="1"/>
        <v>0</v>
      </c>
    </row>
    <row r="54" spans="1:8" ht="15.75" hidden="1">
      <c r="A54" s="23">
        <v>2370</v>
      </c>
      <c r="B54" s="32" t="s">
        <v>29</v>
      </c>
      <c r="C54" s="25">
        <v>0</v>
      </c>
      <c r="D54" s="32"/>
      <c r="E54" s="25">
        <v>0</v>
      </c>
      <c r="F54" s="25">
        <f t="shared" si="3"/>
        <v>0</v>
      </c>
      <c r="G54" s="25">
        <f t="shared" si="2"/>
        <v>0</v>
      </c>
      <c r="H54" s="25">
        <f t="shared" si="1"/>
        <v>0</v>
      </c>
    </row>
    <row r="55" spans="1:8" ht="15.75" hidden="1">
      <c r="A55" s="23">
        <v>2400</v>
      </c>
      <c r="B55" s="32" t="s">
        <v>43</v>
      </c>
      <c r="C55" s="25">
        <v>0</v>
      </c>
      <c r="D55" s="32"/>
      <c r="E55" s="25">
        <v>0</v>
      </c>
      <c r="F55" s="25">
        <f t="shared" si="3"/>
        <v>0</v>
      </c>
      <c r="G55" s="25">
        <f t="shared" si="2"/>
        <v>0</v>
      </c>
      <c r="H55" s="25">
        <f t="shared" si="1"/>
        <v>0</v>
      </c>
    </row>
    <row r="56" spans="1:8" ht="15.75" hidden="1">
      <c r="A56" s="23">
        <v>2512</v>
      </c>
      <c r="B56" s="32" t="s">
        <v>30</v>
      </c>
      <c r="C56" s="25">
        <v>0</v>
      </c>
      <c r="D56" s="32"/>
      <c r="E56" s="25">
        <v>0</v>
      </c>
      <c r="F56" s="25">
        <f t="shared" si="3"/>
        <v>0</v>
      </c>
      <c r="G56" s="25">
        <f t="shared" si="2"/>
        <v>0</v>
      </c>
      <c r="H56" s="25">
        <f t="shared" si="1"/>
        <v>0</v>
      </c>
    </row>
    <row r="57" spans="1:8" ht="15.75" hidden="1">
      <c r="A57" s="23">
        <v>2513</v>
      </c>
      <c r="B57" s="32" t="s">
        <v>31</v>
      </c>
      <c r="C57" s="25">
        <v>0</v>
      </c>
      <c r="D57" s="32"/>
      <c r="E57" s="25">
        <v>0</v>
      </c>
      <c r="F57" s="25">
        <f t="shared" si="3"/>
        <v>0</v>
      </c>
      <c r="G57" s="25">
        <f t="shared" si="2"/>
        <v>0</v>
      </c>
      <c r="H57" s="25">
        <f t="shared" si="1"/>
        <v>0</v>
      </c>
    </row>
    <row r="58" spans="1:8" ht="15.75" hidden="1">
      <c r="A58" s="23">
        <v>2515</v>
      </c>
      <c r="B58" s="32" t="s">
        <v>78</v>
      </c>
      <c r="C58" s="25">
        <v>0</v>
      </c>
      <c r="D58" s="32"/>
      <c r="E58" s="25">
        <v>0</v>
      </c>
      <c r="F58" s="25">
        <f t="shared" si="3"/>
        <v>0</v>
      </c>
      <c r="G58" s="25">
        <f t="shared" si="2"/>
        <v>0</v>
      </c>
      <c r="H58" s="25">
        <f t="shared" si="1"/>
        <v>0</v>
      </c>
    </row>
    <row r="59" spans="1:8" ht="15.75" hidden="1">
      <c r="A59" s="23">
        <v>2519</v>
      </c>
      <c r="B59" s="32" t="s">
        <v>34</v>
      </c>
      <c r="C59" s="25">
        <v>0</v>
      </c>
      <c r="D59" s="32"/>
      <c r="E59" s="25">
        <v>0</v>
      </c>
      <c r="F59" s="25">
        <f t="shared" si="3"/>
        <v>0</v>
      </c>
      <c r="G59" s="25">
        <f t="shared" si="2"/>
        <v>0</v>
      </c>
      <c r="H59" s="25">
        <f t="shared" si="1"/>
        <v>0</v>
      </c>
    </row>
    <row r="60" spans="1:8" ht="15.75" hidden="1">
      <c r="A60" s="23">
        <v>6240</v>
      </c>
      <c r="B60" s="32"/>
      <c r="C60" s="25">
        <v>0</v>
      </c>
      <c r="D60" s="32"/>
      <c r="E60" s="25">
        <v>0</v>
      </c>
      <c r="F60" s="25">
        <f t="shared" si="3"/>
        <v>0</v>
      </c>
      <c r="G60" s="25">
        <f t="shared" si="2"/>
        <v>0</v>
      </c>
      <c r="H60" s="25">
        <f t="shared" si="1"/>
        <v>0</v>
      </c>
    </row>
    <row r="61" spans="1:8" ht="15.75" hidden="1">
      <c r="A61" s="23">
        <v>6290</v>
      </c>
      <c r="B61" s="32"/>
      <c r="C61" s="25">
        <v>0</v>
      </c>
      <c r="D61" s="32"/>
      <c r="E61" s="25">
        <v>0</v>
      </c>
      <c r="F61" s="25">
        <f t="shared" si="3"/>
        <v>0</v>
      </c>
      <c r="G61" s="25">
        <f t="shared" si="2"/>
        <v>0</v>
      </c>
      <c r="H61" s="25">
        <f t="shared" si="1"/>
        <v>0</v>
      </c>
    </row>
    <row r="62" spans="1:8" ht="15.75" hidden="1">
      <c r="A62" s="23">
        <v>5121</v>
      </c>
      <c r="B62" s="32" t="s">
        <v>32</v>
      </c>
      <c r="C62" s="25">
        <v>0</v>
      </c>
      <c r="D62" s="32"/>
      <c r="E62" s="25">
        <v>0</v>
      </c>
      <c r="F62" s="25">
        <f t="shared" si="3"/>
        <v>0</v>
      </c>
      <c r="G62" s="25">
        <f t="shared" si="2"/>
        <v>0</v>
      </c>
      <c r="H62" s="25">
        <f t="shared" si="1"/>
        <v>0</v>
      </c>
    </row>
    <row r="63" spans="1:8" ht="15.75" hidden="1">
      <c r="A63" s="23">
        <v>5232</v>
      </c>
      <c r="B63" s="32" t="s">
        <v>33</v>
      </c>
      <c r="C63" s="25">
        <v>0</v>
      </c>
      <c r="D63" s="32"/>
      <c r="E63" s="25">
        <v>0</v>
      </c>
      <c r="F63" s="25">
        <f t="shared" si="3"/>
        <v>0</v>
      </c>
      <c r="G63" s="25">
        <f t="shared" si="2"/>
        <v>0</v>
      </c>
      <c r="H63" s="25">
        <f t="shared" si="1"/>
        <v>0</v>
      </c>
    </row>
    <row r="64" spans="1:8" ht="15.75" hidden="1">
      <c r="A64" s="23">
        <v>5238</v>
      </c>
      <c r="B64" s="32" t="s">
        <v>35</v>
      </c>
      <c r="C64" s="25">
        <v>0</v>
      </c>
      <c r="D64" s="32"/>
      <c r="E64" s="25">
        <v>0</v>
      </c>
      <c r="F64" s="25">
        <f t="shared" si="3"/>
        <v>0</v>
      </c>
      <c r="G64" s="25">
        <f t="shared" si="2"/>
        <v>0</v>
      </c>
      <c r="H64" s="25">
        <f t="shared" si="1"/>
        <v>0</v>
      </c>
    </row>
    <row r="65" spans="1:8" ht="15.75" hidden="1">
      <c r="A65" s="23">
        <v>5240</v>
      </c>
      <c r="B65" s="32" t="s">
        <v>36</v>
      </c>
      <c r="C65" s="25">
        <v>0</v>
      </c>
      <c r="D65" s="32"/>
      <c r="E65" s="25">
        <v>0</v>
      </c>
      <c r="F65" s="25">
        <f>E65/7223*40</f>
        <v>0</v>
      </c>
      <c r="G65" s="25">
        <f t="shared" si="2"/>
        <v>0</v>
      </c>
      <c r="H65" s="25">
        <f t="shared" si="1"/>
        <v>0</v>
      </c>
    </row>
    <row r="66" spans="1:8" ht="15.75" hidden="1">
      <c r="A66" s="23">
        <v>5250</v>
      </c>
      <c r="B66" s="32" t="s">
        <v>37</v>
      </c>
      <c r="C66" s="25"/>
      <c r="D66" s="32"/>
      <c r="E66" s="25"/>
      <c r="F66" s="25">
        <f>E66/7223*40</f>
        <v>0</v>
      </c>
      <c r="G66" s="25">
        <f t="shared" si="2"/>
        <v>0</v>
      </c>
      <c r="H66" s="25">
        <f>G66*10</f>
        <v>0</v>
      </c>
    </row>
    <row r="67" spans="1:8" ht="15.75">
      <c r="A67" s="29"/>
      <c r="B67" s="48" t="s">
        <v>79</v>
      </c>
      <c r="C67" s="28">
        <f aca="true" t="shared" si="4" ref="C67:H67">SUM(C23:C66)</f>
        <v>1.33</v>
      </c>
      <c r="D67" s="28">
        <f t="shared" si="4"/>
        <v>1.89</v>
      </c>
      <c r="E67" s="28">
        <f t="shared" si="4"/>
        <v>0.94</v>
      </c>
      <c r="F67" s="28">
        <f t="shared" si="4"/>
        <v>0.94</v>
      </c>
      <c r="G67" s="28">
        <f t="shared" si="4"/>
        <v>0.94</v>
      </c>
      <c r="H67" s="28">
        <f t="shared" si="4"/>
        <v>9.4</v>
      </c>
    </row>
    <row r="68" spans="1:8" ht="15.75">
      <c r="A68" s="29"/>
      <c r="B68" s="48" t="s">
        <v>80</v>
      </c>
      <c r="C68" s="28">
        <f aca="true" t="shared" si="5" ref="C68:H68">C67+C21</f>
        <v>3.92</v>
      </c>
      <c r="D68" s="28">
        <f t="shared" si="5"/>
        <v>5.58</v>
      </c>
      <c r="E68" s="28">
        <f t="shared" si="5"/>
        <v>2.79</v>
      </c>
      <c r="F68" s="28">
        <f t="shared" si="5"/>
        <v>2.84</v>
      </c>
      <c r="G68" s="28">
        <f t="shared" si="5"/>
        <v>3.18</v>
      </c>
      <c r="H68" s="28">
        <f t="shared" si="5"/>
        <v>33</v>
      </c>
    </row>
    <row r="69" spans="1:8" ht="15.75">
      <c r="A69" s="49"/>
      <c r="B69" s="50"/>
      <c r="C69" s="41"/>
      <c r="D69" s="50"/>
      <c r="E69" s="41"/>
      <c r="F69" s="41"/>
      <c r="G69" s="41"/>
      <c r="H69" s="41"/>
    </row>
    <row r="70" spans="1:8" ht="15" customHeight="1">
      <c r="A70" s="214" t="s">
        <v>45</v>
      </c>
      <c r="B70" s="215"/>
      <c r="C70" s="69">
        <v>2</v>
      </c>
      <c r="D70" s="74">
        <v>2</v>
      </c>
      <c r="E70" s="42">
        <v>1</v>
      </c>
      <c r="F70" s="42">
        <v>1</v>
      </c>
      <c r="G70" s="42">
        <v>1</v>
      </c>
      <c r="H70" s="162">
        <v>10</v>
      </c>
    </row>
    <row r="71" spans="1:8" ht="15" customHeight="1">
      <c r="A71" s="214" t="s">
        <v>91</v>
      </c>
      <c r="B71" s="215"/>
      <c r="C71" s="142">
        <f>C68/C70</f>
        <v>1.96</v>
      </c>
      <c r="D71" s="158">
        <f>ROUND(D68/D70,2)</f>
        <v>2.79</v>
      </c>
      <c r="E71" s="28">
        <f>ROUND(E68/E70,2)</f>
        <v>2.79</v>
      </c>
      <c r="F71" s="28">
        <f>ROUND(F68/F70,2)</f>
        <v>2.84</v>
      </c>
      <c r="G71" s="28">
        <f>ROUND(G68/G70,2)</f>
        <v>3.18</v>
      </c>
      <c r="H71" s="164">
        <f>ROUND(H68/H70,2)</f>
        <v>3.3</v>
      </c>
    </row>
    <row r="72" spans="1:8" ht="15.75">
      <c r="A72" s="155"/>
      <c r="B72" s="224"/>
      <c r="C72" s="224"/>
      <c r="D72" s="224"/>
      <c r="E72" s="224"/>
      <c r="F72" s="69"/>
      <c r="G72" s="69"/>
      <c r="H72" s="69"/>
    </row>
    <row r="73" spans="1:8" ht="15" customHeight="1">
      <c r="A73" s="214" t="s">
        <v>46</v>
      </c>
      <c r="B73" s="215"/>
      <c r="C73" s="73"/>
      <c r="D73" s="73"/>
      <c r="E73" s="44"/>
      <c r="F73" s="44"/>
      <c r="G73" s="44"/>
      <c r="H73" s="44"/>
    </row>
    <row r="74" spans="1:8" ht="15" customHeight="1">
      <c r="A74" s="214" t="s">
        <v>55</v>
      </c>
      <c r="B74" s="215"/>
      <c r="C74" s="73"/>
      <c r="D74" s="73"/>
      <c r="E74" s="44"/>
      <c r="F74" s="44"/>
      <c r="G74" s="44"/>
      <c r="H74" s="44"/>
    </row>
    <row r="75" spans="1:8" ht="15.75">
      <c r="A75" s="136"/>
      <c r="B75" s="136"/>
      <c r="C75" s="136"/>
      <c r="D75" s="136"/>
      <c r="E75" s="136"/>
      <c r="F75" s="136"/>
      <c r="G75" s="136"/>
      <c r="H75" s="136"/>
    </row>
    <row r="76" spans="1:8" ht="15.75">
      <c r="A76" s="136" t="s">
        <v>47</v>
      </c>
      <c r="B76" s="136"/>
      <c r="C76" s="136"/>
      <c r="D76" s="136"/>
      <c r="E76" s="136"/>
      <c r="F76" s="136"/>
      <c r="G76" s="136"/>
      <c r="H76" s="136"/>
    </row>
    <row r="77" spans="1:8" ht="15.75">
      <c r="A77" s="136"/>
      <c r="B77" s="136"/>
      <c r="C77" s="136"/>
      <c r="D77" s="136"/>
      <c r="E77" s="136"/>
      <c r="F77" s="136"/>
      <c r="G77" s="136"/>
      <c r="H77" s="136"/>
    </row>
    <row r="78" spans="1:8" ht="15.75">
      <c r="A78" s="136"/>
      <c r="B78" s="137"/>
      <c r="C78" s="137"/>
      <c r="D78" s="137"/>
      <c r="E78" s="136"/>
      <c r="F78" s="136"/>
      <c r="G78" s="136"/>
      <c r="H78" s="136"/>
    </row>
    <row r="79" spans="1:8" ht="15.75">
      <c r="A79" s="136"/>
      <c r="B79" s="138"/>
      <c r="C79" s="138"/>
      <c r="D79" s="138"/>
      <c r="E79" s="136"/>
      <c r="F79" s="136"/>
      <c r="G79" s="136"/>
      <c r="H79" s="136"/>
    </row>
    <row r="80" spans="6:8" ht="14.25">
      <c r="F80" s="6"/>
      <c r="G80" s="6"/>
      <c r="H80" s="6"/>
    </row>
  </sheetData>
  <sheetProtection/>
  <mergeCells count="12">
    <mergeCell ref="A74:B74"/>
    <mergeCell ref="B8:E8"/>
    <mergeCell ref="B9:E9"/>
    <mergeCell ref="B72:E72"/>
    <mergeCell ref="A70:B70"/>
    <mergeCell ref="A71:B71"/>
    <mergeCell ref="A73:B73"/>
    <mergeCell ref="B7:E7"/>
    <mergeCell ref="B4:E4"/>
    <mergeCell ref="A5:E5"/>
    <mergeCell ref="A3:H3"/>
    <mergeCell ref="A6:E6"/>
  </mergeCells>
  <printOptions/>
  <pageMargins left="0.7" right="0.7" top="0.75" bottom="0.75" header="0.3" footer="0.3"/>
  <pageSetup fitToHeight="0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83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1.57421875" style="1" customWidth="1"/>
    <col min="2" max="2" width="99.7109375" style="1" customWidth="1"/>
    <col min="3" max="3" width="16.7109375" style="1" hidden="1" customWidth="1"/>
    <col min="4" max="4" width="11.00390625" style="1" hidden="1" customWidth="1"/>
    <col min="5" max="5" width="21.57421875" style="1" hidden="1" customWidth="1"/>
    <col min="6" max="7" width="21.57421875" style="4" hidden="1" customWidth="1"/>
    <col min="8" max="8" width="20.8515625" style="4" hidden="1" customWidth="1"/>
    <col min="9" max="9" width="29.140625" style="0" customWidth="1"/>
    <col min="10" max="10" width="11.140625" style="4" customWidth="1"/>
  </cols>
  <sheetData>
    <row r="1" spans="1:10" ht="15.75">
      <c r="A1" s="4"/>
      <c r="B1" s="108"/>
      <c r="C1" s="108"/>
      <c r="D1" s="108"/>
      <c r="E1" s="10"/>
      <c r="F1" s="10"/>
      <c r="G1" s="10"/>
      <c r="H1" s="9" t="s">
        <v>204</v>
      </c>
      <c r="I1" s="9"/>
      <c r="J1" s="9"/>
    </row>
    <row r="2" spans="1:10" ht="15">
      <c r="A2" s="4"/>
      <c r="B2" s="2"/>
      <c r="C2" s="2"/>
      <c r="D2" s="2"/>
      <c r="E2" s="65"/>
      <c r="F2" s="2"/>
      <c r="G2" s="2"/>
      <c r="H2" s="2"/>
      <c r="J2" s="2"/>
    </row>
    <row r="3" spans="1:10" ht="18.75">
      <c r="A3" s="225" t="s">
        <v>6</v>
      </c>
      <c r="B3" s="225"/>
      <c r="C3" s="225"/>
      <c r="D3" s="225"/>
      <c r="E3" s="225"/>
      <c r="F3" s="225"/>
      <c r="G3" s="225"/>
      <c r="H3" s="225"/>
      <c r="J3" s="70"/>
    </row>
    <row r="4" spans="1:10" ht="15">
      <c r="A4" s="4"/>
      <c r="B4" s="218"/>
      <c r="C4" s="218"/>
      <c r="D4" s="218"/>
      <c r="E4" s="218"/>
      <c r="F4" s="2"/>
      <c r="G4" s="2"/>
      <c r="H4" s="2"/>
      <c r="J4" s="2"/>
    </row>
    <row r="5" spans="1:10" ht="15">
      <c r="A5" s="226" t="s">
        <v>1</v>
      </c>
      <c r="B5" s="226"/>
      <c r="C5" s="226"/>
      <c r="D5" s="226"/>
      <c r="E5" s="226"/>
      <c r="F5" s="2"/>
      <c r="G5" s="2"/>
      <c r="H5" s="2"/>
      <c r="J5" s="130"/>
    </row>
    <row r="6" spans="1:10" ht="15">
      <c r="A6" s="226" t="s">
        <v>0</v>
      </c>
      <c r="B6" s="226"/>
      <c r="C6" s="226"/>
      <c r="D6" s="226"/>
      <c r="E6" s="226"/>
      <c r="F6" s="2"/>
      <c r="G6" s="2"/>
      <c r="H6" s="2"/>
      <c r="J6" s="130"/>
    </row>
    <row r="7" spans="1:10" ht="15">
      <c r="A7" s="5"/>
      <c r="B7" s="226" t="s">
        <v>44</v>
      </c>
      <c r="C7" s="226"/>
      <c r="D7" s="226"/>
      <c r="E7" s="226"/>
      <c r="F7" s="2"/>
      <c r="G7" s="2"/>
      <c r="H7" s="2"/>
      <c r="J7" s="130"/>
    </row>
    <row r="8" spans="1:10" ht="15">
      <c r="A8" s="5"/>
      <c r="B8" s="226" t="s">
        <v>85</v>
      </c>
      <c r="C8" s="226"/>
      <c r="D8" s="226"/>
      <c r="E8" s="226"/>
      <c r="F8" s="2"/>
      <c r="G8" s="2"/>
      <c r="H8" s="2"/>
      <c r="J8" s="130"/>
    </row>
    <row r="9" spans="1:10" ht="15">
      <c r="A9" s="5"/>
      <c r="B9" s="221" t="s">
        <v>227</v>
      </c>
      <c r="C9" s="221"/>
      <c r="D9" s="221"/>
      <c r="E9" s="221"/>
      <c r="F9" s="221"/>
      <c r="G9" s="221"/>
      <c r="H9" s="221"/>
      <c r="J9" s="130"/>
    </row>
    <row r="10" spans="1:10" ht="15">
      <c r="A10" s="5" t="s">
        <v>2</v>
      </c>
      <c r="B10" s="5" t="s">
        <v>205</v>
      </c>
      <c r="C10" s="5"/>
      <c r="D10" s="5"/>
      <c r="E10" s="5"/>
      <c r="F10" s="2"/>
      <c r="G10" s="2"/>
      <c r="H10" s="2"/>
      <c r="J10" s="130"/>
    </row>
    <row r="11" spans="1:10" ht="15" hidden="1">
      <c r="A11" s="4"/>
      <c r="B11" s="91"/>
      <c r="C11" s="91"/>
      <c r="D11" s="91"/>
      <c r="E11" s="64"/>
      <c r="F11" s="2"/>
      <c r="G11" s="2"/>
      <c r="H11" s="2"/>
      <c r="J11" s="130"/>
    </row>
    <row r="12" spans="1:10" ht="15.75" hidden="1">
      <c r="A12" s="4"/>
      <c r="B12" s="91"/>
      <c r="C12" s="91"/>
      <c r="D12" s="91"/>
      <c r="E12" s="64"/>
      <c r="F12" s="2"/>
      <c r="G12" s="2"/>
      <c r="H12" s="2"/>
      <c r="J12" s="140"/>
    </row>
    <row r="13" spans="1:10" ht="78.75">
      <c r="A13" s="59" t="s">
        <v>3</v>
      </c>
      <c r="B13" s="59" t="s">
        <v>4</v>
      </c>
      <c r="C13" s="59"/>
      <c r="D13" s="59"/>
      <c r="E13" s="59"/>
      <c r="F13" s="59"/>
      <c r="G13" s="59"/>
      <c r="H13" s="59" t="s">
        <v>5</v>
      </c>
      <c r="I13" s="59" t="s">
        <v>5</v>
      </c>
      <c r="J13" s="141"/>
    </row>
    <row r="14" spans="1:10" ht="15.75">
      <c r="A14" s="18">
        <v>1</v>
      </c>
      <c r="B14" s="19">
        <v>2</v>
      </c>
      <c r="C14" s="19"/>
      <c r="D14" s="19"/>
      <c r="E14" s="18">
        <v>3</v>
      </c>
      <c r="F14" s="19"/>
      <c r="G14" s="19"/>
      <c r="H14" s="19"/>
      <c r="I14" s="19">
        <v>3</v>
      </c>
      <c r="J14" s="50"/>
    </row>
    <row r="15" spans="1:10" ht="15.75">
      <c r="A15" s="20"/>
      <c r="B15" s="45" t="s">
        <v>71</v>
      </c>
      <c r="C15" s="45"/>
      <c r="D15" s="45"/>
      <c r="E15" s="97"/>
      <c r="F15" s="23"/>
      <c r="G15" s="23"/>
      <c r="H15" s="23"/>
      <c r="I15" s="81"/>
      <c r="J15" s="41"/>
    </row>
    <row r="16" spans="1:10" ht="15.75">
      <c r="A16" s="23">
        <v>1100</v>
      </c>
      <c r="B16" s="23" t="s">
        <v>72</v>
      </c>
      <c r="C16" s="25">
        <v>5182.61</v>
      </c>
      <c r="D16" s="68">
        <f aca="true" t="shared" si="0" ref="D16:D21">ROUND(C16/0.702804,2)</f>
        <v>7374.19</v>
      </c>
      <c r="E16" s="25">
        <f aca="true" t="shared" si="1" ref="E16:E21">ROUND(D16/9665*850,2)</f>
        <v>648.53</v>
      </c>
      <c r="F16" s="25">
        <v>676.18</v>
      </c>
      <c r="G16" s="25">
        <v>858.75</v>
      </c>
      <c r="H16" s="25">
        <f>G16/850*280</f>
        <v>282.88235294117646</v>
      </c>
      <c r="I16" s="80">
        <f>H16/280*980</f>
        <v>990.0882352941176</v>
      </c>
      <c r="J16" s="41"/>
    </row>
    <row r="17" spans="1:10" ht="15.75" customHeight="1">
      <c r="A17" s="23">
        <v>1200</v>
      </c>
      <c r="B17" s="32" t="s">
        <v>73</v>
      </c>
      <c r="C17" s="47">
        <v>1222.58</v>
      </c>
      <c r="D17" s="68">
        <f t="shared" si="0"/>
        <v>1739.57</v>
      </c>
      <c r="E17" s="25">
        <f t="shared" si="1"/>
        <v>152.99</v>
      </c>
      <c r="F17" s="25">
        <v>159.51</v>
      </c>
      <c r="G17" s="25">
        <v>206.87</v>
      </c>
      <c r="H17" s="25">
        <f>G17/850*280</f>
        <v>68.14541176470588</v>
      </c>
      <c r="I17" s="80">
        <f aca="true" t="shared" si="2" ref="I17:I69">H17/280*980</f>
        <v>238.50894117647059</v>
      </c>
      <c r="J17" s="41"/>
    </row>
    <row r="18" spans="1:10" ht="15.75" customHeight="1">
      <c r="A18" s="23">
        <v>2222</v>
      </c>
      <c r="B18" s="32" t="s">
        <v>39</v>
      </c>
      <c r="C18" s="25">
        <v>6378.9</v>
      </c>
      <c r="D18" s="68">
        <f t="shared" si="0"/>
        <v>9076.36</v>
      </c>
      <c r="E18" s="25">
        <f t="shared" si="1"/>
        <v>798.23</v>
      </c>
      <c r="F18" s="25">
        <f aca="true" t="shared" si="3" ref="F18:G21">E18</f>
        <v>798.23</v>
      </c>
      <c r="G18" s="25">
        <f t="shared" si="3"/>
        <v>798.23</v>
      </c>
      <c r="H18" s="25">
        <f>G18/850*280</f>
        <v>262.9463529411765</v>
      </c>
      <c r="I18" s="80">
        <f t="shared" si="2"/>
        <v>920.3122352941177</v>
      </c>
      <c r="J18" s="41"/>
    </row>
    <row r="19" spans="1:10" ht="15.75" customHeight="1">
      <c r="A19" s="23">
        <v>2243</v>
      </c>
      <c r="B19" s="109" t="s">
        <v>103</v>
      </c>
      <c r="C19" s="25">
        <v>3374.26</v>
      </c>
      <c r="D19" s="68">
        <f t="shared" si="0"/>
        <v>4801.14</v>
      </c>
      <c r="E19" s="25">
        <f t="shared" si="1"/>
        <v>422.24</v>
      </c>
      <c r="F19" s="25">
        <f t="shared" si="3"/>
        <v>422.24</v>
      </c>
      <c r="G19" s="25">
        <f t="shared" si="3"/>
        <v>422.24</v>
      </c>
      <c r="H19" s="25">
        <f>G19/850*280+280*0.05</f>
        <v>153.09082352941178</v>
      </c>
      <c r="I19" s="80">
        <f t="shared" si="2"/>
        <v>535.8178823529413</v>
      </c>
      <c r="J19" s="41"/>
    </row>
    <row r="20" spans="1:10" ht="15.75" customHeight="1">
      <c r="A20" s="23">
        <v>2341</v>
      </c>
      <c r="B20" s="32" t="s">
        <v>23</v>
      </c>
      <c r="C20" s="25">
        <v>337.96</v>
      </c>
      <c r="D20" s="68">
        <f t="shared" si="0"/>
        <v>480.87</v>
      </c>
      <c r="E20" s="25">
        <f t="shared" si="1"/>
        <v>42.29</v>
      </c>
      <c r="F20" s="25">
        <f t="shared" si="3"/>
        <v>42.29</v>
      </c>
      <c r="G20" s="25">
        <f t="shared" si="3"/>
        <v>42.29</v>
      </c>
      <c r="H20" s="25">
        <f>G20/850*280</f>
        <v>13.930823529411764</v>
      </c>
      <c r="I20" s="80">
        <f t="shared" si="2"/>
        <v>48.75788235294118</v>
      </c>
      <c r="J20" s="41"/>
    </row>
    <row r="21" spans="1:10" ht="15.75" customHeight="1">
      <c r="A21" s="23">
        <v>2350</v>
      </c>
      <c r="B21" s="32" t="s">
        <v>25</v>
      </c>
      <c r="C21" s="25">
        <v>760.55</v>
      </c>
      <c r="D21" s="68">
        <f t="shared" si="0"/>
        <v>1082.17</v>
      </c>
      <c r="E21" s="25">
        <f t="shared" si="1"/>
        <v>95.17</v>
      </c>
      <c r="F21" s="25">
        <f t="shared" si="3"/>
        <v>95.17</v>
      </c>
      <c r="G21" s="25">
        <f t="shared" si="3"/>
        <v>95.17</v>
      </c>
      <c r="H21" s="25">
        <f>G21/850*280</f>
        <v>31.350117647058823</v>
      </c>
      <c r="I21" s="80">
        <f t="shared" si="2"/>
        <v>109.72541176470588</v>
      </c>
      <c r="J21" s="51"/>
    </row>
    <row r="22" spans="1:10" ht="15.75" customHeight="1">
      <c r="A22" s="23">
        <v>5220</v>
      </c>
      <c r="B22" s="32" t="s">
        <v>229</v>
      </c>
      <c r="C22" s="25"/>
      <c r="D22" s="32"/>
      <c r="E22" s="25"/>
      <c r="F22" s="28"/>
      <c r="G22" s="28"/>
      <c r="H22" s="25">
        <f>280*0.53</f>
        <v>148.4</v>
      </c>
      <c r="I22" s="80">
        <f t="shared" si="2"/>
        <v>519.4</v>
      </c>
      <c r="J22" s="41"/>
    </row>
    <row r="23" spans="1:13" ht="15.75" customHeight="1" hidden="1">
      <c r="A23" s="23"/>
      <c r="B23" s="32"/>
      <c r="C23" s="25"/>
      <c r="D23" s="32"/>
      <c r="E23" s="25"/>
      <c r="F23" s="28"/>
      <c r="G23" s="28"/>
      <c r="H23" s="28"/>
      <c r="I23" s="80">
        <f t="shared" si="2"/>
        <v>0</v>
      </c>
      <c r="M23" s="126"/>
    </row>
    <row r="24" spans="1:9" ht="15.75" customHeight="1" hidden="1">
      <c r="A24" s="23"/>
      <c r="B24" s="23"/>
      <c r="C24" s="25"/>
      <c r="D24" s="23"/>
      <c r="E24" s="25"/>
      <c r="F24" s="25"/>
      <c r="G24" s="25"/>
      <c r="H24" s="25"/>
      <c r="I24" s="80">
        <f t="shared" si="2"/>
        <v>0</v>
      </c>
    </row>
    <row r="25" spans="1:9" ht="15.75" customHeight="1">
      <c r="A25" s="23"/>
      <c r="B25" s="46" t="s">
        <v>74</v>
      </c>
      <c r="C25" s="28">
        <f aca="true" t="shared" si="4" ref="C25:H25">SUM(C16:C24)</f>
        <v>17256.86</v>
      </c>
      <c r="D25" s="28">
        <f t="shared" si="4"/>
        <v>24554.300000000003</v>
      </c>
      <c r="E25" s="28">
        <f t="shared" si="4"/>
        <v>2159.4500000000003</v>
      </c>
      <c r="F25" s="28">
        <f t="shared" si="4"/>
        <v>2193.62</v>
      </c>
      <c r="G25" s="28">
        <f t="shared" si="4"/>
        <v>2423.55</v>
      </c>
      <c r="H25" s="28">
        <f t="shared" si="4"/>
        <v>960.7458823529412</v>
      </c>
      <c r="I25" s="82">
        <f>SUM(I16:I24)</f>
        <v>3362.610588235294</v>
      </c>
    </row>
    <row r="26" spans="1:9" ht="15.75" customHeight="1">
      <c r="A26" s="29"/>
      <c r="B26" s="23" t="s">
        <v>75</v>
      </c>
      <c r="C26" s="25"/>
      <c r="D26" s="23"/>
      <c r="E26" s="25"/>
      <c r="F26" s="25"/>
      <c r="G26" s="25"/>
      <c r="H26" s="25"/>
      <c r="I26" s="81"/>
    </row>
    <row r="27" spans="1:9" ht="15.75" customHeight="1">
      <c r="A27" s="23">
        <v>1100</v>
      </c>
      <c r="B27" s="23" t="s">
        <v>72</v>
      </c>
      <c r="C27" s="25">
        <v>8815.44</v>
      </c>
      <c r="D27" s="68">
        <f aca="true" t="shared" si="5" ref="D27:D68">ROUND(C27/0.702804,2)</f>
        <v>12543.24</v>
      </c>
      <c r="E27" s="25">
        <f aca="true" t="shared" si="6" ref="E27:E68">ROUND(D27/9665*850,2)</f>
        <v>1103.13</v>
      </c>
      <c r="F27" s="25">
        <v>1136.22</v>
      </c>
      <c r="G27" s="25">
        <v>1131.65</v>
      </c>
      <c r="H27" s="25">
        <f aca="true" t="shared" si="7" ref="H27:H69">G27/850*280</f>
        <v>372.7788235294118</v>
      </c>
      <c r="I27" s="80">
        <f t="shared" si="2"/>
        <v>1304.7258823529412</v>
      </c>
    </row>
    <row r="28" spans="1:10" ht="15.75" customHeight="1">
      <c r="A28" s="23">
        <v>1200</v>
      </c>
      <c r="B28" s="32" t="s">
        <v>73</v>
      </c>
      <c r="C28" s="25">
        <v>2079.56</v>
      </c>
      <c r="D28" s="68">
        <f t="shared" si="5"/>
        <v>2958.95</v>
      </c>
      <c r="E28" s="25">
        <f t="shared" si="6"/>
        <v>260.23</v>
      </c>
      <c r="F28" s="25">
        <v>268.04</v>
      </c>
      <c r="G28" s="25">
        <v>272.61</v>
      </c>
      <c r="H28" s="25">
        <f t="shared" si="7"/>
        <v>89.80094117647059</v>
      </c>
      <c r="I28" s="80">
        <f t="shared" si="2"/>
        <v>314.30329411764706</v>
      </c>
      <c r="J28" s="41"/>
    </row>
    <row r="29" spans="1:10" ht="15.75" customHeight="1" hidden="1">
      <c r="A29" s="23">
        <v>2100</v>
      </c>
      <c r="B29" s="30" t="s">
        <v>42</v>
      </c>
      <c r="C29" s="25"/>
      <c r="D29" s="68">
        <f t="shared" si="5"/>
        <v>0</v>
      </c>
      <c r="E29" s="25">
        <f t="shared" si="6"/>
        <v>0</v>
      </c>
      <c r="F29" s="25">
        <f aca="true" t="shared" si="8" ref="F29:F68">E29</f>
        <v>0</v>
      </c>
      <c r="G29" s="25">
        <f aca="true" t="shared" si="9" ref="G29:G70">F29</f>
        <v>0</v>
      </c>
      <c r="H29" s="25">
        <f t="shared" si="7"/>
        <v>0</v>
      </c>
      <c r="I29" s="80">
        <f t="shared" si="2"/>
        <v>0</v>
      </c>
      <c r="J29" s="41"/>
    </row>
    <row r="30" spans="1:10" ht="15.75" customHeight="1">
      <c r="A30" s="31">
        <v>2210</v>
      </c>
      <c r="B30" s="32" t="s">
        <v>38</v>
      </c>
      <c r="C30" s="25">
        <v>255</v>
      </c>
      <c r="D30" s="68">
        <f t="shared" si="5"/>
        <v>362.83</v>
      </c>
      <c r="E30" s="25">
        <f t="shared" si="6"/>
        <v>31.91</v>
      </c>
      <c r="F30" s="25">
        <f t="shared" si="8"/>
        <v>31.91</v>
      </c>
      <c r="G30" s="25">
        <f t="shared" si="9"/>
        <v>31.91</v>
      </c>
      <c r="H30" s="25">
        <f t="shared" si="7"/>
        <v>10.511529411764707</v>
      </c>
      <c r="I30" s="80">
        <f t="shared" si="2"/>
        <v>36.79035294117647</v>
      </c>
      <c r="J30" s="41"/>
    </row>
    <row r="31" spans="1:10" ht="15.75" customHeight="1">
      <c r="A31" s="23">
        <v>2222</v>
      </c>
      <c r="B31" s="32" t="s">
        <v>39</v>
      </c>
      <c r="C31" s="25">
        <v>220</v>
      </c>
      <c r="D31" s="68">
        <f t="shared" si="5"/>
        <v>313.03</v>
      </c>
      <c r="E31" s="25">
        <f t="shared" si="6"/>
        <v>27.53</v>
      </c>
      <c r="F31" s="25">
        <f t="shared" si="8"/>
        <v>27.53</v>
      </c>
      <c r="G31" s="25">
        <f t="shared" si="9"/>
        <v>27.53</v>
      </c>
      <c r="H31" s="25">
        <f t="shared" si="7"/>
        <v>9.068705882352942</v>
      </c>
      <c r="I31" s="80">
        <f t="shared" si="2"/>
        <v>31.740470588235294</v>
      </c>
      <c r="J31" s="41"/>
    </row>
    <row r="32" spans="1:10" ht="15.75" customHeight="1">
      <c r="A32" s="23">
        <v>2223</v>
      </c>
      <c r="B32" s="32" t="s">
        <v>40</v>
      </c>
      <c r="C32" s="25">
        <v>298</v>
      </c>
      <c r="D32" s="68">
        <f t="shared" si="5"/>
        <v>424.02</v>
      </c>
      <c r="E32" s="25">
        <f t="shared" si="6"/>
        <v>37.29</v>
      </c>
      <c r="F32" s="25">
        <f t="shared" si="8"/>
        <v>37.29</v>
      </c>
      <c r="G32" s="25">
        <f t="shared" si="9"/>
        <v>37.29</v>
      </c>
      <c r="H32" s="25">
        <f t="shared" si="7"/>
        <v>12.283764705882353</v>
      </c>
      <c r="I32" s="80">
        <f t="shared" si="2"/>
        <v>42.99317647058824</v>
      </c>
      <c r="J32" s="41"/>
    </row>
    <row r="33" spans="1:10" ht="15.75" customHeight="1" hidden="1">
      <c r="A33" s="23">
        <v>2230</v>
      </c>
      <c r="B33" s="32" t="s">
        <v>41</v>
      </c>
      <c r="C33" s="25">
        <v>0</v>
      </c>
      <c r="D33" s="68">
        <f t="shared" si="5"/>
        <v>0</v>
      </c>
      <c r="E33" s="25">
        <f t="shared" si="6"/>
        <v>0</v>
      </c>
      <c r="F33" s="25">
        <f t="shared" si="8"/>
        <v>0</v>
      </c>
      <c r="G33" s="25">
        <f t="shared" si="9"/>
        <v>0</v>
      </c>
      <c r="H33" s="25">
        <f t="shared" si="7"/>
        <v>0</v>
      </c>
      <c r="I33" s="80">
        <f t="shared" si="2"/>
        <v>0</v>
      </c>
      <c r="J33" s="41"/>
    </row>
    <row r="34" spans="1:10" ht="15.75" customHeight="1" hidden="1">
      <c r="A34" s="23">
        <v>2241</v>
      </c>
      <c r="B34" s="32" t="s">
        <v>9</v>
      </c>
      <c r="C34" s="25"/>
      <c r="D34" s="68">
        <f t="shared" si="5"/>
        <v>0</v>
      </c>
      <c r="E34" s="25">
        <f t="shared" si="6"/>
        <v>0</v>
      </c>
      <c r="F34" s="25">
        <f t="shared" si="8"/>
        <v>0</v>
      </c>
      <c r="G34" s="25">
        <f t="shared" si="9"/>
        <v>0</v>
      </c>
      <c r="H34" s="25">
        <f t="shared" si="7"/>
        <v>0</v>
      </c>
      <c r="I34" s="80">
        <f t="shared" si="2"/>
        <v>0</v>
      </c>
      <c r="J34" s="41"/>
    </row>
    <row r="35" spans="1:10" ht="15.75" customHeight="1">
      <c r="A35" s="23">
        <v>2242</v>
      </c>
      <c r="B35" s="32" t="s">
        <v>10</v>
      </c>
      <c r="C35" s="25">
        <v>109</v>
      </c>
      <c r="D35" s="68">
        <f t="shared" si="5"/>
        <v>155.09</v>
      </c>
      <c r="E35" s="25">
        <f t="shared" si="6"/>
        <v>13.64</v>
      </c>
      <c r="F35" s="25">
        <f t="shared" si="8"/>
        <v>13.64</v>
      </c>
      <c r="G35" s="25">
        <f t="shared" si="9"/>
        <v>13.64</v>
      </c>
      <c r="H35" s="25">
        <f t="shared" si="7"/>
        <v>4.493176470588235</v>
      </c>
      <c r="I35" s="80">
        <f t="shared" si="2"/>
        <v>15.726117647058823</v>
      </c>
      <c r="J35" s="41"/>
    </row>
    <row r="36" spans="1:10" ht="15.75" customHeight="1">
      <c r="A36" s="23">
        <v>2243</v>
      </c>
      <c r="B36" s="32" t="s">
        <v>11</v>
      </c>
      <c r="C36" s="25">
        <v>370</v>
      </c>
      <c r="D36" s="68">
        <f t="shared" si="5"/>
        <v>526.46</v>
      </c>
      <c r="E36" s="25">
        <f t="shared" si="6"/>
        <v>46.3</v>
      </c>
      <c r="F36" s="25">
        <f t="shared" si="8"/>
        <v>46.3</v>
      </c>
      <c r="G36" s="25">
        <f t="shared" si="9"/>
        <v>46.3</v>
      </c>
      <c r="H36" s="25">
        <f t="shared" si="7"/>
        <v>15.251764705882351</v>
      </c>
      <c r="I36" s="80">
        <f t="shared" si="2"/>
        <v>53.38117647058823</v>
      </c>
      <c r="J36" s="41"/>
    </row>
    <row r="37" spans="1:10" ht="15.75" customHeight="1">
      <c r="A37" s="23">
        <v>2244</v>
      </c>
      <c r="B37" s="32" t="s">
        <v>12</v>
      </c>
      <c r="C37" s="25">
        <v>5444.49</v>
      </c>
      <c r="D37" s="68">
        <f t="shared" si="5"/>
        <v>7746.81</v>
      </c>
      <c r="E37" s="25">
        <f t="shared" si="6"/>
        <v>681.3</v>
      </c>
      <c r="F37" s="25">
        <f t="shared" si="8"/>
        <v>681.3</v>
      </c>
      <c r="G37" s="25">
        <f t="shared" si="9"/>
        <v>681.3</v>
      </c>
      <c r="H37" s="25">
        <f>G37/850*280+280*0.27</f>
        <v>300.0282352941176</v>
      </c>
      <c r="I37" s="80">
        <f t="shared" si="2"/>
        <v>1050.0988235294117</v>
      </c>
      <c r="J37" s="41"/>
    </row>
    <row r="38" spans="1:10" ht="15.75" customHeight="1">
      <c r="A38" s="23">
        <v>2247</v>
      </c>
      <c r="B38" s="45" t="s">
        <v>76</v>
      </c>
      <c r="C38" s="25">
        <v>30</v>
      </c>
      <c r="D38" s="68">
        <f t="shared" si="5"/>
        <v>42.69</v>
      </c>
      <c r="E38" s="25">
        <f t="shared" si="6"/>
        <v>3.75</v>
      </c>
      <c r="F38" s="25">
        <f t="shared" si="8"/>
        <v>3.75</v>
      </c>
      <c r="G38" s="25">
        <f t="shared" si="9"/>
        <v>3.75</v>
      </c>
      <c r="H38" s="25">
        <f t="shared" si="7"/>
        <v>1.2352941176470589</v>
      </c>
      <c r="I38" s="80">
        <f t="shared" si="2"/>
        <v>4.323529411764706</v>
      </c>
      <c r="J38" s="41"/>
    </row>
    <row r="39" spans="1:10" ht="15.75" customHeight="1">
      <c r="A39" s="23">
        <v>2249</v>
      </c>
      <c r="B39" s="32" t="s">
        <v>13</v>
      </c>
      <c r="C39" s="25">
        <v>134</v>
      </c>
      <c r="D39" s="68">
        <f t="shared" si="5"/>
        <v>190.66</v>
      </c>
      <c r="E39" s="25">
        <f t="shared" si="6"/>
        <v>16.77</v>
      </c>
      <c r="F39" s="25">
        <f t="shared" si="8"/>
        <v>16.77</v>
      </c>
      <c r="G39" s="25">
        <f t="shared" si="9"/>
        <v>16.77</v>
      </c>
      <c r="H39" s="25">
        <f t="shared" si="7"/>
        <v>5.524235294117647</v>
      </c>
      <c r="I39" s="80">
        <f t="shared" si="2"/>
        <v>19.334823529411764</v>
      </c>
      <c r="J39" s="41"/>
    </row>
    <row r="40" spans="1:10" ht="15.75" customHeight="1">
      <c r="A40" s="23">
        <v>2251</v>
      </c>
      <c r="B40" s="32" t="s">
        <v>77</v>
      </c>
      <c r="C40" s="25">
        <v>407</v>
      </c>
      <c r="D40" s="68">
        <f t="shared" si="5"/>
        <v>579.11</v>
      </c>
      <c r="E40" s="25">
        <f t="shared" si="6"/>
        <v>50.93</v>
      </c>
      <c r="F40" s="25">
        <f t="shared" si="8"/>
        <v>50.93</v>
      </c>
      <c r="G40" s="25">
        <f t="shared" si="9"/>
        <v>50.93</v>
      </c>
      <c r="H40" s="25">
        <f t="shared" si="7"/>
        <v>16.776941176470586</v>
      </c>
      <c r="I40" s="80">
        <f t="shared" si="2"/>
        <v>58.71929411764705</v>
      </c>
      <c r="J40" s="41"/>
    </row>
    <row r="41" spans="1:10" ht="15.75" customHeight="1" hidden="1">
      <c r="A41" s="23">
        <v>2252</v>
      </c>
      <c r="B41" s="32" t="s">
        <v>7</v>
      </c>
      <c r="C41" s="25"/>
      <c r="D41" s="68">
        <f t="shared" si="5"/>
        <v>0</v>
      </c>
      <c r="E41" s="25">
        <f t="shared" si="6"/>
        <v>0</v>
      </c>
      <c r="F41" s="25">
        <f t="shared" si="8"/>
        <v>0</v>
      </c>
      <c r="G41" s="25">
        <f t="shared" si="9"/>
        <v>0</v>
      </c>
      <c r="H41" s="25">
        <f t="shared" si="7"/>
        <v>0</v>
      </c>
      <c r="I41" s="80">
        <f t="shared" si="2"/>
        <v>0</v>
      </c>
      <c r="J41" s="41"/>
    </row>
    <row r="42" spans="1:10" ht="15.75" customHeight="1">
      <c r="A42" s="23">
        <v>2259</v>
      </c>
      <c r="B42" s="32" t="s">
        <v>8</v>
      </c>
      <c r="C42" s="25">
        <v>1</v>
      </c>
      <c r="D42" s="68">
        <f t="shared" si="5"/>
        <v>1.42</v>
      </c>
      <c r="E42" s="25">
        <f t="shared" si="6"/>
        <v>0.12</v>
      </c>
      <c r="F42" s="25">
        <f t="shared" si="8"/>
        <v>0.12</v>
      </c>
      <c r="G42" s="25">
        <f t="shared" si="9"/>
        <v>0.12</v>
      </c>
      <c r="H42" s="25">
        <f t="shared" si="7"/>
        <v>0.03952941176470588</v>
      </c>
      <c r="I42" s="80">
        <f t="shared" si="2"/>
        <v>0.13835294117647057</v>
      </c>
      <c r="J42" s="41"/>
    </row>
    <row r="43" spans="1:10" ht="15.75" customHeight="1">
      <c r="A43" s="23">
        <v>2261</v>
      </c>
      <c r="B43" s="32" t="s">
        <v>14</v>
      </c>
      <c r="C43" s="25">
        <v>72</v>
      </c>
      <c r="D43" s="68">
        <f t="shared" si="5"/>
        <v>102.45</v>
      </c>
      <c r="E43" s="25">
        <f t="shared" si="6"/>
        <v>9.01</v>
      </c>
      <c r="F43" s="25">
        <f t="shared" si="8"/>
        <v>9.01</v>
      </c>
      <c r="G43" s="25">
        <f t="shared" si="9"/>
        <v>9.01</v>
      </c>
      <c r="H43" s="25">
        <f t="shared" si="7"/>
        <v>2.968</v>
      </c>
      <c r="I43" s="80">
        <f t="shared" si="2"/>
        <v>10.388</v>
      </c>
      <c r="J43" s="41"/>
    </row>
    <row r="44" spans="1:10" ht="15.75" customHeight="1">
      <c r="A44" s="23">
        <v>2262</v>
      </c>
      <c r="B44" s="32" t="s">
        <v>15</v>
      </c>
      <c r="C44" s="25">
        <v>321</v>
      </c>
      <c r="D44" s="68">
        <f t="shared" si="5"/>
        <v>456.74</v>
      </c>
      <c r="E44" s="25">
        <f t="shared" si="6"/>
        <v>40.17</v>
      </c>
      <c r="F44" s="25">
        <f t="shared" si="8"/>
        <v>40.17</v>
      </c>
      <c r="G44" s="25">
        <f t="shared" si="9"/>
        <v>40.17</v>
      </c>
      <c r="H44" s="25">
        <f t="shared" si="7"/>
        <v>13.232470588235296</v>
      </c>
      <c r="I44" s="80">
        <f t="shared" si="2"/>
        <v>46.313647058823534</v>
      </c>
      <c r="J44" s="41"/>
    </row>
    <row r="45" spans="1:10" ht="15.75" customHeight="1">
      <c r="A45" s="23">
        <v>2263</v>
      </c>
      <c r="B45" s="32" t="s">
        <v>16</v>
      </c>
      <c r="C45" s="25">
        <v>1186</v>
      </c>
      <c r="D45" s="68">
        <f t="shared" si="5"/>
        <v>1687.53</v>
      </c>
      <c r="E45" s="25">
        <f t="shared" si="6"/>
        <v>148.41</v>
      </c>
      <c r="F45" s="25">
        <f t="shared" si="8"/>
        <v>148.41</v>
      </c>
      <c r="G45" s="25">
        <f t="shared" si="9"/>
        <v>148.41</v>
      </c>
      <c r="H45" s="25">
        <f t="shared" si="7"/>
        <v>48.888</v>
      </c>
      <c r="I45" s="80">
        <f t="shared" si="2"/>
        <v>171.108</v>
      </c>
      <c r="J45" s="41"/>
    </row>
    <row r="46" spans="1:10" ht="15.75" customHeight="1">
      <c r="A46" s="23">
        <v>2264</v>
      </c>
      <c r="B46" s="32" t="s">
        <v>17</v>
      </c>
      <c r="C46" s="25">
        <v>6</v>
      </c>
      <c r="D46" s="68">
        <f t="shared" si="5"/>
        <v>8.54</v>
      </c>
      <c r="E46" s="25">
        <f t="shared" si="6"/>
        <v>0.75</v>
      </c>
      <c r="F46" s="25">
        <f t="shared" si="8"/>
        <v>0.75</v>
      </c>
      <c r="G46" s="25">
        <f t="shared" si="9"/>
        <v>0.75</v>
      </c>
      <c r="H46" s="25">
        <f t="shared" si="7"/>
        <v>0.24705882352941178</v>
      </c>
      <c r="I46" s="80">
        <f t="shared" si="2"/>
        <v>0.8647058823529412</v>
      </c>
      <c r="J46" s="41"/>
    </row>
    <row r="47" spans="1:10" ht="15.75" customHeight="1">
      <c r="A47" s="23">
        <v>2279</v>
      </c>
      <c r="B47" s="32" t="s">
        <v>18</v>
      </c>
      <c r="C47" s="25">
        <v>1358</v>
      </c>
      <c r="D47" s="68">
        <f t="shared" si="5"/>
        <v>1932.26</v>
      </c>
      <c r="E47" s="25">
        <f t="shared" si="6"/>
        <v>169.93</v>
      </c>
      <c r="F47" s="25">
        <f t="shared" si="8"/>
        <v>169.93</v>
      </c>
      <c r="G47" s="25">
        <f t="shared" si="9"/>
        <v>169.93</v>
      </c>
      <c r="H47" s="25">
        <f t="shared" si="7"/>
        <v>55.97694117647059</v>
      </c>
      <c r="I47" s="80">
        <f t="shared" si="2"/>
        <v>195.91929411764707</v>
      </c>
      <c r="J47" s="41"/>
    </row>
    <row r="48" spans="1:10" ht="15.75" customHeight="1">
      <c r="A48" s="23">
        <v>2311</v>
      </c>
      <c r="B48" s="32" t="s">
        <v>19</v>
      </c>
      <c r="C48" s="25">
        <v>128</v>
      </c>
      <c r="D48" s="68">
        <f t="shared" si="5"/>
        <v>182.13</v>
      </c>
      <c r="E48" s="25">
        <f t="shared" si="6"/>
        <v>16.02</v>
      </c>
      <c r="F48" s="25">
        <f t="shared" si="8"/>
        <v>16.02</v>
      </c>
      <c r="G48" s="25">
        <f t="shared" si="9"/>
        <v>16.02</v>
      </c>
      <c r="H48" s="25">
        <f t="shared" si="7"/>
        <v>5.277176470588235</v>
      </c>
      <c r="I48" s="80">
        <f t="shared" si="2"/>
        <v>18.470117647058824</v>
      </c>
      <c r="J48" s="41"/>
    </row>
    <row r="49" spans="1:10" ht="15.75" customHeight="1">
      <c r="A49" s="23">
        <v>2312</v>
      </c>
      <c r="B49" s="32" t="s">
        <v>20</v>
      </c>
      <c r="C49" s="25">
        <v>231</v>
      </c>
      <c r="D49" s="68">
        <f t="shared" si="5"/>
        <v>328.68</v>
      </c>
      <c r="E49" s="25">
        <f t="shared" si="6"/>
        <v>28.91</v>
      </c>
      <c r="F49" s="25">
        <f t="shared" si="8"/>
        <v>28.91</v>
      </c>
      <c r="G49" s="25">
        <f t="shared" si="9"/>
        <v>28.91</v>
      </c>
      <c r="H49" s="25">
        <f t="shared" si="7"/>
        <v>9.523294117647058</v>
      </c>
      <c r="I49" s="80">
        <f t="shared" si="2"/>
        <v>33.331529411764706</v>
      </c>
      <c r="J49" s="41"/>
    </row>
    <row r="50" spans="1:10" ht="15.75" customHeight="1">
      <c r="A50" s="23">
        <v>2321</v>
      </c>
      <c r="B50" s="32" t="s">
        <v>21</v>
      </c>
      <c r="C50" s="25">
        <v>620</v>
      </c>
      <c r="D50" s="68">
        <f t="shared" si="5"/>
        <v>882.18</v>
      </c>
      <c r="E50" s="25">
        <f t="shared" si="6"/>
        <v>77.58</v>
      </c>
      <c r="F50" s="25">
        <f t="shared" si="8"/>
        <v>77.58</v>
      </c>
      <c r="G50" s="25">
        <f t="shared" si="9"/>
        <v>77.58</v>
      </c>
      <c r="H50" s="25">
        <f t="shared" si="7"/>
        <v>25.555764705882353</v>
      </c>
      <c r="I50" s="80">
        <f t="shared" si="2"/>
        <v>89.44517647058824</v>
      </c>
      <c r="J50" s="41"/>
    </row>
    <row r="51" spans="1:10" ht="15.75" customHeight="1">
      <c r="A51" s="23">
        <v>2322</v>
      </c>
      <c r="B51" s="32" t="s">
        <v>22</v>
      </c>
      <c r="C51" s="25">
        <v>241</v>
      </c>
      <c r="D51" s="68">
        <f t="shared" si="5"/>
        <v>342.91</v>
      </c>
      <c r="E51" s="25">
        <f t="shared" si="6"/>
        <v>30.16</v>
      </c>
      <c r="F51" s="25">
        <f t="shared" si="8"/>
        <v>30.16</v>
      </c>
      <c r="G51" s="25">
        <f t="shared" si="9"/>
        <v>30.16</v>
      </c>
      <c r="H51" s="25">
        <f t="shared" si="7"/>
        <v>9.935058823529411</v>
      </c>
      <c r="I51" s="80">
        <f t="shared" si="2"/>
        <v>34.772705882352945</v>
      </c>
      <c r="J51" s="41"/>
    </row>
    <row r="52" spans="1:10" ht="15.75" customHeight="1">
      <c r="A52" s="23">
        <v>2341</v>
      </c>
      <c r="B52" s="32" t="s">
        <v>23</v>
      </c>
      <c r="C52" s="25">
        <v>172</v>
      </c>
      <c r="D52" s="68">
        <f t="shared" si="5"/>
        <v>244.73</v>
      </c>
      <c r="E52" s="25">
        <f t="shared" si="6"/>
        <v>21.52</v>
      </c>
      <c r="F52" s="25">
        <f t="shared" si="8"/>
        <v>21.52</v>
      </c>
      <c r="G52" s="25">
        <f t="shared" si="9"/>
        <v>21.52</v>
      </c>
      <c r="H52" s="25">
        <f t="shared" si="7"/>
        <v>7.088941176470588</v>
      </c>
      <c r="I52" s="80">
        <f t="shared" si="2"/>
        <v>24.81129411764706</v>
      </c>
      <c r="J52" s="41"/>
    </row>
    <row r="53" spans="1:10" ht="15.75" customHeight="1">
      <c r="A53" s="23">
        <v>2344</v>
      </c>
      <c r="B53" s="32" t="s">
        <v>24</v>
      </c>
      <c r="C53" s="25">
        <v>3</v>
      </c>
      <c r="D53" s="68">
        <f t="shared" si="5"/>
        <v>4.27</v>
      </c>
      <c r="E53" s="25">
        <f t="shared" si="6"/>
        <v>0.38</v>
      </c>
      <c r="F53" s="25">
        <f t="shared" si="8"/>
        <v>0.38</v>
      </c>
      <c r="G53" s="25">
        <f t="shared" si="9"/>
        <v>0.38</v>
      </c>
      <c r="H53" s="25">
        <f t="shared" si="7"/>
        <v>0.1251764705882353</v>
      </c>
      <c r="I53" s="80">
        <f t="shared" si="2"/>
        <v>0.43811764705882356</v>
      </c>
      <c r="J53" s="41"/>
    </row>
    <row r="54" spans="1:10" ht="15.75" customHeight="1">
      <c r="A54" s="23">
        <v>2350</v>
      </c>
      <c r="B54" s="32" t="s">
        <v>25</v>
      </c>
      <c r="C54" s="25">
        <v>1056</v>
      </c>
      <c r="D54" s="68">
        <f t="shared" si="5"/>
        <v>1502.55</v>
      </c>
      <c r="E54" s="25">
        <f t="shared" si="6"/>
        <v>132.14</v>
      </c>
      <c r="F54" s="25">
        <f t="shared" si="8"/>
        <v>132.14</v>
      </c>
      <c r="G54" s="25">
        <f t="shared" si="9"/>
        <v>132.14</v>
      </c>
      <c r="H54" s="25">
        <f t="shared" si="7"/>
        <v>43.528470588235294</v>
      </c>
      <c r="I54" s="80">
        <f t="shared" si="2"/>
        <v>152.34964705882354</v>
      </c>
      <c r="J54" s="41"/>
    </row>
    <row r="55" spans="1:10" ht="15.75" customHeight="1">
      <c r="A55" s="23">
        <v>2361</v>
      </c>
      <c r="B55" s="32" t="s">
        <v>26</v>
      </c>
      <c r="C55" s="25">
        <v>647</v>
      </c>
      <c r="D55" s="68">
        <f t="shared" si="5"/>
        <v>920.6</v>
      </c>
      <c r="E55" s="25">
        <f t="shared" si="6"/>
        <v>80.96</v>
      </c>
      <c r="F55" s="25">
        <f t="shared" si="8"/>
        <v>80.96</v>
      </c>
      <c r="G55" s="25">
        <f t="shared" si="9"/>
        <v>80.96</v>
      </c>
      <c r="H55" s="25">
        <f t="shared" si="7"/>
        <v>26.669176470588233</v>
      </c>
      <c r="I55" s="80">
        <f t="shared" si="2"/>
        <v>93.34211764705881</v>
      </c>
      <c r="J55" s="41"/>
    </row>
    <row r="56" spans="1:10" ht="15.75" customHeight="1" hidden="1">
      <c r="A56" s="23">
        <v>2362</v>
      </c>
      <c r="B56" s="32" t="s">
        <v>27</v>
      </c>
      <c r="C56" s="25"/>
      <c r="D56" s="68">
        <f t="shared" si="5"/>
        <v>0</v>
      </c>
      <c r="E56" s="25">
        <f t="shared" si="6"/>
        <v>0</v>
      </c>
      <c r="F56" s="25">
        <f t="shared" si="8"/>
        <v>0</v>
      </c>
      <c r="G56" s="25">
        <f t="shared" si="9"/>
        <v>0</v>
      </c>
      <c r="H56" s="25">
        <f t="shared" si="7"/>
        <v>0</v>
      </c>
      <c r="I56" s="80">
        <f t="shared" si="2"/>
        <v>0</v>
      </c>
      <c r="J56" s="41"/>
    </row>
    <row r="57" spans="1:10" ht="15.75" customHeight="1" hidden="1">
      <c r="A57" s="23">
        <v>2363</v>
      </c>
      <c r="B57" s="32" t="s">
        <v>28</v>
      </c>
      <c r="C57" s="25"/>
      <c r="D57" s="68">
        <f t="shared" si="5"/>
        <v>0</v>
      </c>
      <c r="E57" s="25">
        <f t="shared" si="6"/>
        <v>0</v>
      </c>
      <c r="F57" s="25">
        <f t="shared" si="8"/>
        <v>0</v>
      </c>
      <c r="G57" s="25">
        <f t="shared" si="9"/>
        <v>0</v>
      </c>
      <c r="H57" s="25">
        <f t="shared" si="7"/>
        <v>0</v>
      </c>
      <c r="I57" s="80">
        <f t="shared" si="2"/>
        <v>0</v>
      </c>
      <c r="J57" s="41"/>
    </row>
    <row r="58" spans="1:10" ht="15.75" customHeight="1" hidden="1">
      <c r="A58" s="23">
        <v>2370</v>
      </c>
      <c r="B58" s="32" t="s">
        <v>29</v>
      </c>
      <c r="C58" s="25"/>
      <c r="D58" s="68">
        <f t="shared" si="5"/>
        <v>0</v>
      </c>
      <c r="E58" s="25">
        <f t="shared" si="6"/>
        <v>0</v>
      </c>
      <c r="F58" s="25">
        <f t="shared" si="8"/>
        <v>0</v>
      </c>
      <c r="G58" s="25">
        <f t="shared" si="9"/>
        <v>0</v>
      </c>
      <c r="H58" s="25">
        <f t="shared" si="7"/>
        <v>0</v>
      </c>
      <c r="I58" s="80">
        <f t="shared" si="2"/>
        <v>0</v>
      </c>
      <c r="J58" s="41"/>
    </row>
    <row r="59" spans="1:10" ht="15.75" customHeight="1">
      <c r="A59" s="23">
        <v>2400</v>
      </c>
      <c r="B59" s="32" t="s">
        <v>43</v>
      </c>
      <c r="C59" s="25">
        <v>48</v>
      </c>
      <c r="D59" s="68">
        <f t="shared" si="5"/>
        <v>68.3</v>
      </c>
      <c r="E59" s="25">
        <f t="shared" si="6"/>
        <v>6.01</v>
      </c>
      <c r="F59" s="25">
        <f t="shared" si="8"/>
        <v>6.01</v>
      </c>
      <c r="G59" s="25">
        <f t="shared" si="9"/>
        <v>6.01</v>
      </c>
      <c r="H59" s="25">
        <f t="shared" si="7"/>
        <v>1.9797647058823529</v>
      </c>
      <c r="I59" s="80">
        <f t="shared" si="2"/>
        <v>6.929176470588235</v>
      </c>
      <c r="J59" s="41"/>
    </row>
    <row r="60" spans="1:10" ht="15.75" customHeight="1" hidden="1">
      <c r="A60" s="23">
        <v>2512</v>
      </c>
      <c r="B60" s="32" t="s">
        <v>30</v>
      </c>
      <c r="C60" s="25">
        <v>0</v>
      </c>
      <c r="D60" s="68">
        <f t="shared" si="5"/>
        <v>0</v>
      </c>
      <c r="E60" s="25">
        <f t="shared" si="6"/>
        <v>0</v>
      </c>
      <c r="F60" s="25">
        <f t="shared" si="8"/>
        <v>0</v>
      </c>
      <c r="G60" s="25">
        <f t="shared" si="9"/>
        <v>0</v>
      </c>
      <c r="H60" s="25">
        <f t="shared" si="7"/>
        <v>0</v>
      </c>
      <c r="I60" s="80">
        <f t="shared" si="2"/>
        <v>0</v>
      </c>
      <c r="J60" s="41"/>
    </row>
    <row r="61" spans="1:10" ht="15.75" customHeight="1">
      <c r="A61" s="23">
        <v>2513</v>
      </c>
      <c r="B61" s="32" t="s">
        <v>31</v>
      </c>
      <c r="C61" s="25">
        <v>573</v>
      </c>
      <c r="D61" s="68">
        <f t="shared" si="5"/>
        <v>815.31</v>
      </c>
      <c r="E61" s="25">
        <f t="shared" si="6"/>
        <v>71.7</v>
      </c>
      <c r="F61" s="25">
        <f t="shared" si="8"/>
        <v>71.7</v>
      </c>
      <c r="G61" s="25">
        <f t="shared" si="9"/>
        <v>71.7</v>
      </c>
      <c r="H61" s="25">
        <f t="shared" si="7"/>
        <v>23.618823529411763</v>
      </c>
      <c r="I61" s="80">
        <f t="shared" si="2"/>
        <v>82.66588235294118</v>
      </c>
      <c r="J61" s="41"/>
    </row>
    <row r="62" spans="1:10" ht="15.75" customHeight="1">
      <c r="A62" s="23">
        <v>2515</v>
      </c>
      <c r="B62" s="32" t="s">
        <v>78</v>
      </c>
      <c r="C62" s="25">
        <v>34</v>
      </c>
      <c r="D62" s="68">
        <f t="shared" si="5"/>
        <v>48.38</v>
      </c>
      <c r="E62" s="25">
        <f t="shared" si="6"/>
        <v>4.25</v>
      </c>
      <c r="F62" s="25">
        <f t="shared" si="8"/>
        <v>4.25</v>
      </c>
      <c r="G62" s="25">
        <f t="shared" si="9"/>
        <v>4.25</v>
      </c>
      <c r="H62" s="25">
        <f t="shared" si="7"/>
        <v>1.4000000000000001</v>
      </c>
      <c r="I62" s="80">
        <f t="shared" si="2"/>
        <v>4.9</v>
      </c>
      <c r="J62" s="41"/>
    </row>
    <row r="63" spans="1:10" ht="15.75" customHeight="1">
      <c r="A63" s="23">
        <v>2519</v>
      </c>
      <c r="B63" s="32" t="s">
        <v>34</v>
      </c>
      <c r="C63" s="25">
        <v>138</v>
      </c>
      <c r="D63" s="68">
        <f t="shared" si="5"/>
        <v>196.36</v>
      </c>
      <c r="E63" s="25">
        <f t="shared" si="6"/>
        <v>17.27</v>
      </c>
      <c r="F63" s="25">
        <f t="shared" si="8"/>
        <v>17.27</v>
      </c>
      <c r="G63" s="25">
        <v>16.84</v>
      </c>
      <c r="H63" s="25">
        <f t="shared" si="7"/>
        <v>5.547294117647058</v>
      </c>
      <c r="I63" s="80">
        <f t="shared" si="2"/>
        <v>19.415529411764705</v>
      </c>
      <c r="J63" s="41"/>
    </row>
    <row r="64" spans="1:10" ht="15.75" customHeight="1" hidden="1">
      <c r="A64" s="23">
        <v>6240</v>
      </c>
      <c r="B64" s="32"/>
      <c r="C64" s="25"/>
      <c r="D64" s="68">
        <f t="shared" si="5"/>
        <v>0</v>
      </c>
      <c r="E64" s="25">
        <f t="shared" si="6"/>
        <v>0</v>
      </c>
      <c r="F64" s="25">
        <f t="shared" si="8"/>
        <v>0</v>
      </c>
      <c r="G64" s="25">
        <f t="shared" si="9"/>
        <v>0</v>
      </c>
      <c r="H64" s="25">
        <f t="shared" si="7"/>
        <v>0</v>
      </c>
      <c r="I64" s="80">
        <f t="shared" si="2"/>
        <v>0</v>
      </c>
      <c r="J64" s="41"/>
    </row>
    <row r="65" spans="1:10" ht="15.75" customHeight="1" hidden="1">
      <c r="A65" s="23">
        <v>6290</v>
      </c>
      <c r="B65" s="32"/>
      <c r="C65" s="25"/>
      <c r="D65" s="68">
        <f t="shared" si="5"/>
        <v>0</v>
      </c>
      <c r="E65" s="25">
        <f t="shared" si="6"/>
        <v>0</v>
      </c>
      <c r="F65" s="25">
        <f t="shared" si="8"/>
        <v>0</v>
      </c>
      <c r="G65" s="25">
        <f t="shared" si="9"/>
        <v>0</v>
      </c>
      <c r="H65" s="25">
        <f t="shared" si="7"/>
        <v>0</v>
      </c>
      <c r="I65" s="80">
        <f t="shared" si="2"/>
        <v>0</v>
      </c>
      <c r="J65" s="41"/>
    </row>
    <row r="66" spans="1:10" ht="15.75" customHeight="1">
      <c r="A66" s="23">
        <v>5121</v>
      </c>
      <c r="B66" s="32" t="s">
        <v>32</v>
      </c>
      <c r="C66" s="25">
        <v>152</v>
      </c>
      <c r="D66" s="68">
        <f t="shared" si="5"/>
        <v>216.28</v>
      </c>
      <c r="E66" s="25">
        <f t="shared" si="6"/>
        <v>19.02</v>
      </c>
      <c r="F66" s="25">
        <f t="shared" si="8"/>
        <v>19.02</v>
      </c>
      <c r="G66" s="25">
        <f t="shared" si="9"/>
        <v>19.02</v>
      </c>
      <c r="H66" s="25">
        <f t="shared" si="7"/>
        <v>6.265411764705882</v>
      </c>
      <c r="I66" s="80">
        <f t="shared" si="2"/>
        <v>21.928941176470587</v>
      </c>
      <c r="J66" s="41"/>
    </row>
    <row r="67" spans="1:10" ht="15.75" customHeight="1">
      <c r="A67" s="23">
        <v>5232</v>
      </c>
      <c r="B67" s="32" t="s">
        <v>33</v>
      </c>
      <c r="C67" s="25">
        <v>18</v>
      </c>
      <c r="D67" s="68">
        <v>45.61</v>
      </c>
      <c r="E67" s="25">
        <f t="shared" si="6"/>
        <v>4.01</v>
      </c>
      <c r="F67" s="25">
        <f t="shared" si="8"/>
        <v>4.01</v>
      </c>
      <c r="G67" s="25">
        <f t="shared" si="9"/>
        <v>4.01</v>
      </c>
      <c r="H67" s="25">
        <f t="shared" si="7"/>
        <v>1.3209411764705883</v>
      </c>
      <c r="I67" s="80">
        <f t="shared" si="2"/>
        <v>4.623294117647059</v>
      </c>
      <c r="J67" s="51"/>
    </row>
    <row r="68" spans="1:10" ht="15.75" customHeight="1" hidden="1">
      <c r="A68" s="23">
        <v>5238</v>
      </c>
      <c r="B68" s="32" t="s">
        <v>35</v>
      </c>
      <c r="C68" s="25">
        <v>0</v>
      </c>
      <c r="D68" s="68">
        <f t="shared" si="5"/>
        <v>0</v>
      </c>
      <c r="E68" s="25">
        <f t="shared" si="6"/>
        <v>0</v>
      </c>
      <c r="F68" s="25">
        <f t="shared" si="8"/>
        <v>0</v>
      </c>
      <c r="G68" s="25">
        <f t="shared" si="9"/>
        <v>0</v>
      </c>
      <c r="H68" s="25">
        <f t="shared" si="7"/>
        <v>0</v>
      </c>
      <c r="I68" s="80">
        <f t="shared" si="2"/>
        <v>0</v>
      </c>
      <c r="J68" s="51"/>
    </row>
    <row r="69" spans="1:10" ht="15.75" customHeight="1">
      <c r="A69" s="23">
        <v>5240</v>
      </c>
      <c r="B69" s="32" t="s">
        <v>36</v>
      </c>
      <c r="C69" s="25">
        <v>5</v>
      </c>
      <c r="D69" s="68">
        <v>21.83</v>
      </c>
      <c r="E69" s="25">
        <v>1.95</v>
      </c>
      <c r="F69" s="25">
        <v>3.38</v>
      </c>
      <c r="G69" s="25">
        <f t="shared" si="9"/>
        <v>3.38</v>
      </c>
      <c r="H69" s="25">
        <f t="shared" si="7"/>
        <v>1.1134117647058823</v>
      </c>
      <c r="I69" s="80">
        <f t="shared" si="2"/>
        <v>3.896941176470588</v>
      </c>
      <c r="J69" s="41"/>
    </row>
    <row r="70" spans="1:10" ht="15.75" customHeight="1" hidden="1">
      <c r="A70" s="23">
        <v>5250</v>
      </c>
      <c r="B70" s="32" t="s">
        <v>37</v>
      </c>
      <c r="C70" s="25"/>
      <c r="D70" s="32"/>
      <c r="E70" s="25"/>
      <c r="F70" s="25">
        <f>E70/9665*1700</f>
        <v>0</v>
      </c>
      <c r="G70" s="25">
        <f t="shared" si="9"/>
        <v>0</v>
      </c>
      <c r="H70" s="25">
        <f>G70/850*280</f>
        <v>0</v>
      </c>
      <c r="J70" s="69"/>
    </row>
    <row r="71" spans="1:10" ht="15.75">
      <c r="A71" s="29"/>
      <c r="B71" s="48" t="s">
        <v>79</v>
      </c>
      <c r="C71" s="28">
        <f aca="true" t="shared" si="10" ref="C71:I71">SUM(C27:C70)</f>
        <v>25172.489999999998</v>
      </c>
      <c r="D71" s="28">
        <f t="shared" si="10"/>
        <v>35851.95</v>
      </c>
      <c r="E71" s="28">
        <f t="shared" si="10"/>
        <v>3153.0499999999993</v>
      </c>
      <c r="F71" s="28">
        <f t="shared" si="10"/>
        <v>3195.3799999999997</v>
      </c>
      <c r="G71" s="28">
        <f t="shared" si="10"/>
        <v>3194.9500000000003</v>
      </c>
      <c r="H71" s="28">
        <f t="shared" si="10"/>
        <v>1128.0541176470588</v>
      </c>
      <c r="I71" s="28">
        <f t="shared" si="10"/>
        <v>3948.1894117647053</v>
      </c>
      <c r="J71" s="51"/>
    </row>
    <row r="72" spans="1:10" ht="15.75">
      <c r="A72" s="29"/>
      <c r="B72" s="48" t="s">
        <v>80</v>
      </c>
      <c r="C72" s="28">
        <f aca="true" t="shared" si="11" ref="C72:I72">C71+C25</f>
        <v>42429.35</v>
      </c>
      <c r="D72" s="28">
        <f t="shared" si="11"/>
        <v>60406.25</v>
      </c>
      <c r="E72" s="28">
        <f t="shared" si="11"/>
        <v>5312.5</v>
      </c>
      <c r="F72" s="28">
        <f t="shared" si="11"/>
        <v>5389</v>
      </c>
      <c r="G72" s="28">
        <f t="shared" si="11"/>
        <v>5618.5</v>
      </c>
      <c r="H72" s="28">
        <f t="shared" si="11"/>
        <v>2088.8</v>
      </c>
      <c r="I72" s="28">
        <f t="shared" si="11"/>
        <v>7310.799999999999</v>
      </c>
      <c r="J72" s="69"/>
    </row>
    <row r="73" spans="1:10" ht="15.75">
      <c r="A73" s="49"/>
      <c r="B73" s="50"/>
      <c r="C73" s="41"/>
      <c r="D73" s="41"/>
      <c r="E73" s="41"/>
      <c r="F73" s="41"/>
      <c r="G73" s="41"/>
      <c r="H73" s="41"/>
      <c r="J73" s="137"/>
    </row>
    <row r="74" spans="1:10" ht="15.75">
      <c r="A74" s="214" t="s">
        <v>45</v>
      </c>
      <c r="B74" s="215"/>
      <c r="C74" s="69">
        <v>9665</v>
      </c>
      <c r="D74" s="42">
        <v>9665</v>
      </c>
      <c r="E74" s="42">
        <v>850</v>
      </c>
      <c r="F74" s="42">
        <v>850</v>
      </c>
      <c r="G74" s="42">
        <v>850</v>
      </c>
      <c r="H74" s="162">
        <v>280</v>
      </c>
      <c r="I74" s="162">
        <v>980</v>
      </c>
      <c r="J74" s="137"/>
    </row>
    <row r="75" spans="1:10" ht="15.75">
      <c r="A75" s="214" t="s">
        <v>91</v>
      </c>
      <c r="B75" s="215"/>
      <c r="C75" s="142">
        <f>C72/C74</f>
        <v>4.39</v>
      </c>
      <c r="D75" s="28">
        <f>ROUND(D72/D74,2)</f>
        <v>6.25</v>
      </c>
      <c r="E75" s="28">
        <f>ROUND(E72/E74,2)</f>
        <v>6.25</v>
      </c>
      <c r="F75" s="28">
        <f>ROUND(F72/F74,2)</f>
        <v>6.34</v>
      </c>
      <c r="G75" s="28">
        <f>ROUND(G72/G74,2)</f>
        <v>6.61</v>
      </c>
      <c r="H75" s="164">
        <f>ROUND(H72/H74,2)</f>
        <v>7.46</v>
      </c>
      <c r="I75" s="164">
        <f>I72/I74</f>
        <v>7.459999999999999</v>
      </c>
      <c r="J75" s="136"/>
    </row>
    <row r="76" spans="1:10" ht="15.75">
      <c r="A76" s="50"/>
      <c r="B76" s="43"/>
      <c r="C76" s="43"/>
      <c r="D76" s="43"/>
      <c r="E76" s="43"/>
      <c r="F76" s="69"/>
      <c r="G76" s="69"/>
      <c r="H76" s="69"/>
      <c r="I76" s="69"/>
      <c r="J76" s="136"/>
    </row>
    <row r="77" spans="1:10" ht="15.75">
      <c r="A77" s="214" t="s">
        <v>46</v>
      </c>
      <c r="B77" s="215"/>
      <c r="C77" s="73"/>
      <c r="D77" s="73"/>
      <c r="E77" s="44"/>
      <c r="F77" s="44"/>
      <c r="G77" s="44"/>
      <c r="H77" s="44"/>
      <c r="I77" s="44"/>
      <c r="J77" s="136"/>
    </row>
    <row r="78" spans="1:10" ht="15.75">
      <c r="A78" s="214" t="s">
        <v>55</v>
      </c>
      <c r="B78" s="215"/>
      <c r="C78" s="73"/>
      <c r="D78" s="73"/>
      <c r="E78" s="44"/>
      <c r="F78" s="44"/>
      <c r="G78" s="44"/>
      <c r="H78" s="44"/>
      <c r="I78" s="44"/>
      <c r="J78" s="136"/>
    </row>
    <row r="79" spans="1:10" ht="15.75">
      <c r="A79" s="38"/>
      <c r="B79" s="38"/>
      <c r="C79" s="38"/>
      <c r="D79" s="38"/>
      <c r="E79" s="38"/>
      <c r="F79" s="38"/>
      <c r="G79" s="38"/>
      <c r="H79" s="38"/>
      <c r="J79" s="136"/>
    </row>
    <row r="80" spans="1:10" ht="15.75">
      <c r="A80" s="38" t="s">
        <v>47</v>
      </c>
      <c r="B80" s="38"/>
      <c r="C80" s="38"/>
      <c r="D80" s="38"/>
      <c r="E80" s="38"/>
      <c r="F80" s="38"/>
      <c r="G80" s="38"/>
      <c r="H80" s="38"/>
      <c r="J80" s="131"/>
    </row>
    <row r="81" spans="1:8" ht="15.75">
      <c r="A81" s="38"/>
      <c r="B81" s="38"/>
      <c r="C81" s="38"/>
      <c r="D81" s="38"/>
      <c r="E81" s="38"/>
      <c r="F81" s="38"/>
      <c r="G81" s="38"/>
      <c r="H81" s="38"/>
    </row>
    <row r="82" spans="1:8" ht="15.75">
      <c r="A82" s="38"/>
      <c r="B82" s="39"/>
      <c r="C82" s="39"/>
      <c r="D82" s="39"/>
      <c r="E82" s="38"/>
      <c r="F82" s="38"/>
      <c r="G82" s="38"/>
      <c r="H82" s="38"/>
    </row>
    <row r="83" spans="1:8" ht="15.75">
      <c r="A83" s="38"/>
      <c r="B83" s="40"/>
      <c r="C83" s="40"/>
      <c r="D83" s="40"/>
      <c r="E83" s="38"/>
      <c r="F83" s="38"/>
      <c r="G83" s="38"/>
      <c r="H83" s="38"/>
    </row>
  </sheetData>
  <sheetProtection/>
  <mergeCells count="11">
    <mergeCell ref="A78:B78"/>
    <mergeCell ref="A6:E6"/>
    <mergeCell ref="B7:E7"/>
    <mergeCell ref="B8:E8"/>
    <mergeCell ref="B9:H9"/>
    <mergeCell ref="A74:B74"/>
    <mergeCell ref="A75:B75"/>
    <mergeCell ref="A3:H3"/>
    <mergeCell ref="B4:E4"/>
    <mergeCell ref="A5:E5"/>
    <mergeCell ref="A77:B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Layout" workbookViewId="0" topLeftCell="A1">
      <selection activeCell="A1" sqref="A1:IV5"/>
    </sheetView>
  </sheetViews>
  <sheetFormatPr defaultColWidth="9.140625" defaultRowHeight="12.75"/>
  <cols>
    <col min="1" max="1" width="12.421875" style="1" customWidth="1"/>
    <col min="2" max="2" width="99.7109375" style="1" customWidth="1"/>
    <col min="3" max="3" width="12.28125" style="1" hidden="1" customWidth="1"/>
    <col min="4" max="4" width="16.00390625" style="1" hidden="1" customWidth="1"/>
    <col min="5" max="5" width="21.57421875" style="1" hidden="1" customWidth="1"/>
    <col min="6" max="7" width="21.57421875" style="4" hidden="1" customWidth="1"/>
    <col min="8" max="8" width="33.7109375" style="4" customWidth="1"/>
  </cols>
  <sheetData>
    <row r="1" spans="1:8" ht="15">
      <c r="A1" s="4"/>
      <c r="B1" s="4"/>
      <c r="C1" s="4"/>
      <c r="D1" s="4"/>
      <c r="E1" s="64"/>
      <c r="F1" s="2"/>
      <c r="G1" s="2"/>
      <c r="H1" s="2"/>
    </row>
    <row r="2" spans="1:8" ht="18.75">
      <c r="A2" s="193" t="s">
        <v>6</v>
      </c>
      <c r="B2" s="193"/>
      <c r="C2" s="193"/>
      <c r="D2" s="193"/>
      <c r="E2" s="193"/>
      <c r="F2" s="193"/>
      <c r="G2" s="193"/>
      <c r="H2" s="193"/>
    </row>
    <row r="3" spans="1:8" ht="15">
      <c r="A3" s="4"/>
      <c r="B3" s="218"/>
      <c r="C3" s="218"/>
      <c r="D3" s="218"/>
      <c r="E3" s="218"/>
      <c r="F3" s="2"/>
      <c r="G3" s="2"/>
      <c r="H3" s="2"/>
    </row>
    <row r="4" spans="1:8" ht="15.75">
      <c r="A4" s="195" t="s">
        <v>1</v>
      </c>
      <c r="B4" s="195"/>
      <c r="C4" s="195"/>
      <c r="D4" s="195"/>
      <c r="E4" s="195"/>
      <c r="F4" s="14"/>
      <c r="G4" s="14"/>
      <c r="H4" s="14"/>
    </row>
    <row r="5" spans="1:8" ht="15.75">
      <c r="A5" s="195" t="s">
        <v>0</v>
      </c>
      <c r="B5" s="195"/>
      <c r="C5" s="195"/>
      <c r="D5" s="195"/>
      <c r="E5" s="195"/>
      <c r="F5" s="14"/>
      <c r="G5" s="14"/>
      <c r="H5" s="14"/>
    </row>
    <row r="6" spans="1:8" ht="15.75">
      <c r="A6" s="8"/>
      <c r="B6" s="195" t="s">
        <v>44</v>
      </c>
      <c r="C6" s="195"/>
      <c r="D6" s="195"/>
      <c r="E6" s="195"/>
      <c r="F6" s="14"/>
      <c r="G6" s="14"/>
      <c r="H6" s="14"/>
    </row>
    <row r="7" spans="1:8" ht="15.75">
      <c r="A7" s="8"/>
      <c r="B7" s="195" t="s">
        <v>85</v>
      </c>
      <c r="C7" s="195"/>
      <c r="D7" s="195"/>
      <c r="E7" s="195"/>
      <c r="F7" s="14"/>
      <c r="G7" s="14"/>
      <c r="H7" s="14"/>
    </row>
    <row r="8" spans="1:8" ht="15.75">
      <c r="A8" s="8"/>
      <c r="B8" s="223" t="s">
        <v>111</v>
      </c>
      <c r="C8" s="223"/>
      <c r="D8" s="223"/>
      <c r="E8" s="223"/>
      <c r="F8" s="223"/>
      <c r="G8" s="223"/>
      <c r="H8" s="223"/>
    </row>
    <row r="9" spans="1:8" ht="15.75">
      <c r="A9" s="8" t="s">
        <v>2</v>
      </c>
      <c r="B9" s="8" t="s">
        <v>205</v>
      </c>
      <c r="C9" s="8"/>
      <c r="D9" s="8"/>
      <c r="E9" s="8"/>
      <c r="F9" s="14"/>
      <c r="G9" s="14"/>
      <c r="H9" s="14"/>
    </row>
    <row r="10" spans="1:8" ht="15.75" hidden="1">
      <c r="A10" s="8"/>
      <c r="B10" s="8"/>
      <c r="C10" s="8"/>
      <c r="D10" s="8"/>
      <c r="E10" s="8"/>
      <c r="F10" s="14"/>
      <c r="G10" s="14"/>
      <c r="H10" s="14"/>
    </row>
    <row r="11" spans="1:8" ht="15.75" hidden="1">
      <c r="A11" s="15"/>
      <c r="B11" s="16"/>
      <c r="C11" s="16"/>
      <c r="D11" s="16"/>
      <c r="E11" s="77"/>
      <c r="F11" s="14"/>
      <c r="G11" s="14"/>
      <c r="H11" s="14"/>
    </row>
    <row r="12" spans="1:8" ht="50.25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8">
        <v>3</v>
      </c>
      <c r="D13" s="19"/>
      <c r="E13" s="18">
        <v>3</v>
      </c>
      <c r="F13" s="19">
        <v>4</v>
      </c>
      <c r="G13" s="19"/>
      <c r="H13" s="19">
        <v>3</v>
      </c>
    </row>
    <row r="14" spans="1:8" ht="15.75">
      <c r="A14" s="20"/>
      <c r="B14" s="45" t="s">
        <v>71</v>
      </c>
      <c r="C14" s="97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166.5</v>
      </c>
      <c r="D15" s="68">
        <f aca="true" t="shared" si="0" ref="D15:D20">ROUND(C15/0.702804,2)</f>
        <v>236.91</v>
      </c>
      <c r="E15" s="25">
        <f aca="true" t="shared" si="1" ref="E15:E20">ROUND(D15/621*310,2)</f>
        <v>118.26</v>
      </c>
      <c r="F15" s="25">
        <v>122.99</v>
      </c>
      <c r="G15" s="25">
        <v>157.2</v>
      </c>
      <c r="H15" s="25">
        <f>G15/311*150+150*0.03</f>
        <v>80.31993569131834</v>
      </c>
    </row>
    <row r="16" spans="1:8" ht="15.75">
      <c r="A16" s="23">
        <v>1200</v>
      </c>
      <c r="B16" s="32" t="s">
        <v>73</v>
      </c>
      <c r="C16" s="47">
        <v>39.28</v>
      </c>
      <c r="D16" s="68">
        <f t="shared" si="0"/>
        <v>55.89</v>
      </c>
      <c r="E16" s="25">
        <f t="shared" si="1"/>
        <v>27.9</v>
      </c>
      <c r="F16" s="25">
        <v>29.01</v>
      </c>
      <c r="G16" s="25">
        <v>37.87</v>
      </c>
      <c r="H16" s="25">
        <f>G16/311*150+150*0.01</f>
        <v>19.765273311897104</v>
      </c>
    </row>
    <row r="17" spans="1:8" ht="15.75">
      <c r="A17" s="23">
        <v>2222</v>
      </c>
      <c r="B17" s="32" t="s">
        <v>39</v>
      </c>
      <c r="C17" s="25">
        <v>204.93</v>
      </c>
      <c r="D17" s="68">
        <f t="shared" si="0"/>
        <v>291.59</v>
      </c>
      <c r="E17" s="25">
        <f t="shared" si="1"/>
        <v>145.56</v>
      </c>
      <c r="F17" s="25">
        <f>ROUND(E17/310*311,2)</f>
        <v>146.03</v>
      </c>
      <c r="G17" s="25">
        <f>F17</f>
        <v>146.03</v>
      </c>
      <c r="H17" s="25">
        <f>G17/311*150</f>
        <v>70.43247588424438</v>
      </c>
    </row>
    <row r="18" spans="1:8" ht="15.75">
      <c r="A18" s="23">
        <v>2243</v>
      </c>
      <c r="B18" s="109" t="s">
        <v>103</v>
      </c>
      <c r="C18" s="25">
        <v>108.4</v>
      </c>
      <c r="D18" s="68">
        <f t="shared" si="0"/>
        <v>154.24</v>
      </c>
      <c r="E18" s="25">
        <f t="shared" si="1"/>
        <v>77</v>
      </c>
      <c r="F18" s="25">
        <f>ROUND(E18/310*311,2)</f>
        <v>77.25</v>
      </c>
      <c r="G18" s="25">
        <f>F18</f>
        <v>77.25</v>
      </c>
      <c r="H18" s="25">
        <f>G18/311*150</f>
        <v>37.258842443729904</v>
      </c>
    </row>
    <row r="19" spans="1:8" ht="15.75">
      <c r="A19" s="23">
        <v>2341</v>
      </c>
      <c r="B19" s="32" t="s">
        <v>23</v>
      </c>
      <c r="C19" s="25">
        <v>10.86</v>
      </c>
      <c r="D19" s="68">
        <f t="shared" si="0"/>
        <v>15.45</v>
      </c>
      <c r="E19" s="25">
        <f t="shared" si="1"/>
        <v>7.71</v>
      </c>
      <c r="F19" s="25">
        <f>ROUND(E19/310*311,2)</f>
        <v>7.73</v>
      </c>
      <c r="G19" s="25">
        <f>F19</f>
        <v>7.73</v>
      </c>
      <c r="H19" s="25">
        <f>G19/311*150</f>
        <v>3.7282958199356915</v>
      </c>
    </row>
    <row r="20" spans="1:8" ht="15.75">
      <c r="A20" s="23">
        <v>2350</v>
      </c>
      <c r="B20" s="32" t="s">
        <v>25</v>
      </c>
      <c r="C20" s="25">
        <v>24.43</v>
      </c>
      <c r="D20" s="68">
        <f t="shared" si="0"/>
        <v>34.76</v>
      </c>
      <c r="E20" s="25">
        <f t="shared" si="1"/>
        <v>17.35</v>
      </c>
      <c r="F20" s="25">
        <f>ROUND(E20/310*311,2)</f>
        <v>17.41</v>
      </c>
      <c r="G20" s="25">
        <f>F20</f>
        <v>17.41</v>
      </c>
      <c r="H20" s="25">
        <f>G20/311*150</f>
        <v>8.39710610932476</v>
      </c>
    </row>
    <row r="21" spans="1:8" ht="15.75" hidden="1">
      <c r="A21" s="23"/>
      <c r="B21" s="32"/>
      <c r="C21" s="25"/>
      <c r="D21" s="32"/>
      <c r="E21" s="25"/>
      <c r="F21" s="28"/>
      <c r="G21" s="28"/>
      <c r="H21" s="25">
        <f>G21/311*150</f>
        <v>0</v>
      </c>
    </row>
    <row r="22" spans="1:8" ht="15.75" hidden="1">
      <c r="A22" s="23"/>
      <c r="B22" s="32"/>
      <c r="C22" s="25"/>
      <c r="D22" s="32"/>
      <c r="E22" s="25"/>
      <c r="F22" s="28"/>
      <c r="G22" s="28"/>
      <c r="H22" s="28"/>
    </row>
    <row r="23" spans="1:8" ht="15.75" hidden="1">
      <c r="A23" s="23"/>
      <c r="B23" s="23"/>
      <c r="C23" s="25"/>
      <c r="D23" s="23"/>
      <c r="E23" s="25"/>
      <c r="F23" s="25"/>
      <c r="G23" s="25"/>
      <c r="H23" s="25"/>
    </row>
    <row r="24" spans="1:8" ht="15.75">
      <c r="A24" s="23"/>
      <c r="B24" s="46" t="s">
        <v>74</v>
      </c>
      <c r="C24" s="28">
        <f aca="true" t="shared" si="2" ref="C24:H24">SUM(C15:C23)</f>
        <v>554.4</v>
      </c>
      <c r="D24" s="28">
        <f t="shared" si="2"/>
        <v>788.84</v>
      </c>
      <c r="E24" s="28">
        <f t="shared" si="2"/>
        <v>393.78000000000003</v>
      </c>
      <c r="F24" s="28">
        <f t="shared" si="2"/>
        <v>400.42</v>
      </c>
      <c r="G24" s="28">
        <f t="shared" si="2"/>
        <v>443.49000000000007</v>
      </c>
      <c r="H24" s="28">
        <f t="shared" si="2"/>
        <v>219.9019292604502</v>
      </c>
    </row>
    <row r="25" spans="1:8" ht="15.75">
      <c r="A25" s="29"/>
      <c r="B25" s="23" t="s">
        <v>75</v>
      </c>
      <c r="C25" s="25"/>
      <c r="D25" s="23"/>
      <c r="E25" s="25"/>
      <c r="F25" s="25"/>
      <c r="G25" s="25"/>
      <c r="H25" s="25"/>
    </row>
    <row r="26" spans="1:8" ht="15.75">
      <c r="A26" s="23">
        <v>1100</v>
      </c>
      <c r="B26" s="23" t="s">
        <v>72</v>
      </c>
      <c r="C26" s="25">
        <v>438.55</v>
      </c>
      <c r="D26" s="68">
        <f aca="true" t="shared" si="3" ref="D26:D64">ROUND(C26/0.702804,2)</f>
        <v>624</v>
      </c>
      <c r="E26" s="25">
        <f aca="true" t="shared" si="4" ref="E26:E64">ROUND(D26/621*310,2)</f>
        <v>311.5</v>
      </c>
      <c r="F26" s="25">
        <v>321.04</v>
      </c>
      <c r="G26" s="25">
        <v>319.74</v>
      </c>
      <c r="H26" s="25">
        <f aca="true" t="shared" si="5" ref="H26:H65">G26/311*150</f>
        <v>154.2154340836013</v>
      </c>
    </row>
    <row r="27" spans="1:8" ht="15.75">
      <c r="A27" s="23">
        <v>1200</v>
      </c>
      <c r="B27" s="32" t="s">
        <v>73</v>
      </c>
      <c r="C27" s="25">
        <v>103.45</v>
      </c>
      <c r="D27" s="68">
        <f t="shared" si="3"/>
        <v>147.2</v>
      </c>
      <c r="E27" s="25">
        <f t="shared" si="4"/>
        <v>73.48</v>
      </c>
      <c r="F27" s="25">
        <v>75.73</v>
      </c>
      <c r="G27" s="25">
        <v>77.03</v>
      </c>
      <c r="H27" s="25">
        <f t="shared" si="5"/>
        <v>37.152733118971064</v>
      </c>
    </row>
    <row r="28" spans="1:8" ht="15.75" hidden="1">
      <c r="A28" s="23">
        <v>2100</v>
      </c>
      <c r="B28" s="30" t="s">
        <v>42</v>
      </c>
      <c r="C28" s="25"/>
      <c r="D28" s="68">
        <f t="shared" si="3"/>
        <v>0</v>
      </c>
      <c r="E28" s="25">
        <f t="shared" si="4"/>
        <v>0</v>
      </c>
      <c r="F28" s="25">
        <f aca="true" t="shared" si="6" ref="F28:F65">ROUND(E28/310*311,2)</f>
        <v>0</v>
      </c>
      <c r="G28" s="25">
        <f aca="true" t="shared" si="7" ref="G28:G69">F28</f>
        <v>0</v>
      </c>
      <c r="H28" s="25">
        <f t="shared" si="5"/>
        <v>0</v>
      </c>
    </row>
    <row r="29" spans="1:8" ht="15.75">
      <c r="A29" s="31">
        <v>2210</v>
      </c>
      <c r="B29" s="32" t="s">
        <v>38</v>
      </c>
      <c r="C29" s="25">
        <v>11</v>
      </c>
      <c r="D29" s="68">
        <f t="shared" si="3"/>
        <v>15.65</v>
      </c>
      <c r="E29" s="25">
        <f t="shared" si="4"/>
        <v>7.81</v>
      </c>
      <c r="F29" s="25">
        <f t="shared" si="6"/>
        <v>7.84</v>
      </c>
      <c r="G29" s="25">
        <f t="shared" si="7"/>
        <v>7.84</v>
      </c>
      <c r="H29" s="25">
        <f t="shared" si="5"/>
        <v>3.7813504823151125</v>
      </c>
    </row>
    <row r="30" spans="1:8" ht="15.75" hidden="1">
      <c r="A30" s="23">
        <v>2222</v>
      </c>
      <c r="B30" s="32" t="s">
        <v>39</v>
      </c>
      <c r="C30" s="25"/>
      <c r="D30" s="68">
        <f t="shared" si="3"/>
        <v>0</v>
      </c>
      <c r="E30" s="25">
        <f t="shared" si="4"/>
        <v>0</v>
      </c>
      <c r="F30" s="25">
        <f t="shared" si="6"/>
        <v>0</v>
      </c>
      <c r="G30" s="25">
        <f t="shared" si="7"/>
        <v>0</v>
      </c>
      <c r="H30" s="25">
        <f t="shared" si="5"/>
        <v>0</v>
      </c>
    </row>
    <row r="31" spans="1:8" ht="15.75">
      <c r="A31" s="23">
        <v>2223</v>
      </c>
      <c r="B31" s="32" t="s">
        <v>40</v>
      </c>
      <c r="C31" s="25">
        <v>7</v>
      </c>
      <c r="D31" s="68">
        <f t="shared" si="3"/>
        <v>9.96</v>
      </c>
      <c r="E31" s="25">
        <f t="shared" si="4"/>
        <v>4.97</v>
      </c>
      <c r="F31" s="25">
        <f t="shared" si="6"/>
        <v>4.99</v>
      </c>
      <c r="G31" s="25">
        <f t="shared" si="7"/>
        <v>4.99</v>
      </c>
      <c r="H31" s="25">
        <f t="shared" si="5"/>
        <v>2.4067524115755625</v>
      </c>
    </row>
    <row r="32" spans="1:8" ht="15.75">
      <c r="A32" s="23">
        <v>2230</v>
      </c>
      <c r="B32" s="32" t="s">
        <v>41</v>
      </c>
      <c r="C32" s="25">
        <v>2</v>
      </c>
      <c r="D32" s="68">
        <f t="shared" si="3"/>
        <v>2.85</v>
      </c>
      <c r="E32" s="25">
        <f t="shared" si="4"/>
        <v>1.42</v>
      </c>
      <c r="F32" s="25">
        <f t="shared" si="6"/>
        <v>1.42</v>
      </c>
      <c r="G32" s="25">
        <f t="shared" si="7"/>
        <v>1.42</v>
      </c>
      <c r="H32" s="25">
        <f t="shared" si="5"/>
        <v>0.684887459807074</v>
      </c>
    </row>
    <row r="33" spans="1:8" ht="15.75" hidden="1">
      <c r="A33" s="23">
        <v>2241</v>
      </c>
      <c r="B33" s="32" t="s">
        <v>9</v>
      </c>
      <c r="C33" s="25"/>
      <c r="D33" s="68">
        <f t="shared" si="3"/>
        <v>0</v>
      </c>
      <c r="E33" s="25">
        <f t="shared" si="4"/>
        <v>0</v>
      </c>
      <c r="F33" s="25">
        <f t="shared" si="6"/>
        <v>0</v>
      </c>
      <c r="G33" s="25">
        <f t="shared" si="7"/>
        <v>0</v>
      </c>
      <c r="H33" s="25">
        <f t="shared" si="5"/>
        <v>0</v>
      </c>
    </row>
    <row r="34" spans="1:8" ht="15.75">
      <c r="A34" s="23">
        <v>2242</v>
      </c>
      <c r="B34" s="32" t="s">
        <v>10</v>
      </c>
      <c r="C34" s="25">
        <v>2</v>
      </c>
      <c r="D34" s="68">
        <f t="shared" si="3"/>
        <v>2.85</v>
      </c>
      <c r="E34" s="25">
        <f t="shared" si="4"/>
        <v>1.42</v>
      </c>
      <c r="F34" s="25">
        <f t="shared" si="6"/>
        <v>1.42</v>
      </c>
      <c r="G34" s="25">
        <f t="shared" si="7"/>
        <v>1.42</v>
      </c>
      <c r="H34" s="25">
        <f t="shared" si="5"/>
        <v>0.684887459807074</v>
      </c>
    </row>
    <row r="35" spans="1:8" ht="15.75">
      <c r="A35" s="23">
        <v>2243</v>
      </c>
      <c r="B35" s="32" t="s">
        <v>11</v>
      </c>
      <c r="C35" s="25">
        <v>6</v>
      </c>
      <c r="D35" s="68">
        <f t="shared" si="3"/>
        <v>8.54</v>
      </c>
      <c r="E35" s="25">
        <f t="shared" si="4"/>
        <v>4.26</v>
      </c>
      <c r="F35" s="25">
        <f t="shared" si="6"/>
        <v>4.27</v>
      </c>
      <c r="G35" s="25">
        <f t="shared" si="7"/>
        <v>4.27</v>
      </c>
      <c r="H35" s="25">
        <f t="shared" si="5"/>
        <v>2.0594855305466235</v>
      </c>
    </row>
    <row r="36" spans="1:8" ht="15.75">
      <c r="A36" s="23">
        <v>2244</v>
      </c>
      <c r="B36" s="32" t="s">
        <v>12</v>
      </c>
      <c r="C36" s="25">
        <v>121.69</v>
      </c>
      <c r="D36" s="68">
        <f t="shared" si="3"/>
        <v>173.15</v>
      </c>
      <c r="E36" s="25">
        <f t="shared" si="4"/>
        <v>86.44</v>
      </c>
      <c r="F36" s="25">
        <f t="shared" si="6"/>
        <v>86.72</v>
      </c>
      <c r="G36" s="25">
        <f t="shared" si="7"/>
        <v>86.72</v>
      </c>
      <c r="H36" s="25">
        <f>G36/311*150+150*0.14</f>
        <v>62.826366559485535</v>
      </c>
    </row>
    <row r="37" spans="1:8" ht="15.75">
      <c r="A37" s="23">
        <v>2247</v>
      </c>
      <c r="B37" s="45" t="s">
        <v>76</v>
      </c>
      <c r="C37" s="25">
        <v>1</v>
      </c>
      <c r="D37" s="68">
        <f t="shared" si="3"/>
        <v>1.42</v>
      </c>
      <c r="E37" s="25">
        <f t="shared" si="4"/>
        <v>0.71</v>
      </c>
      <c r="F37" s="25">
        <f t="shared" si="6"/>
        <v>0.71</v>
      </c>
      <c r="G37" s="25">
        <f t="shared" si="7"/>
        <v>0.71</v>
      </c>
      <c r="H37" s="25">
        <f t="shared" si="5"/>
        <v>0.342443729903537</v>
      </c>
    </row>
    <row r="38" spans="1:8" ht="15.75">
      <c r="A38" s="23">
        <v>2249</v>
      </c>
      <c r="B38" s="32" t="s">
        <v>13</v>
      </c>
      <c r="C38" s="25">
        <v>3</v>
      </c>
      <c r="D38" s="68">
        <f t="shared" si="3"/>
        <v>4.27</v>
      </c>
      <c r="E38" s="25">
        <f t="shared" si="4"/>
        <v>2.13</v>
      </c>
      <c r="F38" s="25">
        <f t="shared" si="6"/>
        <v>2.14</v>
      </c>
      <c r="G38" s="25">
        <f t="shared" si="7"/>
        <v>2.14</v>
      </c>
      <c r="H38" s="25">
        <f t="shared" si="5"/>
        <v>1.032154340836013</v>
      </c>
    </row>
    <row r="39" spans="1:8" ht="15.75">
      <c r="A39" s="23">
        <v>2251</v>
      </c>
      <c r="B39" s="32" t="s">
        <v>77</v>
      </c>
      <c r="C39" s="25">
        <v>9</v>
      </c>
      <c r="D39" s="68">
        <f t="shared" si="3"/>
        <v>12.81</v>
      </c>
      <c r="E39" s="25">
        <f t="shared" si="4"/>
        <v>6.39</v>
      </c>
      <c r="F39" s="25">
        <f t="shared" si="6"/>
        <v>6.41</v>
      </c>
      <c r="G39" s="25">
        <f t="shared" si="7"/>
        <v>6.41</v>
      </c>
      <c r="H39" s="25">
        <f t="shared" si="5"/>
        <v>3.0916398713826365</v>
      </c>
    </row>
    <row r="40" spans="1:8" ht="15.75" hidden="1">
      <c r="A40" s="23">
        <v>2252</v>
      </c>
      <c r="B40" s="32" t="s">
        <v>7</v>
      </c>
      <c r="C40" s="25"/>
      <c r="D40" s="68">
        <f t="shared" si="3"/>
        <v>0</v>
      </c>
      <c r="E40" s="25">
        <f t="shared" si="4"/>
        <v>0</v>
      </c>
      <c r="F40" s="25">
        <f t="shared" si="6"/>
        <v>0</v>
      </c>
      <c r="G40" s="25">
        <f t="shared" si="7"/>
        <v>0</v>
      </c>
      <c r="H40" s="25">
        <f t="shared" si="5"/>
        <v>0</v>
      </c>
    </row>
    <row r="41" spans="1:8" ht="15.75" hidden="1">
      <c r="A41" s="23">
        <v>2259</v>
      </c>
      <c r="B41" s="32" t="s">
        <v>8</v>
      </c>
      <c r="C41" s="25">
        <v>0</v>
      </c>
      <c r="D41" s="68">
        <f t="shared" si="3"/>
        <v>0</v>
      </c>
      <c r="E41" s="25">
        <f t="shared" si="4"/>
        <v>0</v>
      </c>
      <c r="F41" s="25">
        <f t="shared" si="6"/>
        <v>0</v>
      </c>
      <c r="G41" s="25">
        <f t="shared" si="7"/>
        <v>0</v>
      </c>
      <c r="H41" s="25">
        <f t="shared" si="5"/>
        <v>0</v>
      </c>
    </row>
    <row r="42" spans="1:8" ht="15.75">
      <c r="A42" s="23">
        <v>2261</v>
      </c>
      <c r="B42" s="32" t="s">
        <v>14</v>
      </c>
      <c r="C42" s="25">
        <v>2</v>
      </c>
      <c r="D42" s="68">
        <f t="shared" si="3"/>
        <v>2.85</v>
      </c>
      <c r="E42" s="25">
        <f t="shared" si="4"/>
        <v>1.42</v>
      </c>
      <c r="F42" s="25">
        <f t="shared" si="6"/>
        <v>1.42</v>
      </c>
      <c r="G42" s="25">
        <f t="shared" si="7"/>
        <v>1.42</v>
      </c>
      <c r="H42" s="25">
        <f t="shared" si="5"/>
        <v>0.684887459807074</v>
      </c>
    </row>
    <row r="43" spans="1:8" ht="15.75">
      <c r="A43" s="23">
        <v>2262</v>
      </c>
      <c r="B43" s="32" t="s">
        <v>15</v>
      </c>
      <c r="C43" s="25">
        <v>7</v>
      </c>
      <c r="D43" s="68">
        <f t="shared" si="3"/>
        <v>9.96</v>
      </c>
      <c r="E43" s="25">
        <f t="shared" si="4"/>
        <v>4.97</v>
      </c>
      <c r="F43" s="25">
        <f t="shared" si="6"/>
        <v>4.99</v>
      </c>
      <c r="G43" s="25">
        <f t="shared" si="7"/>
        <v>4.99</v>
      </c>
      <c r="H43" s="25">
        <f t="shared" si="5"/>
        <v>2.4067524115755625</v>
      </c>
    </row>
    <row r="44" spans="1:8" ht="15.75">
      <c r="A44" s="23">
        <v>2263</v>
      </c>
      <c r="B44" s="32" t="s">
        <v>16</v>
      </c>
      <c r="C44" s="25">
        <v>27</v>
      </c>
      <c r="D44" s="68">
        <f t="shared" si="3"/>
        <v>38.42</v>
      </c>
      <c r="E44" s="25">
        <f t="shared" si="4"/>
        <v>19.18</v>
      </c>
      <c r="F44" s="25">
        <f t="shared" si="6"/>
        <v>19.24</v>
      </c>
      <c r="G44" s="25">
        <f t="shared" si="7"/>
        <v>19.24</v>
      </c>
      <c r="H44" s="25">
        <f t="shared" si="5"/>
        <v>9.27974276527331</v>
      </c>
    </row>
    <row r="45" spans="1:8" ht="15.75" hidden="1">
      <c r="A45" s="23">
        <v>2264</v>
      </c>
      <c r="B45" s="32" t="s">
        <v>17</v>
      </c>
      <c r="C45" s="25">
        <v>0</v>
      </c>
      <c r="D45" s="68">
        <f t="shared" si="3"/>
        <v>0</v>
      </c>
      <c r="E45" s="25">
        <f t="shared" si="4"/>
        <v>0</v>
      </c>
      <c r="F45" s="25">
        <f t="shared" si="6"/>
        <v>0</v>
      </c>
      <c r="G45" s="25">
        <f t="shared" si="7"/>
        <v>0</v>
      </c>
      <c r="H45" s="25">
        <f t="shared" si="5"/>
        <v>0</v>
      </c>
    </row>
    <row r="46" spans="1:8" ht="15.75">
      <c r="A46" s="23">
        <v>2279</v>
      </c>
      <c r="B46" s="32" t="s">
        <v>18</v>
      </c>
      <c r="C46" s="25">
        <v>30</v>
      </c>
      <c r="D46" s="68">
        <f t="shared" si="3"/>
        <v>42.69</v>
      </c>
      <c r="E46" s="25">
        <f t="shared" si="4"/>
        <v>21.31</v>
      </c>
      <c r="F46" s="25">
        <f t="shared" si="6"/>
        <v>21.38</v>
      </c>
      <c r="G46" s="25">
        <f t="shared" si="7"/>
        <v>21.38</v>
      </c>
      <c r="H46" s="25">
        <f t="shared" si="5"/>
        <v>10.311897106109326</v>
      </c>
    </row>
    <row r="47" spans="1:8" ht="15.75">
      <c r="A47" s="23">
        <v>2311</v>
      </c>
      <c r="B47" s="32" t="s">
        <v>19</v>
      </c>
      <c r="C47" s="25">
        <v>3</v>
      </c>
      <c r="D47" s="68">
        <f t="shared" si="3"/>
        <v>4.27</v>
      </c>
      <c r="E47" s="25">
        <f t="shared" si="4"/>
        <v>2.13</v>
      </c>
      <c r="F47" s="25">
        <f t="shared" si="6"/>
        <v>2.14</v>
      </c>
      <c r="G47" s="25">
        <f t="shared" si="7"/>
        <v>2.14</v>
      </c>
      <c r="H47" s="25">
        <f t="shared" si="5"/>
        <v>1.032154340836013</v>
      </c>
    </row>
    <row r="48" spans="1:8" ht="15.75">
      <c r="A48" s="23">
        <v>2312</v>
      </c>
      <c r="B48" s="32" t="s">
        <v>20</v>
      </c>
      <c r="C48" s="25">
        <v>5</v>
      </c>
      <c r="D48" s="68">
        <f t="shared" si="3"/>
        <v>7.11</v>
      </c>
      <c r="E48" s="25">
        <f t="shared" si="4"/>
        <v>3.55</v>
      </c>
      <c r="F48" s="25">
        <f t="shared" si="6"/>
        <v>3.56</v>
      </c>
      <c r="G48" s="25">
        <f t="shared" si="7"/>
        <v>3.56</v>
      </c>
      <c r="H48" s="25">
        <f t="shared" si="5"/>
        <v>1.7170418006430868</v>
      </c>
    </row>
    <row r="49" spans="1:8" ht="15.75">
      <c r="A49" s="23">
        <v>2321</v>
      </c>
      <c r="B49" s="32" t="s">
        <v>21</v>
      </c>
      <c r="C49" s="25">
        <v>12</v>
      </c>
      <c r="D49" s="68">
        <f t="shared" si="3"/>
        <v>17.07</v>
      </c>
      <c r="E49" s="25">
        <f t="shared" si="4"/>
        <v>8.52</v>
      </c>
      <c r="F49" s="25">
        <f t="shared" si="6"/>
        <v>8.55</v>
      </c>
      <c r="G49" s="25">
        <f t="shared" si="7"/>
        <v>8.55</v>
      </c>
      <c r="H49" s="25">
        <f t="shared" si="5"/>
        <v>4.12379421221865</v>
      </c>
    </row>
    <row r="50" spans="1:8" ht="15.75">
      <c r="A50" s="23">
        <v>2322</v>
      </c>
      <c r="B50" s="32" t="s">
        <v>22</v>
      </c>
      <c r="C50" s="25">
        <v>7</v>
      </c>
      <c r="D50" s="68">
        <f t="shared" si="3"/>
        <v>9.96</v>
      </c>
      <c r="E50" s="25">
        <f t="shared" si="4"/>
        <v>4.97</v>
      </c>
      <c r="F50" s="25">
        <v>4.62</v>
      </c>
      <c r="G50" s="25">
        <f t="shared" si="7"/>
        <v>4.62</v>
      </c>
      <c r="H50" s="25">
        <f t="shared" si="5"/>
        <v>2.2282958199356915</v>
      </c>
    </row>
    <row r="51" spans="1:8" ht="15.75">
      <c r="A51" s="23">
        <v>2341</v>
      </c>
      <c r="B51" s="32" t="s">
        <v>23</v>
      </c>
      <c r="C51" s="25">
        <v>4</v>
      </c>
      <c r="D51" s="68">
        <f t="shared" si="3"/>
        <v>5.69</v>
      </c>
      <c r="E51" s="25">
        <f t="shared" si="4"/>
        <v>2.84</v>
      </c>
      <c r="F51" s="25">
        <f t="shared" si="6"/>
        <v>2.85</v>
      </c>
      <c r="G51" s="25">
        <f t="shared" si="7"/>
        <v>2.85</v>
      </c>
      <c r="H51" s="25">
        <f t="shared" si="5"/>
        <v>1.37459807073955</v>
      </c>
    </row>
    <row r="52" spans="1:8" ht="15.75" hidden="1">
      <c r="A52" s="23">
        <v>2344</v>
      </c>
      <c r="B52" s="32" t="s">
        <v>24</v>
      </c>
      <c r="C52" s="25">
        <v>0</v>
      </c>
      <c r="D52" s="68">
        <f t="shared" si="3"/>
        <v>0</v>
      </c>
      <c r="E52" s="25">
        <f t="shared" si="4"/>
        <v>0</v>
      </c>
      <c r="F52" s="25">
        <f t="shared" si="6"/>
        <v>0</v>
      </c>
      <c r="G52" s="25">
        <f t="shared" si="7"/>
        <v>0</v>
      </c>
      <c r="H52" s="25">
        <f t="shared" si="5"/>
        <v>0</v>
      </c>
    </row>
    <row r="53" spans="1:8" ht="15.75">
      <c r="A53" s="23">
        <v>2350</v>
      </c>
      <c r="B53" s="32" t="s">
        <v>25</v>
      </c>
      <c r="C53" s="25">
        <v>24</v>
      </c>
      <c r="D53" s="68">
        <f t="shared" si="3"/>
        <v>34.15</v>
      </c>
      <c r="E53" s="25">
        <f t="shared" si="4"/>
        <v>17.05</v>
      </c>
      <c r="F53" s="25">
        <f t="shared" si="6"/>
        <v>17.11</v>
      </c>
      <c r="G53" s="25">
        <v>17.52</v>
      </c>
      <c r="H53" s="25">
        <f t="shared" si="5"/>
        <v>8.45016077170418</v>
      </c>
    </row>
    <row r="54" spans="1:8" ht="15.75">
      <c r="A54" s="23">
        <v>2361</v>
      </c>
      <c r="B54" s="32" t="s">
        <v>26</v>
      </c>
      <c r="C54" s="25">
        <v>15</v>
      </c>
      <c r="D54" s="68">
        <f t="shared" si="3"/>
        <v>21.34</v>
      </c>
      <c r="E54" s="25">
        <f t="shared" si="4"/>
        <v>10.65</v>
      </c>
      <c r="F54" s="25">
        <f t="shared" si="6"/>
        <v>10.68</v>
      </c>
      <c r="G54" s="25">
        <f t="shared" si="7"/>
        <v>10.68</v>
      </c>
      <c r="H54" s="25">
        <f t="shared" si="5"/>
        <v>5.15112540192926</v>
      </c>
    </row>
    <row r="55" spans="1:8" ht="15.75" hidden="1">
      <c r="A55" s="23">
        <v>2362</v>
      </c>
      <c r="B55" s="32" t="s">
        <v>27</v>
      </c>
      <c r="C55" s="25"/>
      <c r="D55" s="68">
        <f t="shared" si="3"/>
        <v>0</v>
      </c>
      <c r="E55" s="25">
        <f t="shared" si="4"/>
        <v>0</v>
      </c>
      <c r="F55" s="25">
        <f t="shared" si="6"/>
        <v>0</v>
      </c>
      <c r="G55" s="25">
        <f t="shared" si="7"/>
        <v>0</v>
      </c>
      <c r="H55" s="25">
        <f t="shared" si="5"/>
        <v>0</v>
      </c>
    </row>
    <row r="56" spans="1:8" ht="15.75" hidden="1">
      <c r="A56" s="23">
        <v>2363</v>
      </c>
      <c r="B56" s="32" t="s">
        <v>28</v>
      </c>
      <c r="C56" s="25"/>
      <c r="D56" s="68">
        <f t="shared" si="3"/>
        <v>0</v>
      </c>
      <c r="E56" s="25">
        <f t="shared" si="4"/>
        <v>0</v>
      </c>
      <c r="F56" s="25">
        <f t="shared" si="6"/>
        <v>0</v>
      </c>
      <c r="G56" s="25">
        <f t="shared" si="7"/>
        <v>0</v>
      </c>
      <c r="H56" s="25">
        <f t="shared" si="5"/>
        <v>0</v>
      </c>
    </row>
    <row r="57" spans="1:8" ht="15.75" hidden="1">
      <c r="A57" s="23">
        <v>2370</v>
      </c>
      <c r="B57" s="32" t="s">
        <v>29</v>
      </c>
      <c r="C57" s="25"/>
      <c r="D57" s="68">
        <f t="shared" si="3"/>
        <v>0</v>
      </c>
      <c r="E57" s="25">
        <f t="shared" si="4"/>
        <v>0</v>
      </c>
      <c r="F57" s="25">
        <f t="shared" si="6"/>
        <v>0</v>
      </c>
      <c r="G57" s="25">
        <f t="shared" si="7"/>
        <v>0</v>
      </c>
      <c r="H57" s="25">
        <f t="shared" si="5"/>
        <v>0</v>
      </c>
    </row>
    <row r="58" spans="1:8" ht="15.75">
      <c r="A58" s="23">
        <v>2400</v>
      </c>
      <c r="B58" s="32" t="s">
        <v>43</v>
      </c>
      <c r="C58" s="25">
        <v>1</v>
      </c>
      <c r="D58" s="68">
        <f t="shared" si="3"/>
        <v>1.42</v>
      </c>
      <c r="E58" s="25">
        <f t="shared" si="4"/>
        <v>0.71</v>
      </c>
      <c r="F58" s="25">
        <f t="shared" si="6"/>
        <v>0.71</v>
      </c>
      <c r="G58" s="25">
        <f t="shared" si="7"/>
        <v>0.71</v>
      </c>
      <c r="H58" s="25">
        <f t="shared" si="5"/>
        <v>0.342443729903537</v>
      </c>
    </row>
    <row r="59" spans="1:8" ht="15.75" hidden="1">
      <c r="A59" s="23">
        <v>2512</v>
      </c>
      <c r="B59" s="32" t="s">
        <v>30</v>
      </c>
      <c r="C59" s="25">
        <v>0</v>
      </c>
      <c r="D59" s="68">
        <f t="shared" si="3"/>
        <v>0</v>
      </c>
      <c r="E59" s="25">
        <f t="shared" si="4"/>
        <v>0</v>
      </c>
      <c r="F59" s="25">
        <f t="shared" si="6"/>
        <v>0</v>
      </c>
      <c r="G59" s="25">
        <f t="shared" si="7"/>
        <v>0</v>
      </c>
      <c r="H59" s="25">
        <f t="shared" si="5"/>
        <v>0</v>
      </c>
    </row>
    <row r="60" spans="1:8" ht="15.75">
      <c r="A60" s="23">
        <v>2513</v>
      </c>
      <c r="B60" s="32" t="s">
        <v>31</v>
      </c>
      <c r="C60" s="25">
        <v>8</v>
      </c>
      <c r="D60" s="68">
        <f t="shared" si="3"/>
        <v>11.38</v>
      </c>
      <c r="E60" s="25">
        <f t="shared" si="4"/>
        <v>5.68</v>
      </c>
      <c r="F60" s="25">
        <f t="shared" si="6"/>
        <v>5.7</v>
      </c>
      <c r="G60" s="25">
        <v>5.76</v>
      </c>
      <c r="H60" s="25">
        <f t="shared" si="5"/>
        <v>2.778135048231511</v>
      </c>
    </row>
    <row r="61" spans="1:8" ht="15.75">
      <c r="A61" s="23">
        <v>2515</v>
      </c>
      <c r="B61" s="32" t="s">
        <v>78</v>
      </c>
      <c r="C61" s="25">
        <v>13</v>
      </c>
      <c r="D61" s="68">
        <f t="shared" si="3"/>
        <v>18.5</v>
      </c>
      <c r="E61" s="25">
        <f t="shared" si="4"/>
        <v>9.24</v>
      </c>
      <c r="F61" s="25">
        <f t="shared" si="6"/>
        <v>9.27</v>
      </c>
      <c r="G61" s="25">
        <f t="shared" si="7"/>
        <v>9.27</v>
      </c>
      <c r="H61" s="25">
        <f t="shared" si="5"/>
        <v>4.471061093247588</v>
      </c>
    </row>
    <row r="62" spans="1:8" ht="15.75">
      <c r="A62" s="23">
        <v>2519</v>
      </c>
      <c r="B62" s="32" t="s">
        <v>34</v>
      </c>
      <c r="C62" s="25">
        <v>1</v>
      </c>
      <c r="D62" s="68">
        <f t="shared" si="3"/>
        <v>1.42</v>
      </c>
      <c r="E62" s="25">
        <f t="shared" si="4"/>
        <v>0.71</v>
      </c>
      <c r="F62" s="25">
        <f t="shared" si="6"/>
        <v>0.71</v>
      </c>
      <c r="G62" s="25">
        <f t="shared" si="7"/>
        <v>0.71</v>
      </c>
      <c r="H62" s="25">
        <f t="shared" si="5"/>
        <v>0.342443729903537</v>
      </c>
    </row>
    <row r="63" spans="1:8" ht="15.75" hidden="1">
      <c r="A63" s="23">
        <v>6240</v>
      </c>
      <c r="B63" s="32"/>
      <c r="C63" s="25"/>
      <c r="D63" s="68">
        <f t="shared" si="3"/>
        <v>0</v>
      </c>
      <c r="E63" s="25">
        <f t="shared" si="4"/>
        <v>0</v>
      </c>
      <c r="F63" s="25">
        <f t="shared" si="6"/>
        <v>0</v>
      </c>
      <c r="G63" s="25">
        <f t="shared" si="7"/>
        <v>0</v>
      </c>
      <c r="H63" s="25">
        <f t="shared" si="5"/>
        <v>0</v>
      </c>
    </row>
    <row r="64" spans="1:8" ht="15.75" hidden="1">
      <c r="A64" s="23">
        <v>6290</v>
      </c>
      <c r="B64" s="32"/>
      <c r="C64" s="25"/>
      <c r="D64" s="68">
        <f t="shared" si="3"/>
        <v>0</v>
      </c>
      <c r="E64" s="25">
        <f t="shared" si="4"/>
        <v>0</v>
      </c>
      <c r="F64" s="25">
        <f t="shared" si="6"/>
        <v>0</v>
      </c>
      <c r="G64" s="25">
        <f t="shared" si="7"/>
        <v>0</v>
      </c>
      <c r="H64" s="25">
        <f t="shared" si="5"/>
        <v>0</v>
      </c>
    </row>
    <row r="65" spans="1:8" ht="15.75">
      <c r="A65" s="23">
        <v>5121</v>
      </c>
      <c r="B65" s="32" t="s">
        <v>32</v>
      </c>
      <c r="C65" s="25">
        <v>4</v>
      </c>
      <c r="D65" s="68">
        <v>6.69</v>
      </c>
      <c r="E65" s="25">
        <v>3.36</v>
      </c>
      <c r="F65" s="25">
        <f t="shared" si="6"/>
        <v>3.37</v>
      </c>
      <c r="G65" s="25">
        <f t="shared" si="7"/>
        <v>3.37</v>
      </c>
      <c r="H65" s="25">
        <f t="shared" si="5"/>
        <v>1.62540192926045</v>
      </c>
    </row>
    <row r="66" spans="1:8" ht="15.75" hidden="1">
      <c r="A66" s="23">
        <v>5232</v>
      </c>
      <c r="B66" s="32" t="s">
        <v>33</v>
      </c>
      <c r="C66" s="25">
        <v>0</v>
      </c>
      <c r="D66" s="32"/>
      <c r="E66" s="25">
        <v>0</v>
      </c>
      <c r="F66" s="25">
        <f>E66/9665*1700</f>
        <v>0</v>
      </c>
      <c r="G66" s="25">
        <f t="shared" si="7"/>
        <v>0</v>
      </c>
      <c r="H66" s="25">
        <f>E66/9665*1700</f>
        <v>0</v>
      </c>
    </row>
    <row r="67" spans="1:8" ht="15.75" hidden="1">
      <c r="A67" s="23">
        <v>5238</v>
      </c>
      <c r="B67" s="32" t="s">
        <v>35</v>
      </c>
      <c r="C67" s="25">
        <v>0</v>
      </c>
      <c r="D67" s="32"/>
      <c r="E67" s="25">
        <v>0</v>
      </c>
      <c r="F67" s="25">
        <f>E67/9665*1700</f>
        <v>0</v>
      </c>
      <c r="G67" s="25">
        <f t="shared" si="7"/>
        <v>0</v>
      </c>
      <c r="H67" s="25">
        <f>E67/9665*1700</f>
        <v>0</v>
      </c>
    </row>
    <row r="68" spans="1:8" ht="15.75" hidden="1">
      <c r="A68" s="23">
        <v>5240</v>
      </c>
      <c r="B68" s="32" t="s">
        <v>36</v>
      </c>
      <c r="C68" s="25">
        <v>0</v>
      </c>
      <c r="D68" s="32"/>
      <c r="E68" s="25">
        <v>0</v>
      </c>
      <c r="F68" s="25">
        <f>E68/9665*1700</f>
        <v>0</v>
      </c>
      <c r="G68" s="25">
        <f t="shared" si="7"/>
        <v>0</v>
      </c>
      <c r="H68" s="25">
        <f>E68/9665*1700</f>
        <v>0</v>
      </c>
    </row>
    <row r="69" spans="1:8" ht="15.75" hidden="1">
      <c r="A69" s="23">
        <v>5250</v>
      </c>
      <c r="B69" s="32" t="s">
        <v>37</v>
      </c>
      <c r="C69" s="25"/>
      <c r="D69" s="32"/>
      <c r="E69" s="25"/>
      <c r="F69" s="25">
        <f>E69/9665*1700</f>
        <v>0</v>
      </c>
      <c r="G69" s="25">
        <f t="shared" si="7"/>
        <v>0</v>
      </c>
      <c r="H69" s="25">
        <f>E69/9665*1700</f>
        <v>0</v>
      </c>
    </row>
    <row r="70" spans="1:8" ht="15.75">
      <c r="A70" s="29"/>
      <c r="B70" s="48" t="s">
        <v>79</v>
      </c>
      <c r="C70" s="28">
        <f aca="true" t="shared" si="8" ref="C70:H70">SUM(C26:C69)</f>
        <v>867.69</v>
      </c>
      <c r="D70" s="28">
        <f t="shared" si="8"/>
        <v>1235.6200000000003</v>
      </c>
      <c r="E70" s="28">
        <f t="shared" si="8"/>
        <v>616.8199999999999</v>
      </c>
      <c r="F70" s="28">
        <f t="shared" si="8"/>
        <v>628.99</v>
      </c>
      <c r="G70" s="28">
        <f t="shared" si="8"/>
        <v>629.4599999999998</v>
      </c>
      <c r="H70" s="28">
        <f t="shared" si="8"/>
        <v>324.5980707395499</v>
      </c>
    </row>
    <row r="71" spans="1:8" ht="15.75">
      <c r="A71" s="29"/>
      <c r="B71" s="48" t="s">
        <v>80</v>
      </c>
      <c r="C71" s="28">
        <f aca="true" t="shared" si="9" ref="C71:H71">C70+C24</f>
        <v>1422.0900000000001</v>
      </c>
      <c r="D71" s="28">
        <f t="shared" si="9"/>
        <v>2024.4600000000005</v>
      </c>
      <c r="E71" s="28">
        <f t="shared" si="9"/>
        <v>1010.5999999999999</v>
      </c>
      <c r="F71" s="28">
        <f t="shared" si="9"/>
        <v>1029.41</v>
      </c>
      <c r="G71" s="28">
        <f t="shared" si="9"/>
        <v>1072.9499999999998</v>
      </c>
      <c r="H71" s="28">
        <f t="shared" si="9"/>
        <v>544.5000000000001</v>
      </c>
    </row>
    <row r="72" spans="1:8" ht="15.75">
      <c r="A72" s="49"/>
      <c r="B72" s="50"/>
      <c r="C72" s="41"/>
      <c r="D72" s="50"/>
      <c r="E72" s="41"/>
      <c r="F72" s="41"/>
      <c r="G72" s="41"/>
      <c r="H72" s="41"/>
    </row>
    <row r="73" spans="1:8" ht="15.75">
      <c r="A73" s="214" t="s">
        <v>45</v>
      </c>
      <c r="B73" s="215"/>
      <c r="C73" s="69">
        <v>621</v>
      </c>
      <c r="D73" s="143">
        <v>621</v>
      </c>
      <c r="E73" s="42">
        <v>310</v>
      </c>
      <c r="F73" s="42">
        <v>311</v>
      </c>
      <c r="G73" s="42">
        <v>311</v>
      </c>
      <c r="H73" s="162">
        <v>150</v>
      </c>
    </row>
    <row r="74" spans="1:8" ht="15.75">
      <c r="A74" s="214" t="s">
        <v>54</v>
      </c>
      <c r="B74" s="215"/>
      <c r="C74" s="142">
        <f>C71/C73</f>
        <v>2.29</v>
      </c>
      <c r="D74" s="124">
        <f>ROUND(D71/D73,2)</f>
        <v>3.26</v>
      </c>
      <c r="E74" s="28">
        <f>ROUND(E71/E73,2)</f>
        <v>3.26</v>
      </c>
      <c r="F74" s="28">
        <f>ROUND(F71/F73,2)</f>
        <v>3.31</v>
      </c>
      <c r="G74" s="28">
        <f>ROUND(G71/G73,2)</f>
        <v>3.45</v>
      </c>
      <c r="H74" s="164">
        <f>ROUND(H71/H73,2)</f>
        <v>3.63</v>
      </c>
    </row>
    <row r="75" spans="1:8" ht="15.75">
      <c r="A75" s="14"/>
      <c r="B75" s="11"/>
      <c r="C75" s="11"/>
      <c r="D75" s="11"/>
      <c r="E75" s="11"/>
      <c r="F75" s="36"/>
      <c r="G75" s="36"/>
      <c r="H75" s="36"/>
    </row>
    <row r="76" spans="1:8" ht="15.75">
      <c r="A76" s="212" t="s">
        <v>46</v>
      </c>
      <c r="B76" s="213"/>
      <c r="C76" s="72"/>
      <c r="D76" s="72"/>
      <c r="E76" s="37"/>
      <c r="F76" s="37"/>
      <c r="G76" s="37"/>
      <c r="H76" s="37"/>
    </row>
    <row r="77" spans="1:8" ht="15.75">
      <c r="A77" s="212" t="s">
        <v>56</v>
      </c>
      <c r="B77" s="213"/>
      <c r="C77" s="72"/>
      <c r="D77" s="72"/>
      <c r="E77" s="37"/>
      <c r="F77" s="37"/>
      <c r="G77" s="37"/>
      <c r="H77" s="37"/>
    </row>
    <row r="78" spans="1:8" ht="15.75">
      <c r="A78" s="38"/>
      <c r="B78" s="38"/>
      <c r="C78" s="38"/>
      <c r="D78" s="38"/>
      <c r="E78" s="38"/>
      <c r="F78" s="38"/>
      <c r="G78" s="38"/>
      <c r="H78" s="38"/>
    </row>
    <row r="79" spans="1:8" ht="15.75">
      <c r="A79" s="38" t="s">
        <v>47</v>
      </c>
      <c r="B79" s="38"/>
      <c r="C79" s="38"/>
      <c r="D79" s="38"/>
      <c r="E79" s="38"/>
      <c r="F79" s="38"/>
      <c r="G79" s="38"/>
      <c r="H79" s="38"/>
    </row>
    <row r="80" spans="1:8" ht="15.75">
      <c r="A80" s="38"/>
      <c r="B80" s="38"/>
      <c r="C80" s="38"/>
      <c r="D80" s="38"/>
      <c r="E80" s="38"/>
      <c r="F80" s="38"/>
      <c r="G80" s="38"/>
      <c r="H80" s="38"/>
    </row>
    <row r="81" spans="1:8" ht="15.75">
      <c r="A81" s="38"/>
      <c r="B81" s="39"/>
      <c r="C81" s="39"/>
      <c r="D81" s="39"/>
      <c r="E81" s="38"/>
      <c r="F81" s="38"/>
      <c r="G81" s="38"/>
      <c r="H81" s="38"/>
    </row>
    <row r="82" spans="1:8" ht="15.75">
      <c r="A82" s="38"/>
      <c r="B82" s="40"/>
      <c r="C82" s="40"/>
      <c r="D82" s="40"/>
      <c r="E82" s="38"/>
      <c r="F82" s="38"/>
      <c r="G82" s="38"/>
      <c r="H82" s="38"/>
    </row>
    <row r="83" spans="1:5" ht="15">
      <c r="A83" s="4"/>
      <c r="B83" s="220"/>
      <c r="C83" s="220"/>
      <c r="D83" s="220"/>
      <c r="E83" s="220"/>
    </row>
  </sheetData>
  <sheetProtection/>
  <mergeCells count="12">
    <mergeCell ref="A77:B77"/>
    <mergeCell ref="B83:E83"/>
    <mergeCell ref="A5:E5"/>
    <mergeCell ref="B6:E6"/>
    <mergeCell ref="B7:E7"/>
    <mergeCell ref="B8:H8"/>
    <mergeCell ref="A73:B73"/>
    <mergeCell ref="A74:B74"/>
    <mergeCell ref="A2:H2"/>
    <mergeCell ref="B3:E3"/>
    <mergeCell ref="A4:E4"/>
    <mergeCell ref="A76:B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view="pageLayout" workbookViewId="0" topLeftCell="A1">
      <selection activeCell="A1" sqref="A1:IV3"/>
    </sheetView>
  </sheetViews>
  <sheetFormatPr defaultColWidth="9.140625" defaultRowHeight="12.75"/>
  <cols>
    <col min="1" max="1" width="12.28125" style="1" customWidth="1"/>
    <col min="2" max="2" width="88.28125" style="1" customWidth="1"/>
    <col min="3" max="3" width="14.140625" style="1" hidden="1" customWidth="1"/>
    <col min="4" max="4" width="11.57421875" style="1" hidden="1" customWidth="1"/>
    <col min="5" max="5" width="21.57421875" style="1" hidden="1" customWidth="1"/>
    <col min="6" max="7" width="21.57421875" style="4" hidden="1" customWidth="1"/>
    <col min="8" max="8" width="16.28125" style="4" hidden="1" customWidth="1"/>
    <col min="9" max="9" width="26.421875" style="0" customWidth="1"/>
  </cols>
  <sheetData>
    <row r="1" spans="1:8" ht="15.75">
      <c r="A1" s="4"/>
      <c r="B1" s="217"/>
      <c r="C1" s="219"/>
      <c r="D1" s="219"/>
      <c r="E1" s="219"/>
      <c r="F1" s="219"/>
      <c r="G1" s="219"/>
      <c r="H1" s="219"/>
    </row>
    <row r="2" spans="1:9" ht="15.75">
      <c r="A2" s="4"/>
      <c r="B2" s="12"/>
      <c r="C2" s="12"/>
      <c r="D2" s="12"/>
      <c r="E2" s="76"/>
      <c r="F2" s="76"/>
      <c r="G2" s="76"/>
      <c r="H2" s="9"/>
      <c r="I2" s="9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1:8" ht="15">
      <c r="A4" s="4"/>
      <c r="B4" s="218"/>
      <c r="C4" s="218"/>
      <c r="D4" s="218"/>
      <c r="E4" s="218"/>
      <c r="F4" s="2"/>
      <c r="G4" s="2"/>
      <c r="H4" s="2"/>
    </row>
    <row r="5" spans="1:8" ht="15.75">
      <c r="A5" s="195" t="s">
        <v>1</v>
      </c>
      <c r="B5" s="195"/>
      <c r="C5" s="195"/>
      <c r="D5" s="195"/>
      <c r="E5" s="195"/>
      <c r="F5" s="14"/>
      <c r="G5" s="14"/>
      <c r="H5" s="14"/>
    </row>
    <row r="6" spans="1:8" ht="15.75">
      <c r="A6" s="195" t="s">
        <v>0</v>
      </c>
      <c r="B6" s="195"/>
      <c r="C6" s="195"/>
      <c r="D6" s="195"/>
      <c r="E6" s="195"/>
      <c r="F6" s="14"/>
      <c r="G6" s="14"/>
      <c r="H6" s="14"/>
    </row>
    <row r="7" spans="1:8" ht="15.75">
      <c r="A7" s="8"/>
      <c r="B7" s="195" t="s">
        <v>44</v>
      </c>
      <c r="C7" s="195"/>
      <c r="D7" s="195"/>
      <c r="E7" s="195"/>
      <c r="F7" s="14"/>
      <c r="G7" s="14"/>
      <c r="H7" s="14"/>
    </row>
    <row r="8" spans="1:8" ht="15.75">
      <c r="A8" s="8"/>
      <c r="B8" s="195" t="s">
        <v>112</v>
      </c>
      <c r="C8" s="195"/>
      <c r="D8" s="195"/>
      <c r="E8" s="195"/>
      <c r="F8" s="14"/>
      <c r="G8" s="14"/>
      <c r="H8" s="14"/>
    </row>
    <row r="9" spans="1:8" ht="15.75">
      <c r="A9" s="8"/>
      <c r="B9" s="195" t="s">
        <v>113</v>
      </c>
      <c r="C9" s="195"/>
      <c r="D9" s="195"/>
      <c r="E9" s="195"/>
      <c r="F9" s="14"/>
      <c r="G9" s="14"/>
      <c r="H9" s="14"/>
    </row>
    <row r="10" spans="1:8" ht="15.75">
      <c r="A10" s="8" t="s">
        <v>2</v>
      </c>
      <c r="B10" s="8" t="s">
        <v>205</v>
      </c>
      <c r="C10" s="8"/>
      <c r="D10" s="8"/>
      <c r="E10" s="8"/>
      <c r="F10" s="14"/>
      <c r="G10" s="14"/>
      <c r="H10" s="14"/>
    </row>
    <row r="11" spans="1:8" ht="15.75" hidden="1">
      <c r="A11" s="15"/>
      <c r="B11" s="16"/>
      <c r="C11" s="16"/>
      <c r="D11" s="16"/>
      <c r="E11" s="77"/>
      <c r="F11" s="14"/>
      <c r="G11" s="14"/>
      <c r="H11" s="14"/>
    </row>
    <row r="12" spans="1:9" ht="65.25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  <c r="I12" s="59" t="s">
        <v>5</v>
      </c>
    </row>
    <row r="13" spans="1:9" ht="15.75">
      <c r="A13" s="18">
        <v>1</v>
      </c>
      <c r="B13" s="19">
        <v>2</v>
      </c>
      <c r="C13" s="19"/>
      <c r="D13" s="19"/>
      <c r="E13" s="18">
        <v>3</v>
      </c>
      <c r="F13" s="19">
        <v>4</v>
      </c>
      <c r="G13" s="19"/>
      <c r="H13" s="19"/>
      <c r="I13" s="19">
        <v>3</v>
      </c>
    </row>
    <row r="14" spans="1:9" ht="15.75">
      <c r="A14" s="18"/>
      <c r="B14" s="21" t="s">
        <v>71</v>
      </c>
      <c r="C14" s="21"/>
      <c r="D14" s="21"/>
      <c r="E14" s="79"/>
      <c r="F14" s="22"/>
      <c r="G14" s="22"/>
      <c r="H14" s="22"/>
      <c r="I14" s="183"/>
    </row>
    <row r="15" spans="1:9" ht="15.75">
      <c r="A15" s="22">
        <v>1100</v>
      </c>
      <c r="B15" s="24" t="s">
        <v>72</v>
      </c>
      <c r="C15" s="80">
        <v>22864.16</v>
      </c>
      <c r="D15" s="127">
        <f aca="true" t="shared" si="0" ref="D15:D20">ROUND(C15/0.702804,2)</f>
        <v>32532.77</v>
      </c>
      <c r="E15" s="25">
        <f aca="true" t="shared" si="1" ref="E15:E20">ROUND(D15/11785*500,2)</f>
        <v>1380.26</v>
      </c>
      <c r="F15" s="25">
        <v>1421.68</v>
      </c>
      <c r="G15" s="25">
        <v>1805.53</v>
      </c>
      <c r="H15" s="25">
        <f>G15/500*150+150*0.06</f>
        <v>550.659</v>
      </c>
      <c r="I15" s="80">
        <f>H15/150*850</f>
        <v>3120.401</v>
      </c>
    </row>
    <row r="16" spans="1:9" ht="16.5" customHeight="1">
      <c r="A16" s="23">
        <v>1200</v>
      </c>
      <c r="B16" s="26" t="s">
        <v>73</v>
      </c>
      <c r="C16" s="80">
        <v>5393.66</v>
      </c>
      <c r="D16" s="127">
        <f t="shared" si="0"/>
        <v>7674.49</v>
      </c>
      <c r="E16" s="25">
        <f t="shared" si="1"/>
        <v>325.6</v>
      </c>
      <c r="F16" s="25">
        <v>335.37</v>
      </c>
      <c r="G16" s="25">
        <v>434.95</v>
      </c>
      <c r="H16" s="25">
        <f>G16/500*150+150*0.01</f>
        <v>131.985</v>
      </c>
      <c r="I16" s="80">
        <f aca="true" t="shared" si="2" ref="I16:I70">H16/150*850</f>
        <v>747.9150000000001</v>
      </c>
    </row>
    <row r="17" spans="1:9" ht="15.75">
      <c r="A17" s="23">
        <v>2222</v>
      </c>
      <c r="B17" s="26" t="s">
        <v>39</v>
      </c>
      <c r="C17" s="80">
        <v>1518.22</v>
      </c>
      <c r="D17" s="127">
        <f t="shared" si="0"/>
        <v>2160.23</v>
      </c>
      <c r="E17" s="25">
        <f t="shared" si="1"/>
        <v>91.65</v>
      </c>
      <c r="F17" s="25">
        <f>E17</f>
        <v>91.65</v>
      </c>
      <c r="G17" s="25">
        <f>F17</f>
        <v>91.65</v>
      </c>
      <c r="H17" s="25">
        <f aca="true" t="shared" si="3" ref="H17:H24">G17/500*150</f>
        <v>27.495000000000005</v>
      </c>
      <c r="I17" s="80">
        <f t="shared" si="2"/>
        <v>155.805</v>
      </c>
    </row>
    <row r="18" spans="1:9" ht="15.75" hidden="1">
      <c r="A18" s="22">
        <v>2243</v>
      </c>
      <c r="B18" s="144" t="s">
        <v>103</v>
      </c>
      <c r="C18" s="80">
        <v>0</v>
      </c>
      <c r="D18" s="127">
        <f t="shared" si="0"/>
        <v>0</v>
      </c>
      <c r="E18" s="25">
        <f t="shared" si="1"/>
        <v>0</v>
      </c>
      <c r="F18" s="25">
        <f>E18</f>
        <v>0</v>
      </c>
      <c r="G18" s="25">
        <f aca="true" t="shared" si="4" ref="G18:G24">F18</f>
        <v>0</v>
      </c>
      <c r="H18" s="25">
        <f t="shared" si="3"/>
        <v>0</v>
      </c>
      <c r="I18" s="80">
        <f t="shared" si="2"/>
        <v>0</v>
      </c>
    </row>
    <row r="19" spans="1:9" ht="15.75">
      <c r="A19" s="23">
        <v>2249</v>
      </c>
      <c r="B19" s="26" t="s">
        <v>114</v>
      </c>
      <c r="C19" s="80">
        <v>2300.64</v>
      </c>
      <c r="D19" s="127">
        <f t="shared" si="0"/>
        <v>3273.52</v>
      </c>
      <c r="E19" s="25">
        <f t="shared" si="1"/>
        <v>138.89</v>
      </c>
      <c r="F19" s="25">
        <f>E19</f>
        <v>138.89</v>
      </c>
      <c r="G19" s="25">
        <f t="shared" si="4"/>
        <v>138.89</v>
      </c>
      <c r="H19" s="25">
        <f t="shared" si="3"/>
        <v>41.666999999999994</v>
      </c>
      <c r="I19" s="80">
        <f t="shared" si="2"/>
        <v>236.11299999999997</v>
      </c>
    </row>
    <row r="20" spans="1:9" ht="15.75">
      <c r="A20" s="23">
        <v>2341</v>
      </c>
      <c r="B20" s="26" t="s">
        <v>23</v>
      </c>
      <c r="C20" s="80">
        <v>2151.05</v>
      </c>
      <c r="D20" s="127">
        <f t="shared" si="0"/>
        <v>3060.67</v>
      </c>
      <c r="E20" s="25">
        <f t="shared" si="1"/>
        <v>129.85</v>
      </c>
      <c r="F20" s="25">
        <f>E20</f>
        <v>129.85</v>
      </c>
      <c r="G20" s="25">
        <f t="shared" si="4"/>
        <v>129.85</v>
      </c>
      <c r="H20" s="25">
        <f t="shared" si="3"/>
        <v>38.955</v>
      </c>
      <c r="I20" s="80">
        <f t="shared" si="2"/>
        <v>220.74499999999998</v>
      </c>
    </row>
    <row r="21" spans="1:9" ht="15.75" hidden="1">
      <c r="A21" s="23">
        <v>2350</v>
      </c>
      <c r="B21" s="26" t="s">
        <v>25</v>
      </c>
      <c r="C21" s="80"/>
      <c r="D21" s="26"/>
      <c r="E21" s="25"/>
      <c r="F21" s="25">
        <f>E21/11785*300</f>
        <v>0</v>
      </c>
      <c r="G21" s="25">
        <f t="shared" si="4"/>
        <v>0</v>
      </c>
      <c r="H21" s="25">
        <f t="shared" si="3"/>
        <v>0</v>
      </c>
      <c r="I21" s="81">
        <f t="shared" si="2"/>
        <v>0</v>
      </c>
    </row>
    <row r="22" spans="1:9" ht="15.75" hidden="1">
      <c r="A22" s="23"/>
      <c r="B22" s="26"/>
      <c r="C22" s="80"/>
      <c r="D22" s="26"/>
      <c r="E22" s="25"/>
      <c r="F22" s="25">
        <f>E22/11785*300</f>
        <v>0</v>
      </c>
      <c r="G22" s="25">
        <f t="shared" si="4"/>
        <v>0</v>
      </c>
      <c r="H22" s="25">
        <f t="shared" si="3"/>
        <v>0</v>
      </c>
      <c r="I22" s="81">
        <f t="shared" si="2"/>
        <v>0</v>
      </c>
    </row>
    <row r="23" spans="1:9" ht="15.75" hidden="1">
      <c r="A23" s="23"/>
      <c r="B23" s="26"/>
      <c r="C23" s="80"/>
      <c r="D23" s="26"/>
      <c r="E23" s="25"/>
      <c r="F23" s="25">
        <f>E23/11785*300</f>
        <v>0</v>
      </c>
      <c r="G23" s="25">
        <f t="shared" si="4"/>
        <v>0</v>
      </c>
      <c r="H23" s="25">
        <f t="shared" si="3"/>
        <v>0</v>
      </c>
      <c r="I23" s="81">
        <f t="shared" si="2"/>
        <v>0</v>
      </c>
    </row>
    <row r="24" spans="1:9" ht="15.75" hidden="1">
      <c r="A24" s="23"/>
      <c r="B24" s="24"/>
      <c r="C24" s="80"/>
      <c r="D24" s="24"/>
      <c r="E24" s="25"/>
      <c r="F24" s="25">
        <f>E24/11785*300</f>
        <v>0</v>
      </c>
      <c r="G24" s="25">
        <f t="shared" si="4"/>
        <v>0</v>
      </c>
      <c r="H24" s="25">
        <f t="shared" si="3"/>
        <v>0</v>
      </c>
      <c r="I24" s="81">
        <f t="shared" si="2"/>
        <v>0</v>
      </c>
    </row>
    <row r="25" spans="1:9" ht="15.75">
      <c r="A25" s="23"/>
      <c r="B25" s="27" t="s">
        <v>74</v>
      </c>
      <c r="C25" s="82">
        <f aca="true" t="shared" si="5" ref="C25:I25">SUM(C15:C24)</f>
        <v>34227.73</v>
      </c>
      <c r="D25" s="82">
        <f t="shared" si="5"/>
        <v>48701.68</v>
      </c>
      <c r="E25" s="28">
        <f t="shared" si="5"/>
        <v>2066.25</v>
      </c>
      <c r="F25" s="28">
        <f t="shared" si="5"/>
        <v>2117.44</v>
      </c>
      <c r="G25" s="28">
        <f t="shared" si="5"/>
        <v>2600.87</v>
      </c>
      <c r="H25" s="28">
        <f t="shared" si="5"/>
        <v>790.7610000000001</v>
      </c>
      <c r="I25" s="28">
        <f t="shared" si="5"/>
        <v>4480.978999999999</v>
      </c>
    </row>
    <row r="26" spans="1:9" ht="15.75">
      <c r="A26" s="29"/>
      <c r="B26" s="24" t="s">
        <v>75</v>
      </c>
      <c r="C26" s="80"/>
      <c r="D26" s="24"/>
      <c r="E26" s="25"/>
      <c r="F26" s="25"/>
      <c r="G26" s="25"/>
      <c r="H26" s="25"/>
      <c r="I26" s="81">
        <f t="shared" si="2"/>
        <v>0</v>
      </c>
    </row>
    <row r="27" spans="1:9" ht="15.75">
      <c r="A27" s="23">
        <v>1100</v>
      </c>
      <c r="B27" s="24" t="s">
        <v>72</v>
      </c>
      <c r="C27" s="80">
        <v>17341.21</v>
      </c>
      <c r="D27" s="127">
        <f aca="true" t="shared" si="6" ref="D27:D70">ROUND(C27/0.702804,2)</f>
        <v>24674.32</v>
      </c>
      <c r="E27" s="25">
        <f aca="true" t="shared" si="7" ref="E27:E69">ROUND(D27/11785*500,2)</f>
        <v>1046.85</v>
      </c>
      <c r="F27" s="25">
        <v>1074.15</v>
      </c>
      <c r="G27" s="25">
        <v>1069.82</v>
      </c>
      <c r="H27" s="25">
        <f aca="true" t="shared" si="8" ref="H27:H70">G27/500*150</f>
        <v>320.946</v>
      </c>
      <c r="I27" s="80">
        <f t="shared" si="2"/>
        <v>1818.694</v>
      </c>
    </row>
    <row r="28" spans="1:9" ht="15.75" customHeight="1">
      <c r="A28" s="23">
        <v>1200</v>
      </c>
      <c r="B28" s="26" t="s">
        <v>73</v>
      </c>
      <c r="C28" s="81">
        <v>4090.79</v>
      </c>
      <c r="D28" s="127">
        <f t="shared" si="6"/>
        <v>5820.67</v>
      </c>
      <c r="E28" s="25">
        <f t="shared" si="7"/>
        <v>246.95</v>
      </c>
      <c r="F28" s="25">
        <v>253.39</v>
      </c>
      <c r="G28" s="25">
        <v>257.72</v>
      </c>
      <c r="H28" s="25">
        <f t="shared" si="8"/>
        <v>77.316</v>
      </c>
      <c r="I28" s="80">
        <f t="shared" si="2"/>
        <v>438.124</v>
      </c>
    </row>
    <row r="29" spans="1:9" ht="15.75" hidden="1">
      <c r="A29" s="23">
        <v>2100</v>
      </c>
      <c r="B29" s="30" t="s">
        <v>42</v>
      </c>
      <c r="C29" s="80"/>
      <c r="D29" s="127">
        <f t="shared" si="6"/>
        <v>0</v>
      </c>
      <c r="E29" s="25">
        <f t="shared" si="7"/>
        <v>0</v>
      </c>
      <c r="F29" s="25">
        <f aca="true" t="shared" si="9" ref="F29:F69">E29</f>
        <v>0</v>
      </c>
      <c r="G29" s="25">
        <f aca="true" t="shared" si="10" ref="G29:G70">F29</f>
        <v>0</v>
      </c>
      <c r="H29" s="25">
        <f t="shared" si="8"/>
        <v>0</v>
      </c>
      <c r="I29" s="80">
        <f t="shared" si="2"/>
        <v>0</v>
      </c>
    </row>
    <row r="30" spans="1:9" ht="15.75">
      <c r="A30" s="31">
        <v>2210</v>
      </c>
      <c r="B30" s="26" t="s">
        <v>38</v>
      </c>
      <c r="C30" s="80">
        <v>208</v>
      </c>
      <c r="D30" s="127">
        <f t="shared" si="6"/>
        <v>295.96</v>
      </c>
      <c r="E30" s="25">
        <f t="shared" si="7"/>
        <v>12.56</v>
      </c>
      <c r="F30" s="25">
        <f t="shared" si="9"/>
        <v>12.56</v>
      </c>
      <c r="G30" s="25">
        <f t="shared" si="10"/>
        <v>12.56</v>
      </c>
      <c r="H30" s="25">
        <f t="shared" si="8"/>
        <v>3.768</v>
      </c>
      <c r="I30" s="80">
        <f t="shared" si="2"/>
        <v>21.352</v>
      </c>
    </row>
    <row r="31" spans="1:9" ht="15.75">
      <c r="A31" s="23">
        <v>2222</v>
      </c>
      <c r="B31" s="26" t="s">
        <v>39</v>
      </c>
      <c r="C31" s="80">
        <v>211</v>
      </c>
      <c r="D31" s="127">
        <f t="shared" si="6"/>
        <v>300.23</v>
      </c>
      <c r="E31" s="25">
        <f t="shared" si="7"/>
        <v>12.74</v>
      </c>
      <c r="F31" s="25">
        <f t="shared" si="9"/>
        <v>12.74</v>
      </c>
      <c r="G31" s="25">
        <f t="shared" si="10"/>
        <v>12.74</v>
      </c>
      <c r="H31" s="25">
        <f t="shared" si="8"/>
        <v>3.822</v>
      </c>
      <c r="I31" s="80">
        <f t="shared" si="2"/>
        <v>21.657999999999998</v>
      </c>
    </row>
    <row r="32" spans="1:9" ht="15.75">
      <c r="A32" s="23">
        <v>2223</v>
      </c>
      <c r="B32" s="26" t="s">
        <v>40</v>
      </c>
      <c r="C32" s="80">
        <v>163</v>
      </c>
      <c r="D32" s="127">
        <f t="shared" si="6"/>
        <v>231.93</v>
      </c>
      <c r="E32" s="25">
        <f t="shared" si="7"/>
        <v>9.84</v>
      </c>
      <c r="F32" s="25">
        <f t="shared" si="9"/>
        <v>9.84</v>
      </c>
      <c r="G32" s="25">
        <f t="shared" si="10"/>
        <v>9.84</v>
      </c>
      <c r="H32" s="25">
        <f t="shared" si="8"/>
        <v>2.952</v>
      </c>
      <c r="I32" s="80">
        <f t="shared" si="2"/>
        <v>16.727999999999998</v>
      </c>
    </row>
    <row r="33" spans="1:9" ht="15.75">
      <c r="A33" s="23">
        <v>2230</v>
      </c>
      <c r="B33" s="26" t="s">
        <v>41</v>
      </c>
      <c r="C33" s="80">
        <v>100</v>
      </c>
      <c r="D33" s="127">
        <f t="shared" si="6"/>
        <v>142.29</v>
      </c>
      <c r="E33" s="25">
        <f t="shared" si="7"/>
        <v>6.04</v>
      </c>
      <c r="F33" s="25">
        <f t="shared" si="9"/>
        <v>6.04</v>
      </c>
      <c r="G33" s="25">
        <f t="shared" si="10"/>
        <v>6.04</v>
      </c>
      <c r="H33" s="25">
        <f t="shared" si="8"/>
        <v>1.812</v>
      </c>
      <c r="I33" s="80">
        <f t="shared" si="2"/>
        <v>10.268</v>
      </c>
    </row>
    <row r="34" spans="1:9" ht="15.75" hidden="1">
      <c r="A34" s="23">
        <v>2241</v>
      </c>
      <c r="B34" s="26" t="s">
        <v>9</v>
      </c>
      <c r="C34" s="80"/>
      <c r="D34" s="127">
        <f t="shared" si="6"/>
        <v>0</v>
      </c>
      <c r="E34" s="25">
        <f t="shared" si="7"/>
        <v>0</v>
      </c>
      <c r="F34" s="25">
        <f t="shared" si="9"/>
        <v>0</v>
      </c>
      <c r="G34" s="25">
        <f t="shared" si="10"/>
        <v>0</v>
      </c>
      <c r="H34" s="25">
        <f t="shared" si="8"/>
        <v>0</v>
      </c>
      <c r="I34" s="80">
        <f t="shared" si="2"/>
        <v>0</v>
      </c>
    </row>
    <row r="35" spans="1:9" ht="15.75" hidden="1">
      <c r="A35" s="23">
        <v>2242</v>
      </c>
      <c r="B35" s="26" t="s">
        <v>10</v>
      </c>
      <c r="C35" s="80">
        <v>92</v>
      </c>
      <c r="D35" s="127">
        <f t="shared" si="6"/>
        <v>130.9</v>
      </c>
      <c r="E35" s="25">
        <f t="shared" si="7"/>
        <v>5.55</v>
      </c>
      <c r="F35" s="25">
        <f t="shared" si="9"/>
        <v>5.55</v>
      </c>
      <c r="G35" s="25">
        <f t="shared" si="10"/>
        <v>5.55</v>
      </c>
      <c r="H35" s="25">
        <f t="shared" si="8"/>
        <v>1.665</v>
      </c>
      <c r="I35" s="80">
        <f t="shared" si="2"/>
        <v>9.435</v>
      </c>
    </row>
    <row r="36" spans="1:9" ht="15.75">
      <c r="A36" s="23">
        <v>2243</v>
      </c>
      <c r="B36" s="26" t="s">
        <v>11</v>
      </c>
      <c r="C36" s="80">
        <v>327</v>
      </c>
      <c r="D36" s="127">
        <f t="shared" si="6"/>
        <v>465.28</v>
      </c>
      <c r="E36" s="25">
        <f t="shared" si="7"/>
        <v>19.74</v>
      </c>
      <c r="F36" s="25">
        <f t="shared" si="9"/>
        <v>19.74</v>
      </c>
      <c r="G36" s="25">
        <f t="shared" si="10"/>
        <v>19.74</v>
      </c>
      <c r="H36" s="25">
        <f t="shared" si="8"/>
        <v>5.921999999999999</v>
      </c>
      <c r="I36" s="80">
        <f t="shared" si="2"/>
        <v>33.55799999999999</v>
      </c>
    </row>
    <row r="37" spans="1:9" ht="15.75">
      <c r="A37" s="23">
        <v>2244</v>
      </c>
      <c r="B37" s="26" t="s">
        <v>12</v>
      </c>
      <c r="C37" s="80">
        <v>4809.97</v>
      </c>
      <c r="D37" s="127">
        <f t="shared" si="6"/>
        <v>6843.97</v>
      </c>
      <c r="E37" s="25">
        <f t="shared" si="7"/>
        <v>290.37</v>
      </c>
      <c r="F37" s="25">
        <f t="shared" si="9"/>
        <v>290.37</v>
      </c>
      <c r="G37" s="25">
        <f t="shared" si="10"/>
        <v>290.37</v>
      </c>
      <c r="H37" s="25">
        <f t="shared" si="8"/>
        <v>87.111</v>
      </c>
      <c r="I37" s="80">
        <f t="shared" si="2"/>
        <v>493.629</v>
      </c>
    </row>
    <row r="38" spans="1:9" ht="15.75">
      <c r="A38" s="23">
        <v>2247</v>
      </c>
      <c r="B38" s="21" t="s">
        <v>76</v>
      </c>
      <c r="C38" s="80">
        <v>21</v>
      </c>
      <c r="D38" s="127">
        <f t="shared" si="6"/>
        <v>29.88</v>
      </c>
      <c r="E38" s="25">
        <f t="shared" si="7"/>
        <v>1.27</v>
      </c>
      <c r="F38" s="25">
        <f t="shared" si="9"/>
        <v>1.27</v>
      </c>
      <c r="G38" s="25">
        <f t="shared" si="10"/>
        <v>1.27</v>
      </c>
      <c r="H38" s="25">
        <f t="shared" si="8"/>
        <v>0.381</v>
      </c>
      <c r="I38" s="80">
        <f t="shared" si="2"/>
        <v>2.1590000000000003</v>
      </c>
    </row>
    <row r="39" spans="1:9" ht="15.75">
      <c r="A39" s="23">
        <v>2249</v>
      </c>
      <c r="B39" s="26" t="s">
        <v>13</v>
      </c>
      <c r="C39" s="80">
        <v>121</v>
      </c>
      <c r="D39" s="127">
        <f t="shared" si="6"/>
        <v>172.17</v>
      </c>
      <c r="E39" s="25">
        <f t="shared" si="7"/>
        <v>7.3</v>
      </c>
      <c r="F39" s="25">
        <f t="shared" si="9"/>
        <v>7.3</v>
      </c>
      <c r="G39" s="25">
        <f t="shared" si="10"/>
        <v>7.3</v>
      </c>
      <c r="H39" s="25">
        <f t="shared" si="8"/>
        <v>2.19</v>
      </c>
      <c r="I39" s="80">
        <f t="shared" si="2"/>
        <v>12.41</v>
      </c>
    </row>
    <row r="40" spans="1:9" ht="15.75">
      <c r="A40" s="23">
        <v>2251</v>
      </c>
      <c r="B40" s="26" t="s">
        <v>77</v>
      </c>
      <c r="C40" s="80">
        <v>363</v>
      </c>
      <c r="D40" s="127">
        <f t="shared" si="6"/>
        <v>516.5</v>
      </c>
      <c r="E40" s="25">
        <f t="shared" si="7"/>
        <v>21.91</v>
      </c>
      <c r="F40" s="25">
        <f t="shared" si="9"/>
        <v>21.91</v>
      </c>
      <c r="G40" s="25">
        <f t="shared" si="10"/>
        <v>21.91</v>
      </c>
      <c r="H40" s="25">
        <f t="shared" si="8"/>
        <v>6.5729999999999995</v>
      </c>
      <c r="I40" s="80">
        <f t="shared" si="2"/>
        <v>37.247</v>
      </c>
    </row>
    <row r="41" spans="1:9" ht="15.75" hidden="1">
      <c r="A41" s="23">
        <v>2252</v>
      </c>
      <c r="B41" s="26" t="s">
        <v>7</v>
      </c>
      <c r="C41" s="80"/>
      <c r="D41" s="127">
        <f t="shared" si="6"/>
        <v>0</v>
      </c>
      <c r="E41" s="25">
        <f t="shared" si="7"/>
        <v>0</v>
      </c>
      <c r="F41" s="25">
        <f t="shared" si="9"/>
        <v>0</v>
      </c>
      <c r="G41" s="25">
        <f t="shared" si="10"/>
        <v>0</v>
      </c>
      <c r="H41" s="25">
        <f t="shared" si="8"/>
        <v>0</v>
      </c>
      <c r="I41" s="80">
        <f t="shared" si="2"/>
        <v>0</v>
      </c>
    </row>
    <row r="42" spans="1:9" ht="15.75" hidden="1">
      <c r="A42" s="23">
        <v>2259</v>
      </c>
      <c r="B42" s="26" t="s">
        <v>8</v>
      </c>
      <c r="C42" s="80"/>
      <c r="D42" s="127">
        <f t="shared" si="6"/>
        <v>0</v>
      </c>
      <c r="E42" s="25">
        <f t="shared" si="7"/>
        <v>0</v>
      </c>
      <c r="F42" s="25">
        <f t="shared" si="9"/>
        <v>0</v>
      </c>
      <c r="G42" s="25">
        <f t="shared" si="10"/>
        <v>0</v>
      </c>
      <c r="H42" s="25">
        <f t="shared" si="8"/>
        <v>0</v>
      </c>
      <c r="I42" s="80">
        <f t="shared" si="2"/>
        <v>0</v>
      </c>
    </row>
    <row r="43" spans="1:9" ht="15.75">
      <c r="A43" s="23">
        <v>2261</v>
      </c>
      <c r="B43" s="26" t="s">
        <v>14</v>
      </c>
      <c r="C43" s="80">
        <v>64</v>
      </c>
      <c r="D43" s="127">
        <f t="shared" si="6"/>
        <v>91.06</v>
      </c>
      <c r="E43" s="25">
        <f t="shared" si="7"/>
        <v>3.86</v>
      </c>
      <c r="F43" s="25">
        <f t="shared" si="9"/>
        <v>3.86</v>
      </c>
      <c r="G43" s="25">
        <f t="shared" si="10"/>
        <v>3.86</v>
      </c>
      <c r="H43" s="25">
        <f t="shared" si="8"/>
        <v>1.158</v>
      </c>
      <c r="I43" s="80">
        <f t="shared" si="2"/>
        <v>6.561999999999999</v>
      </c>
    </row>
    <row r="44" spans="1:9" ht="15.75">
      <c r="A44" s="23">
        <v>2262</v>
      </c>
      <c r="B44" s="26" t="s">
        <v>15</v>
      </c>
      <c r="C44" s="80">
        <v>284</v>
      </c>
      <c r="D44" s="127">
        <f t="shared" si="6"/>
        <v>404.1</v>
      </c>
      <c r="E44" s="25">
        <f t="shared" si="7"/>
        <v>17.14</v>
      </c>
      <c r="F44" s="25">
        <f t="shared" si="9"/>
        <v>17.14</v>
      </c>
      <c r="G44" s="25">
        <f t="shared" si="10"/>
        <v>17.14</v>
      </c>
      <c r="H44" s="25">
        <f t="shared" si="8"/>
        <v>5.1419999999999995</v>
      </c>
      <c r="I44" s="80">
        <f t="shared" si="2"/>
        <v>29.137999999999998</v>
      </c>
    </row>
    <row r="45" spans="1:9" ht="15.75">
      <c r="A45" s="23">
        <v>2263</v>
      </c>
      <c r="B45" s="26" t="s">
        <v>16</v>
      </c>
      <c r="C45" s="80">
        <v>1052</v>
      </c>
      <c r="D45" s="127">
        <f t="shared" si="6"/>
        <v>1496.86</v>
      </c>
      <c r="E45" s="25">
        <f t="shared" si="7"/>
        <v>63.51</v>
      </c>
      <c r="F45" s="25">
        <f t="shared" si="9"/>
        <v>63.51</v>
      </c>
      <c r="G45" s="25">
        <f t="shared" si="10"/>
        <v>63.51</v>
      </c>
      <c r="H45" s="25">
        <f t="shared" si="8"/>
        <v>19.053</v>
      </c>
      <c r="I45" s="80">
        <f t="shared" si="2"/>
        <v>107.967</v>
      </c>
    </row>
    <row r="46" spans="1:9" ht="15.75">
      <c r="A46" s="23">
        <v>2264</v>
      </c>
      <c r="B46" s="26" t="s">
        <v>17</v>
      </c>
      <c r="C46" s="80">
        <v>7</v>
      </c>
      <c r="D46" s="127">
        <f t="shared" si="6"/>
        <v>9.96</v>
      </c>
      <c r="E46" s="25">
        <f t="shared" si="7"/>
        <v>0.42</v>
      </c>
      <c r="F46" s="25">
        <f t="shared" si="9"/>
        <v>0.42</v>
      </c>
      <c r="G46" s="25">
        <f t="shared" si="10"/>
        <v>0.42</v>
      </c>
      <c r="H46" s="25">
        <f t="shared" si="8"/>
        <v>0.126</v>
      </c>
      <c r="I46" s="80">
        <f t="shared" si="2"/>
        <v>0.7140000000000001</v>
      </c>
    </row>
    <row r="47" spans="1:9" ht="15.75">
      <c r="A47" s="23">
        <v>2279</v>
      </c>
      <c r="B47" s="26" t="s">
        <v>18</v>
      </c>
      <c r="C47" s="80">
        <v>1187</v>
      </c>
      <c r="D47" s="127">
        <f t="shared" si="6"/>
        <v>1688.95</v>
      </c>
      <c r="E47" s="25">
        <f t="shared" si="7"/>
        <v>71.66</v>
      </c>
      <c r="F47" s="25">
        <f t="shared" si="9"/>
        <v>71.66</v>
      </c>
      <c r="G47" s="25">
        <f t="shared" si="10"/>
        <v>71.66</v>
      </c>
      <c r="H47" s="25">
        <f t="shared" si="8"/>
        <v>21.498</v>
      </c>
      <c r="I47" s="80">
        <f t="shared" si="2"/>
        <v>121.822</v>
      </c>
    </row>
    <row r="48" spans="1:9" ht="15.75">
      <c r="A48" s="23">
        <v>2311</v>
      </c>
      <c r="B48" s="26" t="s">
        <v>19</v>
      </c>
      <c r="C48" s="80">
        <v>114</v>
      </c>
      <c r="D48" s="127">
        <f t="shared" si="6"/>
        <v>162.21</v>
      </c>
      <c r="E48" s="25">
        <f t="shared" si="7"/>
        <v>6.88</v>
      </c>
      <c r="F48" s="25">
        <f t="shared" si="9"/>
        <v>6.88</v>
      </c>
      <c r="G48" s="25">
        <f t="shared" si="10"/>
        <v>6.88</v>
      </c>
      <c r="H48" s="25">
        <f t="shared" si="8"/>
        <v>2.064</v>
      </c>
      <c r="I48" s="80">
        <f t="shared" si="2"/>
        <v>11.696</v>
      </c>
    </row>
    <row r="49" spans="1:9" ht="15.75">
      <c r="A49" s="23">
        <v>2312</v>
      </c>
      <c r="B49" s="26" t="s">
        <v>20</v>
      </c>
      <c r="C49" s="80">
        <v>206</v>
      </c>
      <c r="D49" s="127">
        <f t="shared" si="6"/>
        <v>293.11</v>
      </c>
      <c r="E49" s="25">
        <f t="shared" si="7"/>
        <v>12.44</v>
      </c>
      <c r="F49" s="25">
        <f t="shared" si="9"/>
        <v>12.44</v>
      </c>
      <c r="G49" s="25">
        <f t="shared" si="10"/>
        <v>12.44</v>
      </c>
      <c r="H49" s="25">
        <f t="shared" si="8"/>
        <v>3.7319999999999998</v>
      </c>
      <c r="I49" s="80">
        <f t="shared" si="2"/>
        <v>21.148</v>
      </c>
    </row>
    <row r="50" spans="1:9" ht="15.75">
      <c r="A50" s="23">
        <v>2321</v>
      </c>
      <c r="B50" s="26" t="s">
        <v>21</v>
      </c>
      <c r="C50" s="80">
        <v>650</v>
      </c>
      <c r="D50" s="127">
        <f t="shared" si="6"/>
        <v>924.87</v>
      </c>
      <c r="E50" s="25">
        <f t="shared" si="7"/>
        <v>39.24</v>
      </c>
      <c r="F50" s="25">
        <f t="shared" si="9"/>
        <v>39.24</v>
      </c>
      <c r="G50" s="25">
        <f t="shared" si="10"/>
        <v>39.24</v>
      </c>
      <c r="H50" s="25">
        <f t="shared" si="8"/>
        <v>11.772000000000002</v>
      </c>
      <c r="I50" s="80">
        <f t="shared" si="2"/>
        <v>66.70800000000001</v>
      </c>
    </row>
    <row r="51" spans="1:9" ht="15.75">
      <c r="A51" s="22">
        <v>2322</v>
      </c>
      <c r="B51" s="26" t="s">
        <v>22</v>
      </c>
      <c r="C51" s="80">
        <v>118</v>
      </c>
      <c r="D51" s="127">
        <f t="shared" si="6"/>
        <v>167.9</v>
      </c>
      <c r="E51" s="25">
        <f t="shared" si="7"/>
        <v>7.12</v>
      </c>
      <c r="F51" s="25">
        <f t="shared" si="9"/>
        <v>7.12</v>
      </c>
      <c r="G51" s="25">
        <f t="shared" si="10"/>
        <v>7.12</v>
      </c>
      <c r="H51" s="25">
        <f t="shared" si="8"/>
        <v>2.136</v>
      </c>
      <c r="I51" s="80">
        <f t="shared" si="2"/>
        <v>12.104000000000001</v>
      </c>
    </row>
    <row r="52" spans="1:9" ht="15.75">
      <c r="A52" s="22">
        <v>2341</v>
      </c>
      <c r="B52" s="26" t="s">
        <v>23</v>
      </c>
      <c r="C52" s="80">
        <v>149</v>
      </c>
      <c r="D52" s="127">
        <f t="shared" si="6"/>
        <v>212.01</v>
      </c>
      <c r="E52" s="25">
        <f t="shared" si="7"/>
        <v>8.99</v>
      </c>
      <c r="F52" s="25">
        <f t="shared" si="9"/>
        <v>8.99</v>
      </c>
      <c r="G52" s="25">
        <f t="shared" si="10"/>
        <v>8.99</v>
      </c>
      <c r="H52" s="25">
        <f t="shared" si="8"/>
        <v>2.697</v>
      </c>
      <c r="I52" s="80">
        <f t="shared" si="2"/>
        <v>15.283</v>
      </c>
    </row>
    <row r="53" spans="1:9" ht="15.75" hidden="1">
      <c r="A53" s="22">
        <v>2344</v>
      </c>
      <c r="B53" s="26" t="s">
        <v>24</v>
      </c>
      <c r="C53" s="80"/>
      <c r="D53" s="127">
        <f t="shared" si="6"/>
        <v>0</v>
      </c>
      <c r="E53" s="25">
        <f t="shared" si="7"/>
        <v>0</v>
      </c>
      <c r="F53" s="25">
        <f t="shared" si="9"/>
        <v>0</v>
      </c>
      <c r="G53" s="25">
        <f t="shared" si="10"/>
        <v>0</v>
      </c>
      <c r="H53" s="25">
        <f t="shared" si="8"/>
        <v>0</v>
      </c>
      <c r="I53" s="80">
        <f t="shared" si="2"/>
        <v>0</v>
      </c>
    </row>
    <row r="54" spans="1:9" ht="15.75">
      <c r="A54" s="23">
        <v>2350</v>
      </c>
      <c r="B54" s="26" t="s">
        <v>25</v>
      </c>
      <c r="C54" s="80">
        <v>938</v>
      </c>
      <c r="D54" s="127">
        <f t="shared" si="6"/>
        <v>1334.65</v>
      </c>
      <c r="E54" s="25">
        <f t="shared" si="7"/>
        <v>56.62</v>
      </c>
      <c r="F54" s="25">
        <f t="shared" si="9"/>
        <v>56.62</v>
      </c>
      <c r="G54" s="25">
        <f t="shared" si="10"/>
        <v>56.62</v>
      </c>
      <c r="H54" s="25">
        <f t="shared" si="8"/>
        <v>16.986</v>
      </c>
      <c r="I54" s="80">
        <f t="shared" si="2"/>
        <v>96.254</v>
      </c>
    </row>
    <row r="55" spans="1:9" ht="15.75">
      <c r="A55" s="23">
        <v>2361</v>
      </c>
      <c r="B55" s="26" t="s">
        <v>26</v>
      </c>
      <c r="C55" s="80">
        <v>576</v>
      </c>
      <c r="D55" s="127">
        <f t="shared" si="6"/>
        <v>819.57</v>
      </c>
      <c r="E55" s="25">
        <f t="shared" si="7"/>
        <v>34.77</v>
      </c>
      <c r="F55" s="25">
        <f t="shared" si="9"/>
        <v>34.77</v>
      </c>
      <c r="G55" s="25">
        <f t="shared" si="10"/>
        <v>34.77</v>
      </c>
      <c r="H55" s="25">
        <f t="shared" si="8"/>
        <v>10.431000000000001</v>
      </c>
      <c r="I55" s="80">
        <f t="shared" si="2"/>
        <v>59.109</v>
      </c>
    </row>
    <row r="56" spans="1:9" ht="15.75" hidden="1">
      <c r="A56" s="23">
        <v>2362</v>
      </c>
      <c r="B56" s="26" t="s">
        <v>27</v>
      </c>
      <c r="C56" s="80"/>
      <c r="D56" s="127">
        <f t="shared" si="6"/>
        <v>0</v>
      </c>
      <c r="E56" s="25">
        <f t="shared" si="7"/>
        <v>0</v>
      </c>
      <c r="F56" s="25">
        <f t="shared" si="9"/>
        <v>0</v>
      </c>
      <c r="G56" s="25">
        <f t="shared" si="10"/>
        <v>0</v>
      </c>
      <c r="H56" s="25">
        <f t="shared" si="8"/>
        <v>0</v>
      </c>
      <c r="I56" s="80">
        <f t="shared" si="2"/>
        <v>0</v>
      </c>
    </row>
    <row r="57" spans="1:9" ht="15.75" hidden="1">
      <c r="A57" s="23">
        <v>2363</v>
      </c>
      <c r="B57" s="26" t="s">
        <v>28</v>
      </c>
      <c r="C57" s="80"/>
      <c r="D57" s="127">
        <f t="shared" si="6"/>
        <v>0</v>
      </c>
      <c r="E57" s="25">
        <f t="shared" si="7"/>
        <v>0</v>
      </c>
      <c r="F57" s="25">
        <f t="shared" si="9"/>
        <v>0</v>
      </c>
      <c r="G57" s="25">
        <f t="shared" si="10"/>
        <v>0</v>
      </c>
      <c r="H57" s="25">
        <f t="shared" si="8"/>
        <v>0</v>
      </c>
      <c r="I57" s="80">
        <f t="shared" si="2"/>
        <v>0</v>
      </c>
    </row>
    <row r="58" spans="1:9" ht="15.75" hidden="1">
      <c r="A58" s="23">
        <v>2370</v>
      </c>
      <c r="B58" s="26" t="s">
        <v>29</v>
      </c>
      <c r="C58" s="80"/>
      <c r="D58" s="127">
        <f t="shared" si="6"/>
        <v>0</v>
      </c>
      <c r="E58" s="25">
        <f t="shared" si="7"/>
        <v>0</v>
      </c>
      <c r="F58" s="25">
        <f t="shared" si="9"/>
        <v>0</v>
      </c>
      <c r="G58" s="25">
        <f t="shared" si="10"/>
        <v>0</v>
      </c>
      <c r="H58" s="25">
        <f t="shared" si="8"/>
        <v>0</v>
      </c>
      <c r="I58" s="80">
        <f t="shared" si="2"/>
        <v>0</v>
      </c>
    </row>
    <row r="59" spans="1:9" ht="15.75">
      <c r="A59" s="23">
        <v>2400</v>
      </c>
      <c r="B59" s="26" t="s">
        <v>43</v>
      </c>
      <c r="C59" s="80">
        <v>43</v>
      </c>
      <c r="D59" s="127">
        <f t="shared" si="6"/>
        <v>61.18</v>
      </c>
      <c r="E59" s="25">
        <f t="shared" si="7"/>
        <v>2.6</v>
      </c>
      <c r="F59" s="25">
        <f t="shared" si="9"/>
        <v>2.6</v>
      </c>
      <c r="G59" s="25">
        <f t="shared" si="10"/>
        <v>2.6</v>
      </c>
      <c r="H59" s="25">
        <f t="shared" si="8"/>
        <v>0.7799999999999999</v>
      </c>
      <c r="I59" s="80">
        <f t="shared" si="2"/>
        <v>4.42</v>
      </c>
    </row>
    <row r="60" spans="1:9" ht="15.75" hidden="1">
      <c r="A60" s="23">
        <v>2512</v>
      </c>
      <c r="B60" s="26" t="s">
        <v>30</v>
      </c>
      <c r="C60" s="80">
        <v>0</v>
      </c>
      <c r="D60" s="127">
        <f t="shared" si="6"/>
        <v>0</v>
      </c>
      <c r="E60" s="25">
        <f t="shared" si="7"/>
        <v>0</v>
      </c>
      <c r="F60" s="25">
        <f t="shared" si="9"/>
        <v>0</v>
      </c>
      <c r="G60" s="25">
        <f t="shared" si="10"/>
        <v>0</v>
      </c>
      <c r="H60" s="25">
        <f t="shared" si="8"/>
        <v>0</v>
      </c>
      <c r="I60" s="80">
        <f t="shared" si="2"/>
        <v>0</v>
      </c>
    </row>
    <row r="61" spans="1:9" ht="15.75">
      <c r="A61" s="23">
        <v>2513</v>
      </c>
      <c r="B61" s="26" t="s">
        <v>31</v>
      </c>
      <c r="C61" s="80">
        <v>768</v>
      </c>
      <c r="D61" s="127">
        <f t="shared" si="6"/>
        <v>1092.77</v>
      </c>
      <c r="E61" s="25">
        <f t="shared" si="7"/>
        <v>46.36</v>
      </c>
      <c r="F61" s="25">
        <f t="shared" si="9"/>
        <v>46.36</v>
      </c>
      <c r="G61" s="25">
        <f t="shared" si="10"/>
        <v>46.36</v>
      </c>
      <c r="H61" s="25">
        <f t="shared" si="8"/>
        <v>13.908</v>
      </c>
      <c r="I61" s="80">
        <f t="shared" si="2"/>
        <v>78.812</v>
      </c>
    </row>
    <row r="62" spans="1:9" ht="15.75">
      <c r="A62" s="23">
        <v>2515</v>
      </c>
      <c r="B62" s="26" t="s">
        <v>78</v>
      </c>
      <c r="C62" s="80">
        <v>28</v>
      </c>
      <c r="D62" s="127">
        <f t="shared" si="6"/>
        <v>39.84</v>
      </c>
      <c r="E62" s="25">
        <f t="shared" si="7"/>
        <v>1.69</v>
      </c>
      <c r="F62" s="25">
        <f t="shared" si="9"/>
        <v>1.69</v>
      </c>
      <c r="G62" s="25">
        <f t="shared" si="10"/>
        <v>1.69</v>
      </c>
      <c r="H62" s="25">
        <f t="shared" si="8"/>
        <v>0.507</v>
      </c>
      <c r="I62" s="80">
        <f t="shared" si="2"/>
        <v>2.873</v>
      </c>
    </row>
    <row r="63" spans="1:9" ht="15.75">
      <c r="A63" s="23">
        <v>2519</v>
      </c>
      <c r="B63" s="26" t="s">
        <v>34</v>
      </c>
      <c r="C63" s="80">
        <v>173</v>
      </c>
      <c r="D63" s="127">
        <v>233.01</v>
      </c>
      <c r="E63" s="25">
        <f t="shared" si="7"/>
        <v>9.89</v>
      </c>
      <c r="F63" s="25">
        <f t="shared" si="9"/>
        <v>9.89</v>
      </c>
      <c r="G63" s="25">
        <f t="shared" si="10"/>
        <v>9.89</v>
      </c>
      <c r="H63" s="25">
        <f t="shared" si="8"/>
        <v>2.9670000000000005</v>
      </c>
      <c r="I63" s="80">
        <f t="shared" si="2"/>
        <v>16.813000000000002</v>
      </c>
    </row>
    <row r="64" spans="1:9" ht="15.75" hidden="1">
      <c r="A64" s="23">
        <v>6240</v>
      </c>
      <c r="B64" s="26"/>
      <c r="C64" s="80"/>
      <c r="D64" s="127">
        <f t="shared" si="6"/>
        <v>0</v>
      </c>
      <c r="E64" s="25">
        <f t="shared" si="7"/>
        <v>0</v>
      </c>
      <c r="F64" s="25">
        <f t="shared" si="9"/>
        <v>0</v>
      </c>
      <c r="G64" s="25">
        <f t="shared" si="10"/>
        <v>0</v>
      </c>
      <c r="H64" s="25">
        <f t="shared" si="8"/>
        <v>0</v>
      </c>
      <c r="I64" s="80">
        <f t="shared" si="2"/>
        <v>0</v>
      </c>
    </row>
    <row r="65" spans="1:9" ht="15.75" hidden="1">
      <c r="A65" s="23">
        <v>6290</v>
      </c>
      <c r="B65" s="26"/>
      <c r="C65" s="80"/>
      <c r="D65" s="127">
        <f t="shared" si="6"/>
        <v>0</v>
      </c>
      <c r="E65" s="25">
        <f t="shared" si="7"/>
        <v>0</v>
      </c>
      <c r="F65" s="25">
        <f t="shared" si="9"/>
        <v>0</v>
      </c>
      <c r="G65" s="25">
        <f t="shared" si="10"/>
        <v>0</v>
      </c>
      <c r="H65" s="25">
        <f t="shared" si="8"/>
        <v>0</v>
      </c>
      <c r="I65" s="80">
        <f t="shared" si="2"/>
        <v>0</v>
      </c>
    </row>
    <row r="66" spans="1:9" ht="15.75">
      <c r="A66" s="23">
        <v>5121</v>
      </c>
      <c r="B66" s="26" t="s">
        <v>32</v>
      </c>
      <c r="C66" s="80">
        <v>135</v>
      </c>
      <c r="D66" s="127">
        <f>ROUND(C66/0.702804,2)</f>
        <v>192.09</v>
      </c>
      <c r="E66" s="25">
        <f t="shared" si="7"/>
        <v>8.15</v>
      </c>
      <c r="F66" s="25">
        <f t="shared" si="9"/>
        <v>8.15</v>
      </c>
      <c r="G66" s="25">
        <f t="shared" si="10"/>
        <v>8.15</v>
      </c>
      <c r="H66" s="25">
        <f t="shared" si="8"/>
        <v>2.4450000000000003</v>
      </c>
      <c r="I66" s="80">
        <f t="shared" si="2"/>
        <v>13.855000000000002</v>
      </c>
    </row>
    <row r="67" spans="1:9" ht="15.75">
      <c r="A67" s="23">
        <v>5232</v>
      </c>
      <c r="B67" s="26" t="s">
        <v>33</v>
      </c>
      <c r="C67" s="80">
        <v>14</v>
      </c>
      <c r="D67" s="127">
        <f t="shared" si="6"/>
        <v>19.92</v>
      </c>
      <c r="E67" s="25">
        <v>0.87</v>
      </c>
      <c r="F67" s="25">
        <v>0.94</v>
      </c>
      <c r="G67" s="25">
        <v>2.51</v>
      </c>
      <c r="H67" s="25">
        <f t="shared" si="8"/>
        <v>0.7529999999999999</v>
      </c>
      <c r="I67" s="80">
        <f t="shared" si="2"/>
        <v>4.2669999999999995</v>
      </c>
    </row>
    <row r="68" spans="1:9" ht="15.75" hidden="1">
      <c r="A68" s="23">
        <v>5238</v>
      </c>
      <c r="B68" s="26" t="s">
        <v>35</v>
      </c>
      <c r="C68" s="80"/>
      <c r="D68" s="127">
        <f t="shared" si="6"/>
        <v>0</v>
      </c>
      <c r="E68" s="25">
        <f t="shared" si="7"/>
        <v>0</v>
      </c>
      <c r="F68" s="25">
        <f t="shared" si="9"/>
        <v>0</v>
      </c>
      <c r="G68" s="25">
        <f t="shared" si="10"/>
        <v>0</v>
      </c>
      <c r="H68" s="25">
        <f t="shared" si="8"/>
        <v>0</v>
      </c>
      <c r="I68" s="80">
        <f t="shared" si="2"/>
        <v>0</v>
      </c>
    </row>
    <row r="69" spans="1:9" ht="15.75">
      <c r="A69" s="23">
        <v>5240</v>
      </c>
      <c r="B69" s="26" t="s">
        <v>36</v>
      </c>
      <c r="C69" s="80">
        <v>7</v>
      </c>
      <c r="D69" s="127">
        <f t="shared" si="6"/>
        <v>9.96</v>
      </c>
      <c r="E69" s="25">
        <f t="shared" si="7"/>
        <v>0.42</v>
      </c>
      <c r="F69" s="25">
        <f t="shared" si="9"/>
        <v>0.42</v>
      </c>
      <c r="G69" s="25">
        <f t="shared" si="10"/>
        <v>0.42</v>
      </c>
      <c r="H69" s="25">
        <f t="shared" si="8"/>
        <v>0.126</v>
      </c>
      <c r="I69" s="80">
        <f t="shared" si="2"/>
        <v>0.7140000000000001</v>
      </c>
    </row>
    <row r="70" spans="1:9" ht="15.75" hidden="1">
      <c r="A70" s="23">
        <v>5250</v>
      </c>
      <c r="B70" s="26" t="s">
        <v>37</v>
      </c>
      <c r="C70" s="80"/>
      <c r="D70" s="127">
        <f t="shared" si="6"/>
        <v>0</v>
      </c>
      <c r="E70" s="25"/>
      <c r="F70" s="25">
        <f>E70/11785*300</f>
        <v>0</v>
      </c>
      <c r="G70" s="25">
        <f t="shared" si="10"/>
        <v>0</v>
      </c>
      <c r="H70" s="25">
        <f t="shared" si="8"/>
        <v>0</v>
      </c>
      <c r="I70" s="81">
        <f t="shared" si="2"/>
        <v>0</v>
      </c>
    </row>
    <row r="71" spans="1:9" ht="15.75">
      <c r="A71" s="29"/>
      <c r="B71" s="34" t="s">
        <v>79</v>
      </c>
      <c r="C71" s="82">
        <f aca="true" t="shared" si="11" ref="C71:I71">SUM(C27:C70)</f>
        <v>34360.97</v>
      </c>
      <c r="D71" s="82">
        <f t="shared" si="11"/>
        <v>48878.11999999998</v>
      </c>
      <c r="E71" s="28">
        <f t="shared" si="11"/>
        <v>2073.75</v>
      </c>
      <c r="F71" s="28">
        <f t="shared" si="11"/>
        <v>2107.56</v>
      </c>
      <c r="G71" s="28">
        <f t="shared" si="11"/>
        <v>2109.13</v>
      </c>
      <c r="H71" s="28">
        <f t="shared" si="11"/>
        <v>632.7390000000001</v>
      </c>
      <c r="I71" s="28">
        <f t="shared" si="11"/>
        <v>3585.5209999999993</v>
      </c>
    </row>
    <row r="72" spans="1:9" ht="15.75">
      <c r="A72" s="33"/>
      <c r="B72" s="34" t="s">
        <v>80</v>
      </c>
      <c r="C72" s="82">
        <f aca="true" t="shared" si="12" ref="C72:I72">C71+C25</f>
        <v>68588.70000000001</v>
      </c>
      <c r="D72" s="82">
        <f t="shared" si="12"/>
        <v>97579.79999999999</v>
      </c>
      <c r="E72" s="28">
        <f t="shared" si="12"/>
        <v>4140</v>
      </c>
      <c r="F72" s="28">
        <f t="shared" si="12"/>
        <v>4225</v>
      </c>
      <c r="G72" s="28">
        <f t="shared" si="12"/>
        <v>4710</v>
      </c>
      <c r="H72" s="28">
        <f t="shared" si="12"/>
        <v>1423.5000000000002</v>
      </c>
      <c r="I72" s="28">
        <f t="shared" si="12"/>
        <v>8066.499999999998</v>
      </c>
    </row>
    <row r="73" spans="1:8" ht="15.75">
      <c r="A73" s="9"/>
      <c r="B73" s="14"/>
      <c r="C73" s="35"/>
      <c r="D73" s="35"/>
      <c r="E73" s="41"/>
      <c r="F73" s="41"/>
      <c r="G73" s="41"/>
      <c r="H73" s="41"/>
    </row>
    <row r="74" spans="1:9" ht="15.75">
      <c r="A74" s="212" t="s">
        <v>45</v>
      </c>
      <c r="B74" s="213"/>
      <c r="C74" s="36">
        <v>11785</v>
      </c>
      <c r="D74" s="36">
        <v>11785</v>
      </c>
      <c r="E74" s="42">
        <v>500</v>
      </c>
      <c r="F74" s="42">
        <v>500</v>
      </c>
      <c r="G74" s="42">
        <v>500</v>
      </c>
      <c r="H74" s="162">
        <v>150</v>
      </c>
      <c r="I74" s="162">
        <v>850</v>
      </c>
    </row>
    <row r="75" spans="1:9" ht="15.75">
      <c r="A75" s="212" t="s">
        <v>91</v>
      </c>
      <c r="B75" s="213"/>
      <c r="C75" s="98">
        <f>C72/C74</f>
        <v>5.820000000000001</v>
      </c>
      <c r="D75" s="99">
        <f>D72/D74</f>
        <v>8.28</v>
      </c>
      <c r="E75" s="28">
        <f>ROUND(E72/E74,2)</f>
        <v>8.28</v>
      </c>
      <c r="F75" s="28">
        <f>ROUND(F72/F74,2)</f>
        <v>8.45</v>
      </c>
      <c r="G75" s="28">
        <f>ROUND(G72/G74,2)</f>
        <v>9.42</v>
      </c>
      <c r="H75" s="164">
        <f>ROUND(H72/H74,2)</f>
        <v>9.49</v>
      </c>
      <c r="I75" s="164">
        <f>ROUND(I72/I74,2)</f>
        <v>9.49</v>
      </c>
    </row>
    <row r="76" spans="1:9" ht="15.75">
      <c r="A76" s="14"/>
      <c r="B76" s="11"/>
      <c r="C76" s="11"/>
      <c r="D76" s="35"/>
      <c r="E76" s="41"/>
      <c r="F76" s="51"/>
      <c r="G76" s="51"/>
      <c r="H76" s="51"/>
      <c r="I76" s="51"/>
    </row>
    <row r="77" spans="1:9" ht="15.75">
      <c r="A77" s="212" t="s">
        <v>46</v>
      </c>
      <c r="B77" s="213"/>
      <c r="C77" s="72"/>
      <c r="D77" s="145"/>
      <c r="E77" s="146"/>
      <c r="F77" s="146"/>
      <c r="G77" s="146"/>
      <c r="H77" s="146"/>
      <c r="I77" s="146"/>
    </row>
    <row r="78" spans="1:9" ht="15.75">
      <c r="A78" s="212" t="s">
        <v>55</v>
      </c>
      <c r="B78" s="213"/>
      <c r="C78" s="72"/>
      <c r="D78" s="72"/>
      <c r="E78" s="44"/>
      <c r="F78" s="44"/>
      <c r="G78" s="44"/>
      <c r="H78" s="44"/>
      <c r="I78" s="44"/>
    </row>
    <row r="79" spans="1:8" ht="15.75">
      <c r="A79" s="38"/>
      <c r="B79" s="38"/>
      <c r="C79" s="38"/>
      <c r="D79" s="38"/>
      <c r="E79" s="136"/>
      <c r="F79" s="136"/>
      <c r="G79" s="136"/>
      <c r="H79" s="136"/>
    </row>
    <row r="80" spans="1:8" ht="15.75">
      <c r="A80" s="38" t="s">
        <v>47</v>
      </c>
      <c r="B80" s="38"/>
      <c r="C80" s="38"/>
      <c r="D80" s="38"/>
      <c r="E80" s="136"/>
      <c r="F80" s="136"/>
      <c r="G80" s="136"/>
      <c r="H80" s="136"/>
    </row>
    <row r="81" spans="1:8" ht="15.75">
      <c r="A81" s="38"/>
      <c r="B81" s="38"/>
      <c r="C81" s="38"/>
      <c r="D81" s="38"/>
      <c r="E81" s="136"/>
      <c r="F81" s="136"/>
      <c r="G81" s="136"/>
      <c r="H81" s="136"/>
    </row>
    <row r="82" spans="1:8" ht="15.75">
      <c r="A82" s="38"/>
      <c r="B82" s="39"/>
      <c r="C82" s="39"/>
      <c r="D82" s="39"/>
      <c r="E82" s="38"/>
      <c r="F82" s="38"/>
      <c r="G82" s="38"/>
      <c r="H82" s="38"/>
    </row>
    <row r="83" spans="1:8" ht="15">
      <c r="A83" s="3"/>
      <c r="B83" s="66"/>
      <c r="C83" s="66"/>
      <c r="D83" s="66"/>
      <c r="E83" s="3"/>
      <c r="F83" s="3"/>
      <c r="G83" s="3"/>
      <c r="H83" s="3"/>
    </row>
  </sheetData>
  <sheetProtection/>
  <mergeCells count="12">
    <mergeCell ref="A78:B78"/>
    <mergeCell ref="B1:H1"/>
    <mergeCell ref="A6:E6"/>
    <mergeCell ref="B7:E7"/>
    <mergeCell ref="B8:E8"/>
    <mergeCell ref="B9:E9"/>
    <mergeCell ref="A74:B74"/>
    <mergeCell ref="A75:B75"/>
    <mergeCell ref="A3:H3"/>
    <mergeCell ref="B4:E4"/>
    <mergeCell ref="A5:E5"/>
    <mergeCell ref="A77:B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12.00390625" style="1" customWidth="1"/>
    <col min="2" max="2" width="93.57421875" style="1" customWidth="1"/>
    <col min="3" max="3" width="2.7109375" style="4" hidden="1" customWidth="1"/>
    <col min="4" max="4" width="21.00390625" style="77" customWidth="1"/>
  </cols>
  <sheetData>
    <row r="1" spans="1:3" ht="18.75">
      <c r="A1" s="193" t="s">
        <v>6</v>
      </c>
      <c r="B1" s="193"/>
      <c r="C1" s="193"/>
    </row>
    <row r="2" spans="1:3" ht="15.75">
      <c r="A2" s="4"/>
      <c r="B2" s="60"/>
      <c r="C2" s="2"/>
    </row>
    <row r="3" spans="1:3" ht="15.75">
      <c r="A3" s="195" t="s">
        <v>0</v>
      </c>
      <c r="B3" s="195"/>
      <c r="C3" s="14"/>
    </row>
    <row r="4" spans="1:3" ht="15.75">
      <c r="A4" s="8"/>
      <c r="B4" s="8" t="s">
        <v>44</v>
      </c>
      <c r="C4" s="14"/>
    </row>
    <row r="5" spans="1:3" ht="15.75">
      <c r="A5" s="8"/>
      <c r="B5" s="8" t="s">
        <v>112</v>
      </c>
      <c r="C5" s="14"/>
    </row>
    <row r="6" spans="1:3" ht="15.75">
      <c r="A6" s="8"/>
      <c r="B6" s="8" t="s">
        <v>206</v>
      </c>
      <c r="C6" s="14"/>
    </row>
    <row r="7" spans="1:3" ht="15.75">
      <c r="A7" s="8"/>
      <c r="B7" s="8" t="s">
        <v>207</v>
      </c>
      <c r="C7" s="14"/>
    </row>
    <row r="8" spans="1:3" ht="15.75">
      <c r="A8" s="8" t="s">
        <v>2</v>
      </c>
      <c r="B8" s="8" t="s">
        <v>205</v>
      </c>
      <c r="C8" s="14"/>
    </row>
    <row r="9" spans="1:3" ht="15.75" hidden="1">
      <c r="A9" s="15"/>
      <c r="B9" s="16"/>
      <c r="C9" s="14"/>
    </row>
    <row r="10" spans="1:4" ht="118.5" customHeight="1">
      <c r="A10" s="59" t="s">
        <v>3</v>
      </c>
      <c r="B10" s="59" t="s">
        <v>4</v>
      </c>
      <c r="C10" s="59" t="s">
        <v>5</v>
      </c>
      <c r="D10" s="59" t="s">
        <v>5</v>
      </c>
    </row>
    <row r="11" spans="1:4" ht="15.75">
      <c r="A11" s="18">
        <v>1</v>
      </c>
      <c r="B11" s="19">
        <v>2</v>
      </c>
      <c r="C11" s="19">
        <v>3</v>
      </c>
      <c r="D11" s="81"/>
    </row>
    <row r="12" spans="1:4" ht="15.75">
      <c r="A12" s="18"/>
      <c r="B12" s="21" t="s">
        <v>68</v>
      </c>
      <c r="C12" s="23"/>
      <c r="D12" s="81"/>
    </row>
    <row r="13" spans="1:4" ht="15.75">
      <c r="A13" s="23">
        <v>1100</v>
      </c>
      <c r="B13" s="24" t="s">
        <v>59</v>
      </c>
      <c r="C13" s="25">
        <f>111.12+200*0.15</f>
        <v>141.12</v>
      </c>
      <c r="D13" s="81">
        <f>C13/200*1000</f>
        <v>705.6</v>
      </c>
    </row>
    <row r="14" spans="1:4" ht="17.25" customHeight="1">
      <c r="A14" s="23">
        <v>1200</v>
      </c>
      <c r="B14" s="26" t="s">
        <v>60</v>
      </c>
      <c r="C14" s="25">
        <f>26.77+200*0.04</f>
        <v>34.769999999999996</v>
      </c>
      <c r="D14" s="81">
        <f aca="true" t="shared" si="0" ref="D14:D67">C14/200*1000</f>
        <v>173.84999999999997</v>
      </c>
    </row>
    <row r="15" spans="1:4" ht="15.75">
      <c r="A15" s="23">
        <v>2222</v>
      </c>
      <c r="B15" s="26" t="s">
        <v>39</v>
      </c>
      <c r="C15" s="25">
        <v>2</v>
      </c>
      <c r="D15" s="80">
        <f t="shared" si="0"/>
        <v>10</v>
      </c>
    </row>
    <row r="16" spans="1:4" ht="15.75">
      <c r="A16" s="31">
        <v>2341</v>
      </c>
      <c r="B16" s="26" t="s">
        <v>23</v>
      </c>
      <c r="C16" s="25">
        <v>224</v>
      </c>
      <c r="D16" s="80">
        <f t="shared" si="0"/>
        <v>1120</v>
      </c>
    </row>
    <row r="17" spans="1:4" ht="15.75">
      <c r="A17" s="23">
        <v>2223</v>
      </c>
      <c r="B17" s="26" t="s">
        <v>40</v>
      </c>
      <c r="C17" s="25">
        <v>9.4</v>
      </c>
      <c r="D17" s="80">
        <f t="shared" si="0"/>
        <v>47</v>
      </c>
    </row>
    <row r="18" spans="1:4" ht="15.75">
      <c r="A18" s="23">
        <v>2321</v>
      </c>
      <c r="B18" s="26" t="s">
        <v>21</v>
      </c>
      <c r="C18" s="25">
        <v>11.4</v>
      </c>
      <c r="D18" s="80">
        <f t="shared" si="0"/>
        <v>57</v>
      </c>
    </row>
    <row r="19" spans="1:4" ht="15.75">
      <c r="A19" s="23">
        <v>2243</v>
      </c>
      <c r="B19" s="26" t="s">
        <v>11</v>
      </c>
      <c r="C19" s="25">
        <v>5.71</v>
      </c>
      <c r="D19" s="81">
        <f t="shared" si="0"/>
        <v>28.55</v>
      </c>
    </row>
    <row r="20" spans="1:4" ht="15.75">
      <c r="A20" s="23">
        <v>5232</v>
      </c>
      <c r="B20" s="26" t="s">
        <v>33</v>
      </c>
      <c r="C20" s="25">
        <v>6.2</v>
      </c>
      <c r="D20" s="80">
        <f t="shared" si="0"/>
        <v>31</v>
      </c>
    </row>
    <row r="21" spans="1:4" ht="15.75">
      <c r="A21" s="23">
        <v>2312</v>
      </c>
      <c r="B21" s="26" t="s">
        <v>20</v>
      </c>
      <c r="C21" s="25">
        <v>10</v>
      </c>
      <c r="D21" s="80">
        <f t="shared" si="0"/>
        <v>50</v>
      </c>
    </row>
    <row r="22" spans="1:4" ht="15.75">
      <c r="A22" s="23">
        <v>2311</v>
      </c>
      <c r="B22" s="26" t="s">
        <v>19</v>
      </c>
      <c r="C22" s="25">
        <v>2</v>
      </c>
      <c r="D22" s="80">
        <f t="shared" si="0"/>
        <v>10</v>
      </c>
    </row>
    <row r="23" spans="1:4" ht="15.75">
      <c r="A23" s="22"/>
      <c r="B23" s="27" t="s">
        <v>67</v>
      </c>
      <c r="C23" s="28">
        <f>SUM(C13:C22)</f>
        <v>446.5999999999999</v>
      </c>
      <c r="D23" s="28">
        <f>SUM(D13:D22)</f>
        <v>2233</v>
      </c>
    </row>
    <row r="24" spans="1:4" ht="15.75">
      <c r="A24" s="29"/>
      <c r="B24" s="24" t="s">
        <v>61</v>
      </c>
      <c r="C24" s="28"/>
      <c r="D24" s="81"/>
    </row>
    <row r="25" spans="1:4" ht="15.75">
      <c r="A25" s="23">
        <v>1100</v>
      </c>
      <c r="B25" s="24" t="s">
        <v>59</v>
      </c>
      <c r="C25" s="25">
        <v>68.47</v>
      </c>
      <c r="D25" s="80">
        <f t="shared" si="0"/>
        <v>342.34999999999997</v>
      </c>
    </row>
    <row r="26" spans="1:4" ht="15" customHeight="1">
      <c r="A26" s="23">
        <v>1200</v>
      </c>
      <c r="B26" s="26" t="s">
        <v>60</v>
      </c>
      <c r="C26" s="25">
        <v>16.49</v>
      </c>
      <c r="D26" s="80">
        <f t="shared" si="0"/>
        <v>82.44999999999999</v>
      </c>
    </row>
    <row r="27" spans="1:4" ht="15.75">
      <c r="A27" s="31">
        <v>2210</v>
      </c>
      <c r="B27" s="26" t="s">
        <v>38</v>
      </c>
      <c r="C27" s="25">
        <v>1.08</v>
      </c>
      <c r="D27" s="80">
        <f t="shared" si="0"/>
        <v>5.4</v>
      </c>
    </row>
    <row r="28" spans="1:4" ht="15.75">
      <c r="A28" s="23">
        <v>2222</v>
      </c>
      <c r="B28" s="26" t="s">
        <v>39</v>
      </c>
      <c r="C28" s="25">
        <v>3.3</v>
      </c>
      <c r="D28" s="80">
        <f t="shared" si="0"/>
        <v>16.5</v>
      </c>
    </row>
    <row r="29" spans="1:4" ht="15.75">
      <c r="A29" s="23">
        <v>2223</v>
      </c>
      <c r="B29" s="26" t="s">
        <v>40</v>
      </c>
      <c r="C29" s="25">
        <v>5.86</v>
      </c>
      <c r="D29" s="80">
        <f t="shared" si="0"/>
        <v>29.300000000000004</v>
      </c>
    </row>
    <row r="30" spans="1:4" ht="15.75" customHeight="1">
      <c r="A30" s="23">
        <v>2230</v>
      </c>
      <c r="B30" s="26" t="s">
        <v>41</v>
      </c>
      <c r="C30" s="25">
        <v>2.1</v>
      </c>
      <c r="D30" s="80">
        <f t="shared" si="0"/>
        <v>10.5</v>
      </c>
    </row>
    <row r="31" spans="1:4" ht="15.75">
      <c r="A31" s="23">
        <v>2241</v>
      </c>
      <c r="B31" s="26" t="s">
        <v>9</v>
      </c>
      <c r="C31" s="25">
        <v>2.39</v>
      </c>
      <c r="D31" s="80">
        <f t="shared" si="0"/>
        <v>11.950000000000001</v>
      </c>
    </row>
    <row r="32" spans="1:4" ht="15.75">
      <c r="A32" s="23">
        <v>2242</v>
      </c>
      <c r="B32" s="26" t="s">
        <v>10</v>
      </c>
      <c r="C32" s="25">
        <v>0.98</v>
      </c>
      <c r="D32" s="80">
        <f t="shared" si="0"/>
        <v>4.8999999999999995</v>
      </c>
    </row>
    <row r="33" spans="1:4" ht="15.75">
      <c r="A33" s="23">
        <v>2243</v>
      </c>
      <c r="B33" s="26" t="s">
        <v>11</v>
      </c>
      <c r="C33" s="25">
        <v>4</v>
      </c>
      <c r="D33" s="80">
        <f t="shared" si="0"/>
        <v>20</v>
      </c>
    </row>
    <row r="34" spans="1:4" ht="15.75">
      <c r="A34" s="22">
        <v>2244</v>
      </c>
      <c r="B34" s="26" t="s">
        <v>12</v>
      </c>
      <c r="C34" s="25">
        <f>5+200*0.05</f>
        <v>15</v>
      </c>
      <c r="D34" s="80">
        <f t="shared" si="0"/>
        <v>75</v>
      </c>
    </row>
    <row r="35" spans="1:4" ht="15.75">
      <c r="A35" s="22">
        <v>2247</v>
      </c>
      <c r="B35" s="21" t="s">
        <v>62</v>
      </c>
      <c r="C35" s="25">
        <v>0.92</v>
      </c>
      <c r="D35" s="80">
        <f t="shared" si="0"/>
        <v>4.6</v>
      </c>
    </row>
    <row r="36" spans="1:4" ht="15.75">
      <c r="A36" s="22">
        <v>2249</v>
      </c>
      <c r="B36" s="26" t="s">
        <v>13</v>
      </c>
      <c r="C36" s="25">
        <v>2.9</v>
      </c>
      <c r="D36" s="80">
        <f t="shared" si="0"/>
        <v>14.499999999999998</v>
      </c>
    </row>
    <row r="37" spans="1:4" ht="15.75">
      <c r="A37" s="22">
        <v>2251</v>
      </c>
      <c r="B37" s="26" t="s">
        <v>63</v>
      </c>
      <c r="C37" s="25">
        <v>2.2</v>
      </c>
      <c r="D37" s="80">
        <f t="shared" si="0"/>
        <v>11.000000000000002</v>
      </c>
    </row>
    <row r="38" spans="1:4" ht="15.75" hidden="1">
      <c r="A38" s="22">
        <v>2252</v>
      </c>
      <c r="B38" s="26" t="s">
        <v>7</v>
      </c>
      <c r="C38" s="25"/>
      <c r="D38" s="80">
        <f t="shared" si="0"/>
        <v>0</v>
      </c>
    </row>
    <row r="39" spans="1:4" ht="15.75" hidden="1">
      <c r="A39" s="22">
        <v>2259</v>
      </c>
      <c r="B39" s="26" t="s">
        <v>8</v>
      </c>
      <c r="C39" s="25"/>
      <c r="D39" s="80">
        <f t="shared" si="0"/>
        <v>0</v>
      </c>
    </row>
    <row r="40" spans="1:4" ht="15.75">
      <c r="A40" s="22">
        <v>2261</v>
      </c>
      <c r="B40" s="26" t="s">
        <v>14</v>
      </c>
      <c r="C40" s="25">
        <v>1</v>
      </c>
      <c r="D40" s="80">
        <f t="shared" si="0"/>
        <v>5</v>
      </c>
    </row>
    <row r="41" spans="1:4" ht="15.75">
      <c r="A41" s="22">
        <v>2262</v>
      </c>
      <c r="B41" s="26" t="s">
        <v>15</v>
      </c>
      <c r="C41" s="25">
        <v>1.4</v>
      </c>
      <c r="D41" s="80">
        <f t="shared" si="0"/>
        <v>6.999999999999999</v>
      </c>
    </row>
    <row r="42" spans="1:4" ht="15.75">
      <c r="A42" s="22">
        <v>2263</v>
      </c>
      <c r="B42" s="26" t="s">
        <v>16</v>
      </c>
      <c r="C42" s="25">
        <v>3.2</v>
      </c>
      <c r="D42" s="80">
        <f t="shared" si="0"/>
        <v>16</v>
      </c>
    </row>
    <row r="43" spans="1:4" ht="15.75" hidden="1">
      <c r="A43" s="23">
        <v>2264</v>
      </c>
      <c r="B43" s="26" t="s">
        <v>17</v>
      </c>
      <c r="C43" s="25"/>
      <c r="D43" s="80">
        <f t="shared" si="0"/>
        <v>0</v>
      </c>
    </row>
    <row r="44" spans="1:4" ht="15.75">
      <c r="A44" s="23">
        <v>2279</v>
      </c>
      <c r="B44" s="26" t="s">
        <v>18</v>
      </c>
      <c r="C44" s="25">
        <v>5.52</v>
      </c>
      <c r="D44" s="80">
        <f t="shared" si="0"/>
        <v>27.599999999999998</v>
      </c>
    </row>
    <row r="45" spans="1:4" ht="15.75">
      <c r="A45" s="23">
        <v>2311</v>
      </c>
      <c r="B45" s="26" t="s">
        <v>19</v>
      </c>
      <c r="C45" s="25">
        <v>0.57</v>
      </c>
      <c r="D45" s="80">
        <f t="shared" si="0"/>
        <v>2.8499999999999996</v>
      </c>
    </row>
    <row r="46" spans="1:4" ht="15.75">
      <c r="A46" s="23">
        <v>2312</v>
      </c>
      <c r="B46" s="26" t="s">
        <v>20</v>
      </c>
      <c r="C46" s="25">
        <v>0.61</v>
      </c>
      <c r="D46" s="80">
        <f t="shared" si="0"/>
        <v>3.05</v>
      </c>
    </row>
    <row r="47" spans="1:4" ht="15.75">
      <c r="A47" s="23">
        <v>2321</v>
      </c>
      <c r="B47" s="26" t="s">
        <v>21</v>
      </c>
      <c r="C47" s="25">
        <v>8.9</v>
      </c>
      <c r="D47" s="80">
        <f t="shared" si="0"/>
        <v>44.50000000000001</v>
      </c>
    </row>
    <row r="48" spans="1:4" ht="15.75">
      <c r="A48" s="23">
        <v>2322</v>
      </c>
      <c r="B48" s="26" t="s">
        <v>22</v>
      </c>
      <c r="C48" s="25">
        <v>2.26</v>
      </c>
      <c r="D48" s="80">
        <f t="shared" si="0"/>
        <v>11.299999999999999</v>
      </c>
    </row>
    <row r="49" spans="1:4" ht="15.75">
      <c r="A49" s="23">
        <v>2341</v>
      </c>
      <c r="B49" s="26" t="s">
        <v>23</v>
      </c>
      <c r="C49" s="25">
        <v>1.2</v>
      </c>
      <c r="D49" s="80">
        <f t="shared" si="0"/>
        <v>6</v>
      </c>
    </row>
    <row r="50" spans="1:4" ht="15.75" hidden="1">
      <c r="A50" s="23">
        <v>2344</v>
      </c>
      <c r="B50" s="26" t="s">
        <v>24</v>
      </c>
      <c r="C50" s="25"/>
      <c r="D50" s="80">
        <f t="shared" si="0"/>
        <v>0</v>
      </c>
    </row>
    <row r="51" spans="1:4" ht="15.75">
      <c r="A51" s="23">
        <v>2350</v>
      </c>
      <c r="B51" s="26" t="s">
        <v>25</v>
      </c>
      <c r="C51" s="25">
        <v>3</v>
      </c>
      <c r="D51" s="80">
        <f t="shared" si="0"/>
        <v>15</v>
      </c>
    </row>
    <row r="52" spans="1:4" ht="15.75">
      <c r="A52" s="23">
        <v>2361</v>
      </c>
      <c r="B52" s="26" t="s">
        <v>26</v>
      </c>
      <c r="C52" s="25">
        <v>2.5</v>
      </c>
      <c r="D52" s="80">
        <f t="shared" si="0"/>
        <v>12.5</v>
      </c>
    </row>
    <row r="53" spans="1:4" ht="15.75" hidden="1">
      <c r="A53" s="23">
        <v>2362</v>
      </c>
      <c r="B53" s="26" t="s">
        <v>27</v>
      </c>
      <c r="C53" s="25"/>
      <c r="D53" s="80">
        <f t="shared" si="0"/>
        <v>0</v>
      </c>
    </row>
    <row r="54" spans="1:4" ht="15.75" hidden="1">
      <c r="A54" s="23">
        <v>2363</v>
      </c>
      <c r="B54" s="26" t="s">
        <v>28</v>
      </c>
      <c r="C54" s="25"/>
      <c r="D54" s="80">
        <f t="shared" si="0"/>
        <v>0</v>
      </c>
    </row>
    <row r="55" spans="1:4" ht="15.75" hidden="1">
      <c r="A55" s="23">
        <v>2370</v>
      </c>
      <c r="B55" s="26" t="s">
        <v>29</v>
      </c>
      <c r="C55" s="25"/>
      <c r="D55" s="80">
        <f t="shared" si="0"/>
        <v>0</v>
      </c>
    </row>
    <row r="56" spans="1:4" ht="15.75">
      <c r="A56" s="23">
        <v>2400</v>
      </c>
      <c r="B56" s="26" t="s">
        <v>43</v>
      </c>
      <c r="C56" s="25">
        <v>0.42</v>
      </c>
      <c r="D56" s="80">
        <f t="shared" si="0"/>
        <v>2.1</v>
      </c>
    </row>
    <row r="57" spans="1:4" ht="15.75" hidden="1">
      <c r="A57" s="23">
        <v>2512</v>
      </c>
      <c r="B57" s="26" t="s">
        <v>30</v>
      </c>
      <c r="C57" s="25"/>
      <c r="D57" s="80">
        <f t="shared" si="0"/>
        <v>0</v>
      </c>
    </row>
    <row r="58" spans="1:4" ht="15.75">
      <c r="A58" s="23">
        <v>2513</v>
      </c>
      <c r="B58" s="26" t="s">
        <v>31</v>
      </c>
      <c r="C58" s="25">
        <v>3</v>
      </c>
      <c r="D58" s="80">
        <f t="shared" si="0"/>
        <v>15</v>
      </c>
    </row>
    <row r="59" spans="1:4" ht="15.75">
      <c r="A59" s="23">
        <v>2515</v>
      </c>
      <c r="B59" s="26" t="s">
        <v>64</v>
      </c>
      <c r="C59" s="25">
        <v>0.38</v>
      </c>
      <c r="D59" s="80">
        <f t="shared" si="0"/>
        <v>1.9</v>
      </c>
    </row>
    <row r="60" spans="1:4" ht="15.75">
      <c r="A60" s="23">
        <v>2519</v>
      </c>
      <c r="B60" s="26" t="s">
        <v>34</v>
      </c>
      <c r="C60" s="25">
        <v>0.91</v>
      </c>
      <c r="D60" s="80">
        <f t="shared" si="0"/>
        <v>4.55</v>
      </c>
    </row>
    <row r="61" spans="1:4" ht="15.75" hidden="1">
      <c r="A61" s="23">
        <v>6240</v>
      </c>
      <c r="B61" s="26"/>
      <c r="C61" s="25"/>
      <c r="D61" s="80">
        <f t="shared" si="0"/>
        <v>0</v>
      </c>
    </row>
    <row r="62" spans="1:4" ht="15.75" hidden="1">
      <c r="A62" s="23">
        <v>6290</v>
      </c>
      <c r="B62" s="26"/>
      <c r="C62" s="25"/>
      <c r="D62" s="80">
        <f t="shared" si="0"/>
        <v>0</v>
      </c>
    </row>
    <row r="63" spans="1:4" ht="15.75">
      <c r="A63" s="23">
        <v>5121</v>
      </c>
      <c r="B63" s="26" t="s">
        <v>32</v>
      </c>
      <c r="C63" s="25">
        <v>0.05</v>
      </c>
      <c r="D63" s="80">
        <f t="shared" si="0"/>
        <v>0.25</v>
      </c>
    </row>
    <row r="64" spans="1:4" ht="15.75">
      <c r="A64" s="23">
        <v>5232</v>
      </c>
      <c r="B64" s="26" t="s">
        <v>33</v>
      </c>
      <c r="C64" s="25">
        <v>0.21</v>
      </c>
      <c r="D64" s="80">
        <f t="shared" si="0"/>
        <v>1.05</v>
      </c>
    </row>
    <row r="65" spans="1:4" ht="15.75">
      <c r="A65" s="23">
        <v>5238</v>
      </c>
      <c r="B65" s="26" t="s">
        <v>35</v>
      </c>
      <c r="C65" s="25">
        <v>0.18</v>
      </c>
      <c r="D65" s="80">
        <f t="shared" si="0"/>
        <v>0.9</v>
      </c>
    </row>
    <row r="66" spans="1:4" ht="15.75" hidden="1">
      <c r="A66" s="23">
        <v>5240</v>
      </c>
      <c r="B66" s="26" t="s">
        <v>36</v>
      </c>
      <c r="C66" s="25"/>
      <c r="D66" s="80">
        <f t="shared" si="0"/>
        <v>0</v>
      </c>
    </row>
    <row r="67" spans="1:4" ht="15.75">
      <c r="A67" s="22">
        <v>5250</v>
      </c>
      <c r="B67" s="26" t="s">
        <v>37</v>
      </c>
      <c r="C67" s="25">
        <v>0.4</v>
      </c>
      <c r="D67" s="80">
        <f t="shared" si="0"/>
        <v>2</v>
      </c>
    </row>
    <row r="68" spans="1:4" ht="15.75">
      <c r="A68" s="33"/>
      <c r="B68" s="34" t="s">
        <v>65</v>
      </c>
      <c r="C68" s="28">
        <f>SUM(C25:C67)</f>
        <v>161.4</v>
      </c>
      <c r="D68" s="28">
        <f>SUM(D25:D67)</f>
        <v>806.9999999999998</v>
      </c>
    </row>
    <row r="69" spans="1:4" ht="15.75">
      <c r="A69" s="33"/>
      <c r="B69" s="34" t="s">
        <v>66</v>
      </c>
      <c r="C69" s="28">
        <f>C68+C23</f>
        <v>607.9999999999999</v>
      </c>
      <c r="D69" s="28">
        <f>D68+D23</f>
        <v>3040</v>
      </c>
    </row>
    <row r="70" spans="1:3" ht="15.75">
      <c r="A70" s="9"/>
      <c r="B70" s="14"/>
      <c r="C70" s="62"/>
    </row>
    <row r="71" spans="1:4" ht="15.75">
      <c r="A71" s="212" t="s">
        <v>45</v>
      </c>
      <c r="B71" s="213"/>
      <c r="C71" s="17">
        <v>200</v>
      </c>
      <c r="D71" s="17">
        <v>1000</v>
      </c>
    </row>
    <row r="72" spans="1:4" ht="15.75">
      <c r="A72" s="212" t="s">
        <v>54</v>
      </c>
      <c r="B72" s="213"/>
      <c r="C72" s="164">
        <f>ROUND(C69/C71,2)</f>
        <v>3.04</v>
      </c>
      <c r="D72" s="164">
        <f>ROUND(D69/D71,2)</f>
        <v>3.04</v>
      </c>
    </row>
    <row r="73" spans="1:3" ht="15.75">
      <c r="A73" s="86"/>
      <c r="B73" s="87"/>
      <c r="C73" s="171"/>
    </row>
    <row r="74" spans="1:4" ht="15.75">
      <c r="A74" s="214" t="s">
        <v>46</v>
      </c>
      <c r="B74" s="215"/>
      <c r="C74" s="44"/>
      <c r="D74" s="44"/>
    </row>
    <row r="75" spans="1:4" ht="15.75">
      <c r="A75" s="214" t="s">
        <v>56</v>
      </c>
      <c r="B75" s="215"/>
      <c r="C75" s="44"/>
      <c r="D75" s="44"/>
    </row>
    <row r="76" spans="1:3" ht="15.75">
      <c r="A76" s="38"/>
      <c r="B76" s="38"/>
      <c r="C76" s="38"/>
    </row>
    <row r="77" spans="1:3" ht="15.75">
      <c r="A77" s="38" t="s">
        <v>47</v>
      </c>
      <c r="B77" s="38"/>
      <c r="C77" s="38"/>
    </row>
    <row r="78" spans="1:3" ht="15.75">
      <c r="A78" s="38"/>
      <c r="B78" s="38"/>
      <c r="C78" s="38"/>
    </row>
    <row r="79" spans="1:3" ht="15.75">
      <c r="A79" s="38"/>
      <c r="B79" s="39"/>
      <c r="C79" s="38"/>
    </row>
    <row r="80" spans="1:3" ht="15.75">
      <c r="A80" s="38"/>
      <c r="B80" s="101"/>
      <c r="C80" s="38"/>
    </row>
    <row r="81" spans="1:3" ht="15.75">
      <c r="A81" s="4"/>
      <c r="B81" s="61"/>
      <c r="C81" s="6"/>
    </row>
  </sheetData>
  <sheetProtection/>
  <mergeCells count="6">
    <mergeCell ref="A72:B72"/>
    <mergeCell ref="A74:B74"/>
    <mergeCell ref="A75:B75"/>
    <mergeCell ref="A1:C1"/>
    <mergeCell ref="A3:B3"/>
    <mergeCell ref="A71:B71"/>
  </mergeCells>
  <printOptions/>
  <pageMargins left="0.7086614173228347" right="0.11811023622047245" top="0" bottom="0" header="0.31496062992125984" footer="0.31496062992125984"/>
  <pageSetup fitToHeight="1" fitToWidth="1" horizontalDpi="600" verticalDpi="600" orientation="portrait" paperSize="9" scale="74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view="pageLayout" workbookViewId="0" topLeftCell="A69">
      <selection activeCell="B85" sqref="B85"/>
    </sheetView>
  </sheetViews>
  <sheetFormatPr defaultColWidth="9.140625" defaultRowHeight="12.75"/>
  <cols>
    <col min="1" max="1" width="12.8515625" style="1" customWidth="1"/>
    <col min="2" max="2" width="97.140625" style="1" customWidth="1"/>
    <col min="3" max="3" width="31.57421875" style="4" customWidth="1"/>
  </cols>
  <sheetData>
    <row r="1" spans="1:3" ht="15.75">
      <c r="A1" s="4"/>
      <c r="B1" s="13"/>
      <c r="C1" s="101"/>
    </row>
    <row r="2" spans="1:3" ht="15.75">
      <c r="A2" s="4"/>
      <c r="B2" s="75"/>
      <c r="C2" s="9"/>
    </row>
    <row r="3" spans="1:3" ht="18.75">
      <c r="A3" s="193" t="s">
        <v>6</v>
      </c>
      <c r="B3" s="193"/>
      <c r="C3" s="193"/>
    </row>
    <row r="4" spans="1:3" ht="15.75">
      <c r="A4" s="195" t="s">
        <v>1</v>
      </c>
      <c r="B4" s="195"/>
      <c r="C4" s="14"/>
    </row>
    <row r="5" spans="1:3" ht="15.75">
      <c r="A5" s="195" t="s">
        <v>0</v>
      </c>
      <c r="B5" s="195"/>
      <c r="C5" s="14"/>
    </row>
    <row r="6" spans="1:3" ht="15.75">
      <c r="A6" s="8"/>
      <c r="B6" s="8" t="s">
        <v>44</v>
      </c>
      <c r="C6" s="14"/>
    </row>
    <row r="7" spans="1:3" ht="15.75">
      <c r="A7" s="8"/>
      <c r="B7" s="8" t="s">
        <v>112</v>
      </c>
      <c r="C7" s="14"/>
    </row>
    <row r="8" spans="1:3" ht="15.75">
      <c r="A8" s="8"/>
      <c r="B8" s="8" t="s">
        <v>208</v>
      </c>
      <c r="C8" s="14"/>
    </row>
    <row r="9" spans="1:3" ht="15.75">
      <c r="A9" s="8"/>
      <c r="B9" s="8" t="s">
        <v>209</v>
      </c>
      <c r="C9" s="14"/>
    </row>
    <row r="10" spans="1:3" ht="15.75">
      <c r="A10" s="8" t="s">
        <v>2</v>
      </c>
      <c r="B10" s="8" t="s">
        <v>205</v>
      </c>
      <c r="C10" s="14"/>
    </row>
    <row r="11" spans="1:3" ht="15.75" hidden="1">
      <c r="A11" s="15"/>
      <c r="B11" s="16"/>
      <c r="C11" s="14"/>
    </row>
    <row r="12" spans="1:3" ht="47.25">
      <c r="A12" s="59" t="s">
        <v>3</v>
      </c>
      <c r="B12" s="59" t="s">
        <v>4</v>
      </c>
      <c r="C12" s="59" t="s">
        <v>5</v>
      </c>
    </row>
    <row r="13" spans="1:3" ht="15.75">
      <c r="A13" s="18">
        <v>1</v>
      </c>
      <c r="B13" s="19">
        <v>2</v>
      </c>
      <c r="C13" s="19">
        <v>3</v>
      </c>
    </row>
    <row r="14" spans="1:3" ht="15.75">
      <c r="A14" s="172"/>
      <c r="B14" s="21" t="s">
        <v>68</v>
      </c>
      <c r="C14" s="173"/>
    </row>
    <row r="15" spans="1:3" ht="15.75">
      <c r="A15" s="23">
        <v>1100</v>
      </c>
      <c r="B15" s="24" t="s">
        <v>59</v>
      </c>
      <c r="C15" s="25">
        <f>415.67+200*0.26</f>
        <v>467.67</v>
      </c>
    </row>
    <row r="16" spans="1:3" ht="15.75" customHeight="1">
      <c r="A16" s="23">
        <v>1200</v>
      </c>
      <c r="B16" s="26" t="s">
        <v>210</v>
      </c>
      <c r="C16" s="25">
        <f>100.13+200*0.06</f>
        <v>112.13</v>
      </c>
    </row>
    <row r="17" spans="1:3" ht="15.75">
      <c r="A17" s="23">
        <v>2222</v>
      </c>
      <c r="B17" s="26" t="s">
        <v>39</v>
      </c>
      <c r="C17" s="25">
        <v>2</v>
      </c>
    </row>
    <row r="18" spans="1:3" ht="15.75">
      <c r="A18" s="31">
        <v>2341</v>
      </c>
      <c r="B18" s="26" t="s">
        <v>23</v>
      </c>
      <c r="C18" s="25">
        <v>224.8</v>
      </c>
    </row>
    <row r="19" spans="1:3" ht="15.75">
      <c r="A19" s="23">
        <v>2223</v>
      </c>
      <c r="B19" s="26" t="s">
        <v>40</v>
      </c>
      <c r="C19" s="25">
        <v>9.4</v>
      </c>
    </row>
    <row r="20" spans="1:3" ht="15.75">
      <c r="A20" s="23">
        <v>2321</v>
      </c>
      <c r="B20" s="26" t="s">
        <v>21</v>
      </c>
      <c r="C20" s="25">
        <v>11.4</v>
      </c>
    </row>
    <row r="21" spans="1:3" ht="15.75">
      <c r="A21" s="23">
        <v>2243</v>
      </c>
      <c r="B21" s="26" t="s">
        <v>11</v>
      </c>
      <c r="C21" s="25">
        <v>9.35</v>
      </c>
    </row>
    <row r="22" spans="1:3" ht="15.75">
      <c r="A22" s="23">
        <v>5232</v>
      </c>
      <c r="B22" s="26" t="s">
        <v>33</v>
      </c>
      <c r="C22" s="25">
        <v>9.35</v>
      </c>
    </row>
    <row r="23" spans="1:3" ht="15.75">
      <c r="A23" s="23">
        <v>2312</v>
      </c>
      <c r="B23" s="26" t="s">
        <v>20</v>
      </c>
      <c r="C23" s="25">
        <v>8.6</v>
      </c>
    </row>
    <row r="24" spans="1:3" ht="15.75">
      <c r="A24" s="23">
        <v>2311</v>
      </c>
      <c r="B24" s="26" t="s">
        <v>19</v>
      </c>
      <c r="C24" s="25">
        <v>2</v>
      </c>
    </row>
    <row r="25" spans="1:3" ht="15.75">
      <c r="A25" s="22"/>
      <c r="B25" s="27" t="s">
        <v>67</v>
      </c>
      <c r="C25" s="28">
        <f>SUM(C15:C24)</f>
        <v>856.6999999999999</v>
      </c>
    </row>
    <row r="26" spans="1:3" ht="15.75">
      <c r="A26" s="29"/>
      <c r="B26" s="24" t="s">
        <v>61</v>
      </c>
      <c r="C26" s="28"/>
    </row>
    <row r="27" spans="1:3" ht="15.75">
      <c r="A27" s="23">
        <v>1100</v>
      </c>
      <c r="B27" s="24" t="s">
        <v>59</v>
      </c>
      <c r="C27" s="25">
        <v>133.66</v>
      </c>
    </row>
    <row r="28" spans="1:3" ht="15.75">
      <c r="A28" s="23">
        <v>1200</v>
      </c>
      <c r="B28" s="26" t="s">
        <v>60</v>
      </c>
      <c r="C28" s="25">
        <v>32.2</v>
      </c>
    </row>
    <row r="29" spans="1:3" ht="15.75">
      <c r="A29" s="31">
        <v>2210</v>
      </c>
      <c r="B29" s="26" t="s">
        <v>38</v>
      </c>
      <c r="C29" s="25">
        <v>2.07</v>
      </c>
    </row>
    <row r="30" spans="1:3" ht="15.75">
      <c r="A30" s="23">
        <v>2222</v>
      </c>
      <c r="B30" s="26" t="s">
        <v>39</v>
      </c>
      <c r="C30" s="25">
        <v>6.35</v>
      </c>
    </row>
    <row r="31" spans="1:3" ht="15.75">
      <c r="A31" s="23">
        <v>2223</v>
      </c>
      <c r="B31" s="26" t="s">
        <v>40</v>
      </c>
      <c r="C31" s="25">
        <v>11.25</v>
      </c>
    </row>
    <row r="32" spans="1:3" ht="15.75">
      <c r="A32" s="23">
        <v>2230</v>
      </c>
      <c r="B32" s="26" t="s">
        <v>41</v>
      </c>
      <c r="C32" s="25">
        <v>4.02</v>
      </c>
    </row>
    <row r="33" spans="1:3" ht="15.75">
      <c r="A33" s="23">
        <v>2241</v>
      </c>
      <c r="B33" s="26" t="s">
        <v>9</v>
      </c>
      <c r="C33" s="25">
        <v>4.59</v>
      </c>
    </row>
    <row r="34" spans="1:3" ht="15.75">
      <c r="A34" s="23">
        <v>2242</v>
      </c>
      <c r="B34" s="26" t="s">
        <v>10</v>
      </c>
      <c r="C34" s="25">
        <v>1.88</v>
      </c>
    </row>
    <row r="35" spans="1:3" ht="15.75">
      <c r="A35" s="23">
        <v>2243</v>
      </c>
      <c r="B35" s="26" t="s">
        <v>11</v>
      </c>
      <c r="C35" s="25">
        <v>7.68</v>
      </c>
    </row>
    <row r="36" spans="1:3" ht="15.75">
      <c r="A36" s="22">
        <v>2244</v>
      </c>
      <c r="B36" s="26" t="s">
        <v>12</v>
      </c>
      <c r="C36" s="25">
        <f>9.6+200*0.05</f>
        <v>19.6</v>
      </c>
    </row>
    <row r="37" spans="1:3" ht="15.75">
      <c r="A37" s="22">
        <v>2247</v>
      </c>
      <c r="B37" s="21" t="s">
        <v>62</v>
      </c>
      <c r="C37" s="25">
        <v>1.77</v>
      </c>
    </row>
    <row r="38" spans="1:3" ht="15.75">
      <c r="A38" s="22">
        <v>2249</v>
      </c>
      <c r="B38" s="26" t="s">
        <v>13</v>
      </c>
      <c r="C38" s="25">
        <v>5.57</v>
      </c>
    </row>
    <row r="39" spans="1:3" ht="15.75">
      <c r="A39" s="22">
        <v>2251</v>
      </c>
      <c r="B39" s="26" t="s">
        <v>63</v>
      </c>
      <c r="C39" s="25">
        <v>4.22</v>
      </c>
    </row>
    <row r="40" spans="1:3" ht="15.75" hidden="1">
      <c r="A40" s="22">
        <v>2252</v>
      </c>
      <c r="B40" s="26" t="s">
        <v>7</v>
      </c>
      <c r="C40" s="25"/>
    </row>
    <row r="41" spans="1:3" ht="15.75" hidden="1">
      <c r="A41" s="22">
        <v>2259</v>
      </c>
      <c r="B41" s="26" t="s">
        <v>8</v>
      </c>
      <c r="C41" s="25"/>
    </row>
    <row r="42" spans="1:3" ht="15.75">
      <c r="A42" s="22">
        <v>2261</v>
      </c>
      <c r="B42" s="26" t="s">
        <v>14</v>
      </c>
      <c r="C42" s="25">
        <v>1.92</v>
      </c>
    </row>
    <row r="43" spans="1:3" ht="15.75">
      <c r="A43" s="22">
        <v>2262</v>
      </c>
      <c r="B43" s="26" t="s">
        <v>15</v>
      </c>
      <c r="C43" s="25">
        <v>2.69</v>
      </c>
    </row>
    <row r="44" spans="1:3" ht="15.75">
      <c r="A44" s="22">
        <v>2263</v>
      </c>
      <c r="B44" s="26" t="s">
        <v>16</v>
      </c>
      <c r="C44" s="25">
        <v>6.14</v>
      </c>
    </row>
    <row r="45" spans="1:3" ht="15.75" hidden="1">
      <c r="A45" s="23">
        <v>2264</v>
      </c>
      <c r="B45" s="26" t="s">
        <v>17</v>
      </c>
      <c r="C45" s="25"/>
    </row>
    <row r="46" spans="1:3" ht="15.75">
      <c r="A46" s="23">
        <v>2279</v>
      </c>
      <c r="B46" s="26" t="s">
        <v>18</v>
      </c>
      <c r="C46" s="25">
        <v>10.6</v>
      </c>
    </row>
    <row r="47" spans="1:3" ht="15.75">
      <c r="A47" s="23">
        <v>2311</v>
      </c>
      <c r="B47" s="26" t="s">
        <v>19</v>
      </c>
      <c r="C47" s="25">
        <v>1.09</v>
      </c>
    </row>
    <row r="48" spans="1:3" ht="15.75">
      <c r="A48" s="23">
        <v>2312</v>
      </c>
      <c r="B48" s="26" t="s">
        <v>20</v>
      </c>
      <c r="C48" s="25">
        <v>1.18</v>
      </c>
    </row>
    <row r="49" spans="1:3" ht="15.75">
      <c r="A49" s="23">
        <v>2321</v>
      </c>
      <c r="B49" s="26" t="s">
        <v>21</v>
      </c>
      <c r="C49" s="25">
        <v>8.9</v>
      </c>
    </row>
    <row r="50" spans="1:3" ht="15.75">
      <c r="A50" s="23">
        <v>2322</v>
      </c>
      <c r="B50" s="26" t="s">
        <v>22</v>
      </c>
      <c r="C50" s="25">
        <v>4.35</v>
      </c>
    </row>
    <row r="51" spans="1:3" ht="15.75">
      <c r="A51" s="23">
        <v>2341</v>
      </c>
      <c r="B51" s="26" t="s">
        <v>23</v>
      </c>
      <c r="C51" s="25">
        <v>2.3</v>
      </c>
    </row>
    <row r="52" spans="1:3" ht="15.75" hidden="1">
      <c r="A52" s="23">
        <v>2344</v>
      </c>
      <c r="B52" s="26" t="s">
        <v>24</v>
      </c>
      <c r="C52" s="25"/>
    </row>
    <row r="53" spans="1:3" ht="15.75">
      <c r="A53" s="23">
        <v>2350</v>
      </c>
      <c r="B53" s="26" t="s">
        <v>25</v>
      </c>
      <c r="C53" s="25">
        <v>5.76</v>
      </c>
    </row>
    <row r="54" spans="1:3" ht="15.75">
      <c r="A54" s="23">
        <v>2361</v>
      </c>
      <c r="B54" s="26" t="s">
        <v>26</v>
      </c>
      <c r="C54" s="25">
        <v>4.8</v>
      </c>
    </row>
    <row r="55" spans="1:3" ht="15.75" hidden="1">
      <c r="A55" s="23">
        <v>2362</v>
      </c>
      <c r="B55" s="26" t="s">
        <v>27</v>
      </c>
      <c r="C55" s="25"/>
    </row>
    <row r="56" spans="1:3" ht="15.75" hidden="1">
      <c r="A56" s="23">
        <v>2363</v>
      </c>
      <c r="B56" s="26" t="s">
        <v>28</v>
      </c>
      <c r="C56" s="25"/>
    </row>
    <row r="57" spans="1:3" ht="15.75" hidden="1">
      <c r="A57" s="23">
        <v>2370</v>
      </c>
      <c r="B57" s="26" t="s">
        <v>29</v>
      </c>
      <c r="C57" s="25"/>
    </row>
    <row r="58" spans="1:3" ht="15.75">
      <c r="A58" s="23">
        <v>2400</v>
      </c>
      <c r="B58" s="26" t="s">
        <v>43</v>
      </c>
      <c r="C58" s="25">
        <v>0.81</v>
      </c>
    </row>
    <row r="59" spans="1:3" ht="15.75" hidden="1">
      <c r="A59" s="23">
        <v>2512</v>
      </c>
      <c r="B59" s="26" t="s">
        <v>30</v>
      </c>
      <c r="C59" s="25"/>
    </row>
    <row r="60" spans="1:3" ht="15.75">
      <c r="A60" s="23">
        <v>2513</v>
      </c>
      <c r="B60" s="26" t="s">
        <v>31</v>
      </c>
      <c r="C60" s="25">
        <v>5.76</v>
      </c>
    </row>
    <row r="61" spans="1:3" ht="15.75">
      <c r="A61" s="23">
        <v>2515</v>
      </c>
      <c r="B61" s="26" t="s">
        <v>64</v>
      </c>
      <c r="C61" s="25">
        <v>1.15</v>
      </c>
    </row>
    <row r="62" spans="1:3" ht="15.75">
      <c r="A62" s="23">
        <v>2519</v>
      </c>
      <c r="B62" s="26" t="s">
        <v>34</v>
      </c>
      <c r="C62" s="25">
        <v>2.13</v>
      </c>
    </row>
    <row r="63" spans="1:3" ht="15.75" hidden="1">
      <c r="A63" s="23">
        <v>6240</v>
      </c>
      <c r="B63" s="26"/>
      <c r="C63" s="25"/>
    </row>
    <row r="64" spans="1:3" ht="15.75" hidden="1">
      <c r="A64" s="23">
        <v>6290</v>
      </c>
      <c r="B64" s="26"/>
      <c r="C64" s="25"/>
    </row>
    <row r="65" spans="1:3" ht="15.75">
      <c r="A65" s="23">
        <v>5121</v>
      </c>
      <c r="B65" s="26" t="s">
        <v>32</v>
      </c>
      <c r="C65" s="25">
        <v>0.35</v>
      </c>
    </row>
    <row r="66" spans="1:3" ht="15.75">
      <c r="A66" s="23">
        <v>5232</v>
      </c>
      <c r="B66" s="26" t="s">
        <v>33</v>
      </c>
      <c r="C66" s="25">
        <v>0.82</v>
      </c>
    </row>
    <row r="67" spans="1:3" ht="15.75">
      <c r="A67" s="23">
        <v>5238</v>
      </c>
      <c r="B67" s="26" t="s">
        <v>35</v>
      </c>
      <c r="C67" s="25">
        <v>0.49</v>
      </c>
    </row>
    <row r="68" spans="1:3" ht="15.75" hidden="1">
      <c r="A68" s="23">
        <v>5240</v>
      </c>
      <c r="B68" s="26" t="s">
        <v>36</v>
      </c>
      <c r="C68" s="25">
        <v>0</v>
      </c>
    </row>
    <row r="69" spans="1:3" ht="15.75">
      <c r="A69" s="22">
        <v>5250</v>
      </c>
      <c r="B69" s="26" t="s">
        <v>37</v>
      </c>
      <c r="C69" s="25">
        <v>1.2</v>
      </c>
    </row>
    <row r="70" spans="1:3" ht="15.75">
      <c r="A70" s="33"/>
      <c r="B70" s="34" t="s">
        <v>65</v>
      </c>
      <c r="C70" s="28">
        <f>SUM(C27:C69)</f>
        <v>297.29999999999995</v>
      </c>
    </row>
    <row r="71" spans="1:3" ht="15.75">
      <c r="A71" s="33"/>
      <c r="B71" s="34" t="s">
        <v>66</v>
      </c>
      <c r="C71" s="28">
        <f>C25+C70</f>
        <v>1154</v>
      </c>
    </row>
    <row r="72" spans="1:3" ht="15.75">
      <c r="A72" s="9"/>
      <c r="B72" s="14"/>
      <c r="C72" s="62"/>
    </row>
    <row r="73" spans="1:3" ht="15.75">
      <c r="A73" s="212" t="s">
        <v>45</v>
      </c>
      <c r="B73" s="213"/>
      <c r="C73" s="17">
        <v>200</v>
      </c>
    </row>
    <row r="74" spans="1:3" ht="15.75">
      <c r="A74" s="212" t="s">
        <v>54</v>
      </c>
      <c r="B74" s="213"/>
      <c r="C74" s="164">
        <f>ROUND(C71/C73,2)</f>
        <v>5.77</v>
      </c>
    </row>
    <row r="75" spans="1:3" ht="15.75">
      <c r="A75" s="86"/>
      <c r="B75" s="87"/>
      <c r="C75" s="171"/>
    </row>
    <row r="76" spans="1:3" ht="15.75">
      <c r="A76" s="214" t="s">
        <v>46</v>
      </c>
      <c r="B76" s="215"/>
      <c r="C76" s="44"/>
    </row>
    <row r="77" spans="1:3" ht="15.75">
      <c r="A77" s="214" t="s">
        <v>56</v>
      </c>
      <c r="B77" s="215"/>
      <c r="C77" s="44"/>
    </row>
    <row r="78" spans="1:3" ht="15.75">
      <c r="A78" s="38" t="s">
        <v>47</v>
      </c>
      <c r="B78" s="38"/>
      <c r="C78" s="38"/>
    </row>
    <row r="79" spans="1:3" ht="15.75">
      <c r="A79" s="38"/>
      <c r="B79" s="38"/>
      <c r="C79" s="38"/>
    </row>
    <row r="80" spans="1:3" ht="15.75">
      <c r="A80" s="38"/>
      <c r="B80" s="39"/>
      <c r="C80" s="38"/>
    </row>
    <row r="81" spans="1:3" ht="15.75">
      <c r="A81" s="38"/>
      <c r="B81" s="101"/>
      <c r="C81" s="38"/>
    </row>
    <row r="82" spans="1:3" ht="15">
      <c r="A82" s="4"/>
      <c r="B82" s="61"/>
      <c r="C82" s="6"/>
    </row>
  </sheetData>
  <sheetProtection/>
  <mergeCells count="7">
    <mergeCell ref="A74:B74"/>
    <mergeCell ref="A76:B76"/>
    <mergeCell ref="A77:B77"/>
    <mergeCell ref="A3:C3"/>
    <mergeCell ref="A4:B4"/>
    <mergeCell ref="A5:B5"/>
    <mergeCell ref="A73:B73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workbookViewId="0" topLeftCell="A1">
      <selection activeCell="B4" sqref="B4"/>
    </sheetView>
  </sheetViews>
  <sheetFormatPr defaultColWidth="9.140625" defaultRowHeight="12.75"/>
  <cols>
    <col min="1" max="1" width="10.140625" style="1" customWidth="1"/>
    <col min="2" max="2" width="97.140625" style="1" customWidth="1"/>
    <col min="3" max="3" width="31.57421875" style="4" customWidth="1"/>
  </cols>
  <sheetData>
    <row r="1" spans="1:3" ht="18.75">
      <c r="A1" s="193" t="s">
        <v>6</v>
      </c>
      <c r="B1" s="193"/>
      <c r="C1" s="193"/>
    </row>
    <row r="2" spans="1:3" ht="15.75">
      <c r="A2" s="195" t="s">
        <v>1</v>
      </c>
      <c r="B2" s="195"/>
      <c r="C2" s="14"/>
    </row>
    <row r="3" spans="1:3" ht="15.75">
      <c r="A3" s="195" t="s">
        <v>0</v>
      </c>
      <c r="B3" s="195"/>
      <c r="C3" s="14"/>
    </row>
    <row r="4" spans="1:3" ht="15.75">
      <c r="A4" s="8"/>
      <c r="B4" s="8" t="s">
        <v>44</v>
      </c>
      <c r="C4" s="14"/>
    </row>
    <row r="5" spans="1:3" ht="15.75">
      <c r="A5" s="8"/>
      <c r="B5" s="8" t="s">
        <v>112</v>
      </c>
      <c r="C5" s="14"/>
    </row>
    <row r="6" spans="1:3" ht="15.75">
      <c r="A6" s="8"/>
      <c r="B6" s="8" t="s">
        <v>208</v>
      </c>
      <c r="C6" s="14"/>
    </row>
    <row r="7" spans="1:3" ht="15.75">
      <c r="A7" s="8"/>
      <c r="B7" s="195" t="s">
        <v>226</v>
      </c>
      <c r="C7" s="210"/>
    </row>
    <row r="8" spans="1:3" ht="15.75">
      <c r="A8" s="8" t="s">
        <v>2</v>
      </c>
      <c r="B8" s="8" t="s">
        <v>205</v>
      </c>
      <c r="C8" s="14"/>
    </row>
    <row r="9" spans="1:3" ht="1.5" customHeight="1">
      <c r="A9" s="15"/>
      <c r="B9" s="16"/>
      <c r="C9" s="14"/>
    </row>
    <row r="10" spans="1:3" ht="47.25">
      <c r="A10" s="59" t="s">
        <v>3</v>
      </c>
      <c r="B10" s="59" t="s">
        <v>4</v>
      </c>
      <c r="C10" s="59" t="s">
        <v>5</v>
      </c>
    </row>
    <row r="11" spans="1:3" ht="15.75">
      <c r="A11" s="18">
        <v>1</v>
      </c>
      <c r="B11" s="19">
        <v>2</v>
      </c>
      <c r="C11" s="19">
        <v>3</v>
      </c>
    </row>
    <row r="12" spans="1:3" ht="15.75">
      <c r="A12" s="172"/>
      <c r="B12" s="21" t="s">
        <v>68</v>
      </c>
      <c r="C12" s="173"/>
    </row>
    <row r="13" spans="1:3" ht="15.75">
      <c r="A13" s="23">
        <v>1100</v>
      </c>
      <c r="B13" s="24" t="s">
        <v>59</v>
      </c>
      <c r="C13" s="25">
        <v>75.2</v>
      </c>
    </row>
    <row r="14" spans="1:3" ht="15.75" customHeight="1">
      <c r="A14" s="23">
        <v>1200</v>
      </c>
      <c r="B14" s="26" t="s">
        <v>210</v>
      </c>
      <c r="C14" s="25">
        <v>18.12</v>
      </c>
    </row>
    <row r="15" spans="1:3" ht="15.75">
      <c r="A15" s="23">
        <v>2222</v>
      </c>
      <c r="B15" s="26" t="s">
        <v>39</v>
      </c>
      <c r="C15" s="25">
        <v>0.3</v>
      </c>
    </row>
    <row r="16" spans="1:3" ht="15.75">
      <c r="A16" s="22">
        <v>2244</v>
      </c>
      <c r="B16" s="26" t="s">
        <v>12</v>
      </c>
      <c r="C16" s="174">
        <v>4.8</v>
      </c>
    </row>
    <row r="17" spans="1:3" ht="15.75">
      <c r="A17" s="31">
        <v>2341</v>
      </c>
      <c r="B17" s="26" t="s">
        <v>23</v>
      </c>
      <c r="C17" s="25">
        <v>7.46</v>
      </c>
    </row>
    <row r="18" spans="1:3" ht="15.75">
      <c r="A18" s="23">
        <v>2223</v>
      </c>
      <c r="B18" s="26" t="s">
        <v>40</v>
      </c>
      <c r="C18" s="25">
        <v>5.02</v>
      </c>
    </row>
    <row r="19" spans="1:3" ht="15.75">
      <c r="A19" s="23">
        <v>2321</v>
      </c>
      <c r="B19" s="26" t="s">
        <v>21</v>
      </c>
      <c r="C19" s="25">
        <v>2.88</v>
      </c>
    </row>
    <row r="20" spans="1:3" ht="15.75">
      <c r="A20" s="23">
        <v>2243</v>
      </c>
      <c r="B20" s="26" t="s">
        <v>11</v>
      </c>
      <c r="C20" s="25">
        <v>0.3</v>
      </c>
    </row>
    <row r="21" spans="1:3" ht="15.75">
      <c r="A21" s="23">
        <v>5232</v>
      </c>
      <c r="B21" s="26" t="s">
        <v>33</v>
      </c>
      <c r="C21" s="25">
        <v>62.27</v>
      </c>
    </row>
    <row r="22" spans="1:3" ht="15.75">
      <c r="A22" s="23">
        <v>2312</v>
      </c>
      <c r="B22" s="26" t="s">
        <v>20</v>
      </c>
      <c r="C22" s="25">
        <v>4.31</v>
      </c>
    </row>
    <row r="23" spans="1:3" ht="15.75">
      <c r="A23" s="23">
        <v>2311</v>
      </c>
      <c r="B23" s="26" t="s">
        <v>19</v>
      </c>
      <c r="C23" s="25">
        <v>0.3</v>
      </c>
    </row>
    <row r="24" spans="1:3" ht="15.75">
      <c r="A24" s="22"/>
      <c r="B24" s="27" t="s">
        <v>67</v>
      </c>
      <c r="C24" s="28">
        <f>SUM(C13:C23)</f>
        <v>180.96</v>
      </c>
    </row>
    <row r="25" spans="1:3" ht="15.75">
      <c r="A25" s="29"/>
      <c r="B25" s="24" t="s">
        <v>61</v>
      </c>
      <c r="C25" s="28"/>
    </row>
    <row r="26" spans="1:3" ht="15.75">
      <c r="A26" s="23">
        <v>1100</v>
      </c>
      <c r="B26" s="24" t="s">
        <v>59</v>
      </c>
      <c r="C26" s="25">
        <v>30.28</v>
      </c>
    </row>
    <row r="27" spans="1:3" ht="15.75">
      <c r="A27" s="23">
        <v>1200</v>
      </c>
      <c r="B27" s="26" t="s">
        <v>60</v>
      </c>
      <c r="C27" s="25">
        <v>7.29</v>
      </c>
    </row>
    <row r="28" spans="1:3" ht="15.75">
      <c r="A28" s="31">
        <v>2210</v>
      </c>
      <c r="B28" s="26" t="s">
        <v>38</v>
      </c>
      <c r="C28" s="25">
        <v>0.43</v>
      </c>
    </row>
    <row r="29" spans="1:3" ht="15.75">
      <c r="A29" s="23">
        <v>2222</v>
      </c>
      <c r="B29" s="26" t="s">
        <v>39</v>
      </c>
      <c r="C29" s="25">
        <v>1.33</v>
      </c>
    </row>
    <row r="30" spans="1:3" ht="15.75">
      <c r="A30" s="23">
        <v>2223</v>
      </c>
      <c r="B30" s="26" t="s">
        <v>40</v>
      </c>
      <c r="C30" s="25">
        <v>2.36</v>
      </c>
    </row>
    <row r="31" spans="1:3" ht="15.75">
      <c r="A31" s="23">
        <v>2230</v>
      </c>
      <c r="B31" s="26" t="s">
        <v>41</v>
      </c>
      <c r="C31" s="25">
        <v>0.84</v>
      </c>
    </row>
    <row r="32" spans="1:3" ht="15.75">
      <c r="A32" s="23">
        <v>2241</v>
      </c>
      <c r="B32" s="26" t="s">
        <v>9</v>
      </c>
      <c r="C32" s="25">
        <v>0.96</v>
      </c>
    </row>
    <row r="33" spans="1:3" ht="15.75">
      <c r="A33" s="23">
        <v>2242</v>
      </c>
      <c r="B33" s="26" t="s">
        <v>10</v>
      </c>
      <c r="C33" s="25">
        <v>0.39</v>
      </c>
    </row>
    <row r="34" spans="1:3" ht="15.75">
      <c r="A34" s="23">
        <v>2243</v>
      </c>
      <c r="B34" s="26" t="s">
        <v>11</v>
      </c>
      <c r="C34" s="25">
        <v>1.61</v>
      </c>
    </row>
    <row r="35" spans="1:3" ht="15.75" hidden="1">
      <c r="A35" s="22">
        <v>2244</v>
      </c>
      <c r="B35" s="26" t="s">
        <v>12</v>
      </c>
      <c r="C35" s="174"/>
    </row>
    <row r="36" spans="1:3" ht="15.75">
      <c r="A36" s="22">
        <v>2247</v>
      </c>
      <c r="B36" s="21" t="s">
        <v>62</v>
      </c>
      <c r="C36" s="25">
        <v>0.37</v>
      </c>
    </row>
    <row r="37" spans="1:3" ht="15.75">
      <c r="A37" s="22">
        <v>2249</v>
      </c>
      <c r="B37" s="26" t="s">
        <v>13</v>
      </c>
      <c r="C37" s="25">
        <v>1.17</v>
      </c>
    </row>
    <row r="38" spans="1:3" ht="15.75">
      <c r="A38" s="22">
        <v>2251</v>
      </c>
      <c r="B38" s="26" t="s">
        <v>63</v>
      </c>
      <c r="C38" s="25">
        <v>0.89</v>
      </c>
    </row>
    <row r="39" spans="1:3" ht="15.75" hidden="1">
      <c r="A39" s="22">
        <v>2252</v>
      </c>
      <c r="B39" s="26" t="s">
        <v>7</v>
      </c>
      <c r="C39" s="25"/>
    </row>
    <row r="40" spans="1:3" ht="15.75" hidden="1">
      <c r="A40" s="22">
        <v>2259</v>
      </c>
      <c r="B40" s="26" t="s">
        <v>8</v>
      </c>
      <c r="C40" s="25"/>
    </row>
    <row r="41" spans="1:3" ht="15.75">
      <c r="A41" s="22">
        <v>2261</v>
      </c>
      <c r="B41" s="26" t="s">
        <v>14</v>
      </c>
      <c r="C41" s="25">
        <v>0.4</v>
      </c>
    </row>
    <row r="42" spans="1:3" ht="15.75">
      <c r="A42" s="22">
        <v>2262</v>
      </c>
      <c r="B42" s="26" t="s">
        <v>15</v>
      </c>
      <c r="C42" s="25">
        <v>0.56</v>
      </c>
    </row>
    <row r="43" spans="1:3" ht="15.75">
      <c r="A43" s="22">
        <v>2263</v>
      </c>
      <c r="B43" s="26" t="s">
        <v>16</v>
      </c>
      <c r="C43" s="25">
        <v>2.81</v>
      </c>
    </row>
    <row r="44" spans="1:3" ht="15.75" hidden="1">
      <c r="A44" s="23">
        <v>2264</v>
      </c>
      <c r="B44" s="26" t="s">
        <v>17</v>
      </c>
      <c r="C44" s="25"/>
    </row>
    <row r="45" spans="1:3" ht="15.75">
      <c r="A45" s="23">
        <v>2279</v>
      </c>
      <c r="B45" s="26" t="s">
        <v>18</v>
      </c>
      <c r="C45" s="25">
        <v>2.23</v>
      </c>
    </row>
    <row r="46" spans="1:3" ht="15.75">
      <c r="A46" s="23">
        <v>2311</v>
      </c>
      <c r="B46" s="26" t="s">
        <v>19</v>
      </c>
      <c r="C46" s="25">
        <v>0.23</v>
      </c>
    </row>
    <row r="47" spans="1:3" ht="15.75">
      <c r="A47" s="23">
        <v>2312</v>
      </c>
      <c r="B47" s="26" t="s">
        <v>20</v>
      </c>
      <c r="C47" s="25">
        <v>0.25</v>
      </c>
    </row>
    <row r="48" spans="1:3" ht="15.75">
      <c r="A48" s="23">
        <v>2321</v>
      </c>
      <c r="B48" s="26" t="s">
        <v>21</v>
      </c>
      <c r="C48" s="25">
        <v>1.87</v>
      </c>
    </row>
    <row r="49" spans="1:3" ht="15.75">
      <c r="A49" s="23">
        <v>2322</v>
      </c>
      <c r="B49" s="26" t="s">
        <v>22</v>
      </c>
      <c r="C49" s="25">
        <v>0.91</v>
      </c>
    </row>
    <row r="50" spans="1:3" ht="15.75">
      <c r="A50" s="23">
        <v>2341</v>
      </c>
      <c r="B50" s="26" t="s">
        <v>23</v>
      </c>
      <c r="C50" s="25">
        <v>0.48</v>
      </c>
    </row>
    <row r="51" spans="1:3" ht="15.75" hidden="1">
      <c r="A51" s="23">
        <v>2344</v>
      </c>
      <c r="B51" s="26" t="s">
        <v>24</v>
      </c>
      <c r="C51" s="25"/>
    </row>
    <row r="52" spans="1:3" ht="15.75">
      <c r="A52" s="23">
        <v>2350</v>
      </c>
      <c r="B52" s="26" t="s">
        <v>25</v>
      </c>
      <c r="C52" s="25">
        <v>1.21</v>
      </c>
    </row>
    <row r="53" spans="1:3" ht="15.75">
      <c r="A53" s="23">
        <v>2361</v>
      </c>
      <c r="B53" s="26" t="s">
        <v>26</v>
      </c>
      <c r="C53" s="25">
        <v>1.01</v>
      </c>
    </row>
    <row r="54" spans="1:3" ht="15.75" hidden="1">
      <c r="A54" s="23">
        <v>2362</v>
      </c>
      <c r="B54" s="26" t="s">
        <v>27</v>
      </c>
      <c r="C54" s="25"/>
    </row>
    <row r="55" spans="1:3" ht="15.75" hidden="1">
      <c r="A55" s="23">
        <v>2363</v>
      </c>
      <c r="B55" s="26" t="s">
        <v>28</v>
      </c>
      <c r="C55" s="25"/>
    </row>
    <row r="56" spans="1:3" ht="15.75" hidden="1">
      <c r="A56" s="23">
        <v>2370</v>
      </c>
      <c r="B56" s="26" t="s">
        <v>29</v>
      </c>
      <c r="C56" s="25"/>
    </row>
    <row r="57" spans="1:3" ht="15.75">
      <c r="A57" s="23">
        <v>2400</v>
      </c>
      <c r="B57" s="26" t="s">
        <v>43</v>
      </c>
      <c r="C57" s="25">
        <v>0.17</v>
      </c>
    </row>
    <row r="58" spans="1:3" ht="15.75" hidden="1">
      <c r="A58" s="23">
        <v>2512</v>
      </c>
      <c r="B58" s="26" t="s">
        <v>30</v>
      </c>
      <c r="C58" s="25"/>
    </row>
    <row r="59" spans="1:3" ht="15.75">
      <c r="A59" s="23">
        <v>2513</v>
      </c>
      <c r="B59" s="26" t="s">
        <v>31</v>
      </c>
      <c r="C59" s="25">
        <v>1.21</v>
      </c>
    </row>
    <row r="60" spans="1:3" ht="15.75">
      <c r="A60" s="23">
        <v>2515</v>
      </c>
      <c r="B60" s="26" t="s">
        <v>64</v>
      </c>
      <c r="C60" s="25">
        <v>0.5</v>
      </c>
    </row>
    <row r="61" spans="1:3" ht="15.75">
      <c r="A61" s="23">
        <v>2519</v>
      </c>
      <c r="B61" s="26" t="s">
        <v>34</v>
      </c>
      <c r="C61" s="25">
        <v>0.65</v>
      </c>
    </row>
    <row r="62" spans="1:3" ht="15.75" hidden="1">
      <c r="A62" s="23">
        <v>6240</v>
      </c>
      <c r="B62" s="26"/>
      <c r="C62" s="25"/>
    </row>
    <row r="63" spans="1:3" ht="15.75" hidden="1">
      <c r="A63" s="23">
        <v>6290</v>
      </c>
      <c r="B63" s="26"/>
      <c r="C63" s="25"/>
    </row>
    <row r="64" spans="1:3" ht="15.75">
      <c r="A64" s="23">
        <v>5121</v>
      </c>
      <c r="B64" s="26" t="s">
        <v>32</v>
      </c>
      <c r="C64" s="25">
        <v>0.95</v>
      </c>
    </row>
    <row r="65" spans="1:3" ht="15.75">
      <c r="A65" s="23">
        <v>5232</v>
      </c>
      <c r="B65" s="26" t="s">
        <v>33</v>
      </c>
      <c r="C65" s="25">
        <v>1.53</v>
      </c>
    </row>
    <row r="66" spans="1:3" ht="15.75">
      <c r="A66" s="23">
        <v>5238</v>
      </c>
      <c r="B66" s="26" t="s">
        <v>35</v>
      </c>
      <c r="C66" s="25">
        <v>0.2</v>
      </c>
    </row>
    <row r="67" spans="1:3" ht="15.75">
      <c r="A67" s="23">
        <v>5240</v>
      </c>
      <c r="B67" s="26" t="s">
        <v>36</v>
      </c>
      <c r="C67" s="25">
        <v>0</v>
      </c>
    </row>
    <row r="68" spans="1:3" ht="15.75">
      <c r="A68" s="22">
        <v>5250</v>
      </c>
      <c r="B68" s="26" t="s">
        <v>37</v>
      </c>
      <c r="C68" s="25">
        <v>0.25</v>
      </c>
    </row>
    <row r="69" spans="1:3" ht="15.75">
      <c r="A69" s="33"/>
      <c r="B69" s="34" t="s">
        <v>65</v>
      </c>
      <c r="C69" s="28">
        <f>SUM(C26:C68)</f>
        <v>65.33999999999999</v>
      </c>
    </row>
    <row r="70" spans="1:3" ht="15.75">
      <c r="A70" s="33"/>
      <c r="B70" s="34" t="s">
        <v>66</v>
      </c>
      <c r="C70" s="28">
        <f>C24+C69</f>
        <v>246.3</v>
      </c>
    </row>
    <row r="71" spans="1:3" ht="15.75">
      <c r="A71" s="9"/>
      <c r="B71" s="14"/>
      <c r="C71" s="62"/>
    </row>
    <row r="72" spans="1:3" ht="15.75">
      <c r="A72" s="212" t="s">
        <v>45</v>
      </c>
      <c r="B72" s="213"/>
      <c r="C72" s="17">
        <v>30</v>
      </c>
    </row>
    <row r="73" spans="1:3" ht="15.75">
      <c r="A73" s="212" t="s">
        <v>54</v>
      </c>
      <c r="B73" s="213"/>
      <c r="C73" s="164">
        <f>ROUND(C70/C72,2)</f>
        <v>8.21</v>
      </c>
    </row>
    <row r="74" spans="1:3" ht="15.75">
      <c r="A74" s="86"/>
      <c r="B74" s="87"/>
      <c r="C74" s="171"/>
    </row>
    <row r="75" spans="1:3" ht="15.75">
      <c r="A75" s="214" t="s">
        <v>46</v>
      </c>
      <c r="B75" s="215"/>
      <c r="C75" s="44"/>
    </row>
    <row r="76" spans="1:3" ht="15.75">
      <c r="A76" s="214" t="s">
        <v>56</v>
      </c>
      <c r="B76" s="215"/>
      <c r="C76" s="44"/>
    </row>
    <row r="77" spans="1:3" ht="15.75">
      <c r="A77" s="38" t="s">
        <v>47</v>
      </c>
      <c r="B77" s="38"/>
      <c r="C77" s="38"/>
    </row>
    <row r="78" spans="1:3" ht="15.75">
      <c r="A78" s="38"/>
      <c r="B78" s="38"/>
      <c r="C78" s="38"/>
    </row>
    <row r="79" spans="1:3" ht="15.75">
      <c r="A79" s="38"/>
      <c r="B79" s="39"/>
      <c r="C79" s="38"/>
    </row>
    <row r="80" spans="1:3" ht="15.75">
      <c r="A80" s="38"/>
      <c r="B80" s="101"/>
      <c r="C80" s="38"/>
    </row>
    <row r="81" spans="1:3" ht="15">
      <c r="A81" s="4"/>
      <c r="B81" s="61"/>
      <c r="C81" s="6"/>
    </row>
  </sheetData>
  <sheetProtection/>
  <mergeCells count="8">
    <mergeCell ref="A73:B73"/>
    <mergeCell ref="A75:B75"/>
    <mergeCell ref="A76:B76"/>
    <mergeCell ref="B7:C7"/>
    <mergeCell ref="A1:C1"/>
    <mergeCell ref="A2:B2"/>
    <mergeCell ref="A3:B3"/>
    <mergeCell ref="A72:B7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view="pageLayout" workbookViewId="0" topLeftCell="A1">
      <selection activeCell="B56" sqref="B56:K56"/>
    </sheetView>
  </sheetViews>
  <sheetFormatPr defaultColWidth="9.140625" defaultRowHeight="12.75"/>
  <cols>
    <col min="1" max="6" width="9.140625" style="92" customWidth="1"/>
    <col min="7" max="7" width="1.1484375" style="92" customWidth="1"/>
    <col min="8" max="8" width="9.140625" style="92" customWidth="1"/>
    <col min="9" max="9" width="3.00390625" style="92" customWidth="1"/>
    <col min="10" max="11" width="9.140625" style="92" customWidth="1"/>
  </cols>
  <sheetData>
    <row r="1" spans="1:12" ht="14.25">
      <c r="A1" s="165"/>
      <c r="B1" s="166"/>
      <c r="C1" s="166"/>
      <c r="D1" s="166"/>
      <c r="E1" s="166"/>
      <c r="F1" s="166"/>
      <c r="G1" s="167"/>
      <c r="H1" s="201" t="s">
        <v>197</v>
      </c>
      <c r="I1" s="201"/>
      <c r="J1" s="201"/>
      <c r="K1" s="201"/>
      <c r="L1" s="1"/>
    </row>
    <row r="2" spans="1:12" ht="14.25">
      <c r="A2" s="165"/>
      <c r="B2" s="166"/>
      <c r="C2" s="166"/>
      <c r="D2" s="166"/>
      <c r="E2" s="201" t="s">
        <v>51</v>
      </c>
      <c r="F2" s="201"/>
      <c r="G2" s="201"/>
      <c r="H2" s="201"/>
      <c r="I2" s="201"/>
      <c r="J2" s="201"/>
      <c r="K2" s="201"/>
      <c r="L2" s="1"/>
    </row>
    <row r="3" spans="1:12" ht="14.25">
      <c r="A3" s="165"/>
      <c r="B3" s="166"/>
      <c r="C3" s="166"/>
      <c r="D3" s="201" t="s">
        <v>52</v>
      </c>
      <c r="E3" s="201"/>
      <c r="F3" s="201"/>
      <c r="G3" s="201"/>
      <c r="H3" s="201"/>
      <c r="I3" s="201"/>
      <c r="J3" s="201"/>
      <c r="K3" s="201"/>
      <c r="L3" s="1"/>
    </row>
    <row r="4" spans="1:12" ht="14.25">
      <c r="A4" s="165"/>
      <c r="B4" s="166"/>
      <c r="C4" s="201" t="s">
        <v>53</v>
      </c>
      <c r="D4" s="201"/>
      <c r="E4" s="201"/>
      <c r="F4" s="201"/>
      <c r="G4" s="201"/>
      <c r="H4" s="201"/>
      <c r="I4" s="201"/>
      <c r="J4" s="201"/>
      <c r="K4" s="201"/>
      <c r="L4" s="1"/>
    </row>
    <row r="5" spans="1:12" ht="14.25">
      <c r="A5" s="169"/>
      <c r="B5" s="170"/>
      <c r="C5" s="170"/>
      <c r="D5" s="201" t="s">
        <v>48</v>
      </c>
      <c r="E5" s="201"/>
      <c r="F5" s="201"/>
      <c r="G5" s="201"/>
      <c r="H5" s="201"/>
      <c r="I5" s="201"/>
      <c r="J5" s="201"/>
      <c r="K5" s="201"/>
      <c r="L5" s="1"/>
    </row>
    <row r="6" spans="1:12" ht="14.25">
      <c r="A6" s="169"/>
      <c r="B6" s="170"/>
      <c r="C6" s="170"/>
      <c r="D6" s="168"/>
      <c r="E6" s="168"/>
      <c r="F6" s="168"/>
      <c r="G6" s="168"/>
      <c r="H6" s="168"/>
      <c r="I6" s="168"/>
      <c r="J6" s="168"/>
      <c r="K6" s="168"/>
      <c r="L6" s="1"/>
    </row>
    <row r="7" spans="1:12" ht="14.25">
      <c r="A7" s="202" t="s">
        <v>49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1"/>
    </row>
    <row r="8" spans="1:12" ht="14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"/>
    </row>
    <row r="9" spans="1:12" ht="13.5">
      <c r="A9" s="186">
        <v>5</v>
      </c>
      <c r="B9" s="187" t="s">
        <v>124</v>
      </c>
      <c r="C9" s="187"/>
      <c r="D9" s="187"/>
      <c r="E9" s="187"/>
      <c r="F9" s="187"/>
      <c r="G9" s="187"/>
      <c r="H9" s="187"/>
      <c r="I9" s="187"/>
      <c r="J9" s="187"/>
      <c r="K9" s="187"/>
      <c r="L9" s="188"/>
    </row>
    <row r="10" spans="1:12" ht="13.5">
      <c r="A10" s="186" t="s">
        <v>126</v>
      </c>
      <c r="B10" s="197" t="s">
        <v>127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88"/>
    </row>
    <row r="11" spans="1:12" ht="13.5">
      <c r="A11" s="186" t="s">
        <v>128</v>
      </c>
      <c r="B11" s="197" t="s">
        <v>129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88"/>
    </row>
    <row r="12" spans="1:12" ht="13.5" customHeight="1">
      <c r="A12" s="186" t="s">
        <v>130</v>
      </c>
      <c r="B12" s="197" t="s">
        <v>131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88"/>
    </row>
    <row r="13" spans="1:12" ht="12.75" customHeight="1">
      <c r="A13" s="186" t="s">
        <v>132</v>
      </c>
      <c r="B13" s="197" t="s">
        <v>133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88"/>
    </row>
    <row r="14" spans="1:12" ht="13.5">
      <c r="A14" s="186" t="s">
        <v>134</v>
      </c>
      <c r="B14" s="197" t="s">
        <v>135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88"/>
    </row>
    <row r="15" spans="1:12" ht="12.75" customHeight="1">
      <c r="A15" s="186" t="s">
        <v>230</v>
      </c>
      <c r="B15" s="197" t="s">
        <v>232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88"/>
    </row>
    <row r="16" spans="1:12" ht="13.5" customHeight="1">
      <c r="A16" s="186" t="s">
        <v>136</v>
      </c>
      <c r="B16" s="197" t="s">
        <v>137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88"/>
    </row>
    <row r="17" spans="1:12" ht="13.5">
      <c r="A17" s="186" t="s">
        <v>138</v>
      </c>
      <c r="B17" s="197" t="s">
        <v>139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88"/>
    </row>
    <row r="18" spans="1:12" ht="13.5">
      <c r="A18" s="186" t="s">
        <v>140</v>
      </c>
      <c r="B18" s="197" t="s">
        <v>141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88"/>
    </row>
    <row r="19" spans="1:12" ht="13.5">
      <c r="A19" s="186" t="s">
        <v>142</v>
      </c>
      <c r="B19" s="197" t="s">
        <v>143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88"/>
    </row>
    <row r="20" spans="1:12" ht="13.5">
      <c r="A20" s="186" t="s">
        <v>144</v>
      </c>
      <c r="B20" s="197" t="s">
        <v>145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88"/>
    </row>
    <row r="21" spans="1:12" ht="13.5">
      <c r="A21" s="186" t="s">
        <v>146</v>
      </c>
      <c r="B21" s="197" t="s">
        <v>228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88"/>
    </row>
    <row r="22" spans="1:12" ht="13.5">
      <c r="A22" s="186" t="s">
        <v>147</v>
      </c>
      <c r="B22" s="197" t="s">
        <v>148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88"/>
    </row>
    <row r="23" spans="1:12" ht="13.5">
      <c r="A23" s="186" t="s">
        <v>149</v>
      </c>
      <c r="B23" s="197" t="s">
        <v>150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88"/>
    </row>
    <row r="24" spans="1:12" ht="13.5">
      <c r="A24" s="189" t="s">
        <v>211</v>
      </c>
      <c r="B24" s="203" t="s">
        <v>212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2" ht="13.5">
      <c r="A25" s="189" t="s">
        <v>213</v>
      </c>
      <c r="B25" s="203" t="s">
        <v>214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 s="175" customFormat="1" ht="13.5">
      <c r="A26" s="186" t="s">
        <v>233</v>
      </c>
      <c r="B26" s="203" t="s">
        <v>237</v>
      </c>
      <c r="C26" s="203"/>
      <c r="D26" s="204"/>
      <c r="E26" s="204"/>
      <c r="F26" s="204"/>
      <c r="G26" s="204"/>
      <c r="H26" s="204"/>
      <c r="I26" s="204"/>
      <c r="J26" s="204"/>
      <c r="K26" s="204"/>
      <c r="L26" s="190"/>
    </row>
    <row r="27" spans="1:12" ht="13.5">
      <c r="A27" s="186" t="s">
        <v>234</v>
      </c>
      <c r="B27" s="203" t="s">
        <v>252</v>
      </c>
      <c r="C27" s="203"/>
      <c r="D27" s="204"/>
      <c r="E27" s="204"/>
      <c r="F27" s="204"/>
      <c r="G27" s="204"/>
      <c r="H27" s="204"/>
      <c r="I27" s="204"/>
      <c r="J27" s="204"/>
      <c r="K27" s="204"/>
      <c r="L27" s="188"/>
    </row>
    <row r="28" spans="1:12" ht="13.5">
      <c r="A28" s="186" t="s">
        <v>235</v>
      </c>
      <c r="B28" s="203" t="s">
        <v>243</v>
      </c>
      <c r="C28" s="203"/>
      <c r="D28" s="204"/>
      <c r="E28" s="204"/>
      <c r="F28" s="204"/>
      <c r="G28" s="204"/>
      <c r="H28" s="204"/>
      <c r="I28" s="204"/>
      <c r="J28" s="204"/>
      <c r="K28" s="204"/>
      <c r="L28" s="188"/>
    </row>
    <row r="29" spans="1:12" ht="13.5">
      <c r="A29" s="186" t="s">
        <v>236</v>
      </c>
      <c r="B29" s="203" t="s">
        <v>240</v>
      </c>
      <c r="C29" s="203"/>
      <c r="D29" s="204"/>
      <c r="E29" s="204"/>
      <c r="F29" s="204"/>
      <c r="G29" s="204"/>
      <c r="H29" s="204"/>
      <c r="I29" s="204"/>
      <c r="J29" s="204"/>
      <c r="K29" s="204"/>
      <c r="L29" s="188"/>
    </row>
    <row r="30" spans="1:12" ht="13.5">
      <c r="A30" s="186" t="s">
        <v>151</v>
      </c>
      <c r="B30" s="197" t="s">
        <v>152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88"/>
    </row>
    <row r="31" spans="1:12" ht="13.5">
      <c r="A31" s="186" t="s">
        <v>153</v>
      </c>
      <c r="B31" s="197" t="s">
        <v>154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88"/>
    </row>
    <row r="32" spans="1:12" ht="13.5">
      <c r="A32" s="186" t="s">
        <v>218</v>
      </c>
      <c r="B32" s="203" t="s">
        <v>244</v>
      </c>
      <c r="C32" s="203"/>
      <c r="D32" s="203"/>
      <c r="E32" s="203"/>
      <c r="F32" s="203"/>
      <c r="G32" s="203"/>
      <c r="H32" s="203"/>
      <c r="I32" s="203"/>
      <c r="J32" s="204"/>
      <c r="K32" s="204"/>
      <c r="L32" s="188"/>
    </row>
    <row r="33" spans="1:12" ht="13.5">
      <c r="A33" s="186" t="s">
        <v>219</v>
      </c>
      <c r="B33" s="203" t="s">
        <v>245</v>
      </c>
      <c r="C33" s="204"/>
      <c r="D33" s="204"/>
      <c r="E33" s="204"/>
      <c r="F33" s="204"/>
      <c r="G33" s="204"/>
      <c r="H33" s="204"/>
      <c r="I33" s="204"/>
      <c r="J33" s="204"/>
      <c r="K33" s="204"/>
      <c r="L33" s="188"/>
    </row>
    <row r="34" spans="1:12" ht="13.5">
      <c r="A34" s="186" t="s">
        <v>155</v>
      </c>
      <c r="B34" s="197" t="s">
        <v>156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88"/>
    </row>
    <row r="35" spans="1:12" ht="13.5">
      <c r="A35" s="186" t="s">
        <v>157</v>
      </c>
      <c r="B35" s="197" t="s">
        <v>158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88"/>
    </row>
    <row r="36" spans="1:12" ht="13.5">
      <c r="A36" s="186" t="s">
        <v>159</v>
      </c>
      <c r="B36" s="197" t="s">
        <v>160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88"/>
    </row>
    <row r="37" spans="1:12" ht="13.5">
      <c r="A37" s="186" t="s">
        <v>161</v>
      </c>
      <c r="B37" s="197" t="s">
        <v>162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88"/>
    </row>
    <row r="38" spans="1:12" ht="13.5">
      <c r="A38" s="186" t="s">
        <v>163</v>
      </c>
      <c r="B38" s="197" t="s">
        <v>250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88"/>
    </row>
    <row r="39" spans="1:12" ht="13.5">
      <c r="A39" s="186" t="s">
        <v>123</v>
      </c>
      <c r="B39" s="197" t="s">
        <v>251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88"/>
    </row>
    <row r="40" spans="1:12" ht="13.5">
      <c r="A40" s="186" t="s">
        <v>164</v>
      </c>
      <c r="B40" s="197" t="s">
        <v>165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88"/>
    </row>
    <row r="41" spans="1:12" ht="13.5">
      <c r="A41" s="186" t="s">
        <v>166</v>
      </c>
      <c r="B41" s="197" t="s">
        <v>167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88"/>
    </row>
    <row r="42" spans="1:12" ht="13.5">
      <c r="A42" s="186" t="s">
        <v>168</v>
      </c>
      <c r="B42" s="197" t="s">
        <v>169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88"/>
    </row>
    <row r="43" spans="1:12" ht="13.5">
      <c r="A43" s="186" t="s">
        <v>170</v>
      </c>
      <c r="B43" s="197" t="s">
        <v>171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188"/>
    </row>
    <row r="44" spans="1:12" ht="13.5">
      <c r="A44" s="186" t="s">
        <v>172</v>
      </c>
      <c r="B44" s="197" t="s">
        <v>173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88"/>
    </row>
    <row r="45" spans="1:12" ht="13.5">
      <c r="A45" s="186" t="s">
        <v>174</v>
      </c>
      <c r="B45" s="197" t="s">
        <v>175</v>
      </c>
      <c r="C45" s="200"/>
      <c r="D45" s="200"/>
      <c r="E45" s="200"/>
      <c r="F45" s="200"/>
      <c r="G45" s="200"/>
      <c r="H45" s="200"/>
      <c r="I45" s="200"/>
      <c r="J45" s="200"/>
      <c r="K45" s="200"/>
      <c r="L45" s="188"/>
    </row>
    <row r="46" spans="1:12" ht="13.5">
      <c r="A46" s="186" t="s">
        <v>176</v>
      </c>
      <c r="B46" s="197" t="s">
        <v>177</v>
      </c>
      <c r="C46" s="200"/>
      <c r="D46" s="200"/>
      <c r="E46" s="200"/>
      <c r="F46" s="200"/>
      <c r="G46" s="200"/>
      <c r="H46" s="200"/>
      <c r="I46" s="200"/>
      <c r="J46" s="200"/>
      <c r="K46" s="200"/>
      <c r="L46" s="188"/>
    </row>
    <row r="47" spans="1:12" ht="13.5">
      <c r="A47" s="186" t="s">
        <v>178</v>
      </c>
      <c r="B47" s="197" t="s">
        <v>179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88"/>
    </row>
    <row r="48" spans="1:12" ht="13.5">
      <c r="A48" s="186" t="s">
        <v>247</v>
      </c>
      <c r="B48" s="205" t="s">
        <v>224</v>
      </c>
      <c r="C48" s="205"/>
      <c r="D48" s="205"/>
      <c r="E48" s="205"/>
      <c r="F48" s="205"/>
      <c r="G48" s="205"/>
      <c r="H48" s="205"/>
      <c r="I48" s="205"/>
      <c r="J48" s="205"/>
      <c r="K48" s="205"/>
      <c r="L48" s="188"/>
    </row>
    <row r="49" spans="1:12" ht="13.5">
      <c r="A49" s="186" t="s">
        <v>220</v>
      </c>
      <c r="B49" s="197" t="s">
        <v>225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88"/>
    </row>
    <row r="50" spans="1:12" ht="13.5">
      <c r="A50" s="186" t="s">
        <v>180</v>
      </c>
      <c r="B50" s="197" t="s">
        <v>181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88"/>
    </row>
    <row r="51" spans="1:12" ht="13.5">
      <c r="A51" s="186" t="s">
        <v>182</v>
      </c>
      <c r="B51" s="197" t="s">
        <v>202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88"/>
    </row>
    <row r="52" spans="1:12" ht="13.5">
      <c r="A52" s="186" t="s">
        <v>183</v>
      </c>
      <c r="B52" s="199" t="s">
        <v>184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88"/>
    </row>
    <row r="53" spans="1:12" ht="13.5">
      <c r="A53" s="186" t="s">
        <v>185</v>
      </c>
      <c r="B53" s="199" t="s">
        <v>186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88"/>
    </row>
    <row r="54" spans="1:12" ht="13.5">
      <c r="A54" s="186" t="s">
        <v>187</v>
      </c>
      <c r="B54" s="199" t="s">
        <v>188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88"/>
    </row>
    <row r="55" spans="1:12" ht="13.5">
      <c r="A55" s="186" t="s">
        <v>189</v>
      </c>
      <c r="B55" s="199" t="s">
        <v>190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88"/>
    </row>
    <row r="56" spans="1:12" ht="13.5">
      <c r="A56" s="186" t="s">
        <v>191</v>
      </c>
      <c r="B56" s="199" t="s">
        <v>192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88"/>
    </row>
    <row r="57" spans="1:12" ht="13.5">
      <c r="A57" s="186" t="s">
        <v>193</v>
      </c>
      <c r="B57" s="199" t="s">
        <v>194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88"/>
    </row>
    <row r="58" spans="1:12" ht="13.5">
      <c r="A58" s="186" t="s">
        <v>195</v>
      </c>
      <c r="B58" s="199" t="s">
        <v>196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88"/>
    </row>
    <row r="59" spans="1:12" ht="13.5">
      <c r="A59" s="186" t="s">
        <v>238</v>
      </c>
      <c r="B59" s="199" t="s">
        <v>239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88"/>
    </row>
    <row r="60" spans="1:12" ht="14.25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"/>
    </row>
    <row r="61" spans="1:12" ht="14.25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"/>
    </row>
    <row r="62" spans="1:11" ht="12.75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ht="12.75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</row>
  </sheetData>
  <sheetProtection/>
  <mergeCells count="56">
    <mergeCell ref="B28:K28"/>
    <mergeCell ref="B29:K29"/>
    <mergeCell ref="B59:K59"/>
    <mergeCell ref="B33:K33"/>
    <mergeCell ref="B48:K48"/>
    <mergeCell ref="B49:K49"/>
    <mergeCell ref="B32:K32"/>
    <mergeCell ref="B34:K34"/>
    <mergeCell ref="B31:K31"/>
    <mergeCell ref="B35:K35"/>
    <mergeCell ref="B36:K36"/>
    <mergeCell ref="B37:K37"/>
    <mergeCell ref="B43:K43"/>
    <mergeCell ref="B38:K38"/>
    <mergeCell ref="B39:K39"/>
    <mergeCell ref="B40:K40"/>
    <mergeCell ref="B41:K41"/>
    <mergeCell ref="B42:K42"/>
    <mergeCell ref="B19:K19"/>
    <mergeCell ref="B20:K20"/>
    <mergeCell ref="B21:K21"/>
    <mergeCell ref="B22:K22"/>
    <mergeCell ref="B23:K23"/>
    <mergeCell ref="B30:K30"/>
    <mergeCell ref="B24:L24"/>
    <mergeCell ref="B25:L25"/>
    <mergeCell ref="B26:K26"/>
    <mergeCell ref="B27:K27"/>
    <mergeCell ref="H1:K1"/>
    <mergeCell ref="E2:K2"/>
    <mergeCell ref="D3:K3"/>
    <mergeCell ref="C4:K4"/>
    <mergeCell ref="B10:K10"/>
    <mergeCell ref="B11:K11"/>
    <mergeCell ref="D5:K5"/>
    <mergeCell ref="A7:K7"/>
    <mergeCell ref="B44:K44"/>
    <mergeCell ref="B45:K45"/>
    <mergeCell ref="B46:K46"/>
    <mergeCell ref="B47:K47"/>
    <mergeCell ref="B12:K12"/>
    <mergeCell ref="B13:K13"/>
    <mergeCell ref="B14:K14"/>
    <mergeCell ref="B16:K16"/>
    <mergeCell ref="B17:K17"/>
    <mergeCell ref="B18:K18"/>
    <mergeCell ref="B15:K15"/>
    <mergeCell ref="B56:K56"/>
    <mergeCell ref="B57:K57"/>
    <mergeCell ref="B58:K58"/>
    <mergeCell ref="B50:K50"/>
    <mergeCell ref="B51:K51"/>
    <mergeCell ref="B52:K52"/>
    <mergeCell ref="B53:K53"/>
    <mergeCell ref="B54:K54"/>
    <mergeCell ref="B55:K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view="pageLayout" workbookViewId="0" topLeftCell="A51">
      <selection activeCell="B84" sqref="B84"/>
    </sheetView>
  </sheetViews>
  <sheetFormatPr defaultColWidth="9.140625" defaultRowHeight="12.75"/>
  <cols>
    <col min="1" max="1" width="12.8515625" style="1" customWidth="1"/>
    <col min="2" max="2" width="97.140625" style="1" customWidth="1"/>
    <col min="3" max="3" width="31.57421875" style="4" customWidth="1"/>
  </cols>
  <sheetData>
    <row r="1" spans="1:3" ht="15.75">
      <c r="A1" s="4"/>
      <c r="B1" s="75"/>
      <c r="C1" s="9"/>
    </row>
    <row r="2" spans="1:3" ht="18.75">
      <c r="A2" s="193" t="s">
        <v>6</v>
      </c>
      <c r="B2" s="193"/>
      <c r="C2" s="193"/>
    </row>
    <row r="3" spans="1:3" ht="15.75">
      <c r="A3" s="195" t="s">
        <v>1</v>
      </c>
      <c r="B3" s="195"/>
      <c r="C3" s="14"/>
    </row>
    <row r="4" spans="1:3" ht="15.75">
      <c r="A4" s="195" t="s">
        <v>0</v>
      </c>
      <c r="B4" s="195"/>
      <c r="C4" s="14"/>
    </row>
    <row r="5" spans="1:3" ht="15.75">
      <c r="A5" s="8"/>
      <c r="B5" s="8" t="s">
        <v>44</v>
      </c>
      <c r="C5" s="14"/>
    </row>
    <row r="6" spans="1:3" ht="15.75">
      <c r="A6" s="8"/>
      <c r="B6" s="8" t="s">
        <v>112</v>
      </c>
      <c r="C6" s="14"/>
    </row>
    <row r="7" spans="1:3" ht="15.75">
      <c r="A7" s="8"/>
      <c r="B7" s="8" t="s">
        <v>208</v>
      </c>
      <c r="C7" s="14"/>
    </row>
    <row r="8" spans="1:3" ht="15.75">
      <c r="A8" s="8"/>
      <c r="B8" s="195" t="s">
        <v>253</v>
      </c>
      <c r="C8" s="210"/>
    </row>
    <row r="9" spans="1:3" ht="15.75">
      <c r="A9" s="8" t="s">
        <v>2</v>
      </c>
      <c r="B9" s="8" t="s">
        <v>205</v>
      </c>
      <c r="C9" s="14"/>
    </row>
    <row r="10" spans="1:3" ht="15.75" hidden="1">
      <c r="A10" s="15"/>
      <c r="B10" s="16"/>
      <c r="C10" s="14"/>
    </row>
    <row r="11" spans="1:3" ht="47.25">
      <c r="A11" s="59" t="s">
        <v>3</v>
      </c>
      <c r="B11" s="59" t="s">
        <v>4</v>
      </c>
      <c r="C11" s="59" t="s">
        <v>5</v>
      </c>
    </row>
    <row r="12" spans="1:3" ht="15.75">
      <c r="A12" s="18">
        <v>1</v>
      </c>
      <c r="B12" s="19">
        <v>2</v>
      </c>
      <c r="C12" s="19">
        <v>3</v>
      </c>
    </row>
    <row r="13" spans="1:3" ht="15.75">
      <c r="A13" s="172"/>
      <c r="B13" s="21" t="s">
        <v>68</v>
      </c>
      <c r="C13" s="173"/>
    </row>
    <row r="14" spans="1:3" ht="15.75">
      <c r="A14" s="23">
        <v>1100</v>
      </c>
      <c r="B14" s="24" t="s">
        <v>59</v>
      </c>
      <c r="C14" s="25">
        <v>150.4</v>
      </c>
    </row>
    <row r="15" spans="1:3" ht="15.75" customHeight="1">
      <c r="A15" s="23">
        <v>1200</v>
      </c>
      <c r="B15" s="26" t="s">
        <v>210</v>
      </c>
      <c r="C15" s="25">
        <v>36.23</v>
      </c>
    </row>
    <row r="16" spans="1:3" ht="15.75">
      <c r="A16" s="23">
        <v>2222</v>
      </c>
      <c r="B16" s="26" t="s">
        <v>39</v>
      </c>
      <c r="C16" s="25">
        <v>0.3</v>
      </c>
    </row>
    <row r="17" spans="1:3" ht="15.75">
      <c r="A17" s="22">
        <v>2244</v>
      </c>
      <c r="B17" s="26" t="s">
        <v>12</v>
      </c>
      <c r="C17" s="174">
        <v>4.8</v>
      </c>
    </row>
    <row r="18" spans="1:3" ht="15.75">
      <c r="A18" s="31">
        <v>2341</v>
      </c>
      <c r="B18" s="26" t="s">
        <v>23</v>
      </c>
      <c r="C18" s="25">
        <v>7.46</v>
      </c>
    </row>
    <row r="19" spans="1:3" ht="15.75">
      <c r="A19" s="23">
        <v>2223</v>
      </c>
      <c r="B19" s="26" t="s">
        <v>40</v>
      </c>
      <c r="C19" s="25">
        <v>5.02</v>
      </c>
    </row>
    <row r="20" spans="1:3" ht="15.75">
      <c r="A20" s="23">
        <v>2321</v>
      </c>
      <c r="B20" s="26" t="s">
        <v>21</v>
      </c>
      <c r="C20" s="25">
        <v>2.88</v>
      </c>
    </row>
    <row r="21" spans="1:3" ht="15.75">
      <c r="A21" s="23">
        <v>2243</v>
      </c>
      <c r="B21" s="26" t="s">
        <v>11</v>
      </c>
      <c r="C21" s="25">
        <v>0.3</v>
      </c>
    </row>
    <row r="22" spans="1:3" ht="15.75">
      <c r="A22" s="23">
        <v>5232</v>
      </c>
      <c r="B22" s="26" t="s">
        <v>33</v>
      </c>
      <c r="C22" s="25">
        <v>62.27</v>
      </c>
    </row>
    <row r="23" spans="1:3" ht="15.75">
      <c r="A23" s="23">
        <v>2312</v>
      </c>
      <c r="B23" s="26" t="s">
        <v>20</v>
      </c>
      <c r="C23" s="25">
        <v>4.31</v>
      </c>
    </row>
    <row r="24" spans="1:3" ht="15.75">
      <c r="A24" s="23">
        <v>2311</v>
      </c>
      <c r="B24" s="26" t="s">
        <v>19</v>
      </c>
      <c r="C24" s="25">
        <v>0.3</v>
      </c>
    </row>
    <row r="25" spans="1:3" ht="15.75">
      <c r="A25" s="22"/>
      <c r="B25" s="27" t="s">
        <v>67</v>
      </c>
      <c r="C25" s="28">
        <f>SUM(C14:C24)</f>
        <v>274.27000000000004</v>
      </c>
    </row>
    <row r="26" spans="1:3" ht="15.75">
      <c r="A26" s="29"/>
      <c r="B26" s="24" t="s">
        <v>61</v>
      </c>
      <c r="C26" s="28"/>
    </row>
    <row r="27" spans="1:3" ht="15.75">
      <c r="A27" s="23">
        <v>1100</v>
      </c>
      <c r="B27" s="24" t="s">
        <v>59</v>
      </c>
      <c r="C27" s="25">
        <v>49.87</v>
      </c>
    </row>
    <row r="28" spans="1:3" ht="15.75">
      <c r="A28" s="23">
        <v>1200</v>
      </c>
      <c r="B28" s="26" t="s">
        <v>60</v>
      </c>
      <c r="C28" s="25">
        <v>12.01</v>
      </c>
    </row>
    <row r="29" spans="1:3" ht="15.75">
      <c r="A29" s="31">
        <v>2210</v>
      </c>
      <c r="B29" s="26" t="s">
        <v>38</v>
      </c>
      <c r="C29" s="25">
        <v>0.43</v>
      </c>
    </row>
    <row r="30" spans="1:3" ht="15.75">
      <c r="A30" s="23">
        <v>2222</v>
      </c>
      <c r="B30" s="26" t="s">
        <v>39</v>
      </c>
      <c r="C30" s="25">
        <v>2.51</v>
      </c>
    </row>
    <row r="31" spans="1:3" ht="15.75">
      <c r="A31" s="23">
        <v>2223</v>
      </c>
      <c r="B31" s="26" t="s">
        <v>40</v>
      </c>
      <c r="C31" s="25">
        <v>4.87</v>
      </c>
    </row>
    <row r="32" spans="1:3" ht="15.75">
      <c r="A32" s="23">
        <v>2230</v>
      </c>
      <c r="B32" s="26" t="s">
        <v>41</v>
      </c>
      <c r="C32" s="25">
        <v>0.84</v>
      </c>
    </row>
    <row r="33" spans="1:3" ht="15.75">
      <c r="A33" s="23">
        <v>2241</v>
      </c>
      <c r="B33" s="26" t="s">
        <v>9</v>
      </c>
      <c r="C33" s="25">
        <v>0.96</v>
      </c>
    </row>
    <row r="34" spans="1:3" ht="15.75">
      <c r="A34" s="23">
        <v>2242</v>
      </c>
      <c r="B34" s="26" t="s">
        <v>10</v>
      </c>
      <c r="C34" s="25">
        <v>0.39</v>
      </c>
    </row>
    <row r="35" spans="1:3" ht="15.75">
      <c r="A35" s="23">
        <v>2243</v>
      </c>
      <c r="B35" s="26" t="s">
        <v>11</v>
      </c>
      <c r="C35" s="25">
        <v>1.61</v>
      </c>
    </row>
    <row r="36" spans="1:3" ht="15.75" hidden="1">
      <c r="A36" s="22">
        <v>2244</v>
      </c>
      <c r="B36" s="26" t="s">
        <v>12</v>
      </c>
      <c r="C36" s="174"/>
    </row>
    <row r="37" spans="1:3" ht="15.75">
      <c r="A37" s="22">
        <v>2247</v>
      </c>
      <c r="B37" s="21" t="s">
        <v>62</v>
      </c>
      <c r="C37" s="25">
        <v>0.37</v>
      </c>
    </row>
    <row r="38" spans="1:3" ht="15.75">
      <c r="A38" s="22">
        <v>2249</v>
      </c>
      <c r="B38" s="26" t="s">
        <v>13</v>
      </c>
      <c r="C38" s="25">
        <v>1.17</v>
      </c>
    </row>
    <row r="39" spans="1:3" ht="15.75">
      <c r="A39" s="22">
        <v>2251</v>
      </c>
      <c r="B39" s="26" t="s">
        <v>63</v>
      </c>
      <c r="C39" s="25">
        <v>0.89</v>
      </c>
    </row>
    <row r="40" spans="1:3" ht="15.75" hidden="1">
      <c r="A40" s="22">
        <v>2252</v>
      </c>
      <c r="B40" s="26" t="s">
        <v>7</v>
      </c>
      <c r="C40" s="25"/>
    </row>
    <row r="41" spans="1:3" ht="15.75" hidden="1">
      <c r="A41" s="22">
        <v>2259</v>
      </c>
      <c r="B41" s="26" t="s">
        <v>8</v>
      </c>
      <c r="C41" s="25"/>
    </row>
    <row r="42" spans="1:3" ht="15.75">
      <c r="A42" s="22">
        <v>2261</v>
      </c>
      <c r="B42" s="26" t="s">
        <v>14</v>
      </c>
      <c r="C42" s="25">
        <v>0.4</v>
      </c>
    </row>
    <row r="43" spans="1:3" ht="15.75">
      <c r="A43" s="22">
        <v>2262</v>
      </c>
      <c r="B43" s="26" t="s">
        <v>15</v>
      </c>
      <c r="C43" s="25">
        <v>0.56</v>
      </c>
    </row>
    <row r="44" spans="1:3" ht="15.75">
      <c r="A44" s="22">
        <v>2263</v>
      </c>
      <c r="B44" s="26" t="s">
        <v>16</v>
      </c>
      <c r="C44" s="25">
        <v>2.81</v>
      </c>
    </row>
    <row r="45" spans="1:3" ht="15.75" hidden="1">
      <c r="A45" s="23">
        <v>2264</v>
      </c>
      <c r="B45" s="26" t="s">
        <v>17</v>
      </c>
      <c r="C45" s="25"/>
    </row>
    <row r="46" spans="1:3" ht="15.75">
      <c r="A46" s="23">
        <v>2279</v>
      </c>
      <c r="B46" s="26" t="s">
        <v>18</v>
      </c>
      <c r="C46" s="25">
        <v>2.23</v>
      </c>
    </row>
    <row r="47" spans="1:3" ht="15.75">
      <c r="A47" s="23">
        <v>2311</v>
      </c>
      <c r="B47" s="26" t="s">
        <v>19</v>
      </c>
      <c r="C47" s="25">
        <v>0.23</v>
      </c>
    </row>
    <row r="48" spans="1:3" ht="15.75">
      <c r="A48" s="23">
        <v>2312</v>
      </c>
      <c r="B48" s="26" t="s">
        <v>20</v>
      </c>
      <c r="C48" s="25">
        <v>0.25</v>
      </c>
    </row>
    <row r="49" spans="1:3" ht="15.75">
      <c r="A49" s="23">
        <v>2321</v>
      </c>
      <c r="B49" s="26" t="s">
        <v>21</v>
      </c>
      <c r="C49" s="25">
        <v>2.87</v>
      </c>
    </row>
    <row r="50" spans="1:3" ht="15.75">
      <c r="A50" s="23">
        <v>2322</v>
      </c>
      <c r="B50" s="26" t="s">
        <v>22</v>
      </c>
      <c r="C50" s="25">
        <v>0.91</v>
      </c>
    </row>
    <row r="51" spans="1:3" ht="15.75">
      <c r="A51" s="23">
        <v>2341</v>
      </c>
      <c r="B51" s="26" t="s">
        <v>23</v>
      </c>
      <c r="C51" s="25">
        <v>0.48</v>
      </c>
    </row>
    <row r="52" spans="1:3" ht="15.75" hidden="1">
      <c r="A52" s="23">
        <v>2344</v>
      </c>
      <c r="B52" s="26" t="s">
        <v>24</v>
      </c>
      <c r="C52" s="25"/>
    </row>
    <row r="53" spans="1:3" ht="15.75">
      <c r="A53" s="23">
        <v>2350</v>
      </c>
      <c r="B53" s="26" t="s">
        <v>25</v>
      </c>
      <c r="C53" s="25">
        <v>1.21</v>
      </c>
    </row>
    <row r="54" spans="1:3" ht="15.75">
      <c r="A54" s="23">
        <v>2361</v>
      </c>
      <c r="B54" s="26" t="s">
        <v>26</v>
      </c>
      <c r="C54" s="25">
        <v>1.01</v>
      </c>
    </row>
    <row r="55" spans="1:3" ht="15.75" hidden="1">
      <c r="A55" s="23">
        <v>2362</v>
      </c>
      <c r="B55" s="26" t="s">
        <v>27</v>
      </c>
      <c r="C55" s="25"/>
    </row>
    <row r="56" spans="1:3" ht="15.75" hidden="1">
      <c r="A56" s="23">
        <v>2363</v>
      </c>
      <c r="B56" s="26" t="s">
        <v>28</v>
      </c>
      <c r="C56" s="25"/>
    </row>
    <row r="57" spans="1:3" ht="15.75" hidden="1">
      <c r="A57" s="23">
        <v>2370</v>
      </c>
      <c r="B57" s="26" t="s">
        <v>29</v>
      </c>
      <c r="C57" s="25"/>
    </row>
    <row r="58" spans="1:3" ht="15.75">
      <c r="A58" s="23">
        <v>2400</v>
      </c>
      <c r="B58" s="26" t="s">
        <v>43</v>
      </c>
      <c r="C58" s="25">
        <v>0.17</v>
      </c>
    </row>
    <row r="59" spans="1:3" ht="15.75" hidden="1">
      <c r="A59" s="23">
        <v>2512</v>
      </c>
      <c r="B59" s="26" t="s">
        <v>30</v>
      </c>
      <c r="C59" s="25"/>
    </row>
    <row r="60" spans="1:3" ht="15.75">
      <c r="A60" s="23">
        <v>2513</v>
      </c>
      <c r="B60" s="26" t="s">
        <v>31</v>
      </c>
      <c r="C60" s="25">
        <v>1.21</v>
      </c>
    </row>
    <row r="61" spans="1:3" ht="15.75">
      <c r="A61" s="23">
        <v>2515</v>
      </c>
      <c r="B61" s="26" t="s">
        <v>64</v>
      </c>
      <c r="C61" s="25">
        <v>0.5</v>
      </c>
    </row>
    <row r="62" spans="1:3" ht="15.75">
      <c r="A62" s="23">
        <v>2519</v>
      </c>
      <c r="B62" s="26" t="s">
        <v>34</v>
      </c>
      <c r="C62" s="25">
        <v>0.65</v>
      </c>
    </row>
    <row r="63" spans="1:3" ht="15.75" hidden="1">
      <c r="A63" s="23">
        <v>6240</v>
      </c>
      <c r="B63" s="26"/>
      <c r="C63" s="25"/>
    </row>
    <row r="64" spans="1:3" ht="15.75" hidden="1">
      <c r="A64" s="23">
        <v>6290</v>
      </c>
      <c r="B64" s="26"/>
      <c r="C64" s="25"/>
    </row>
    <row r="65" spans="1:3" ht="15.75">
      <c r="A65" s="23">
        <v>5121</v>
      </c>
      <c r="B65" s="26" t="s">
        <v>32</v>
      </c>
      <c r="C65" s="25">
        <v>1.23</v>
      </c>
    </row>
    <row r="66" spans="1:3" ht="15.75">
      <c r="A66" s="23">
        <v>5232</v>
      </c>
      <c r="B66" s="26" t="s">
        <v>33</v>
      </c>
      <c r="C66" s="25">
        <v>3.49</v>
      </c>
    </row>
    <row r="67" spans="1:3" ht="15.75">
      <c r="A67" s="23">
        <v>5238</v>
      </c>
      <c r="B67" s="26" t="s">
        <v>35</v>
      </c>
      <c r="C67" s="25">
        <v>2.55</v>
      </c>
    </row>
    <row r="68" spans="1:3" ht="15.75" hidden="1">
      <c r="A68" s="23">
        <v>5240</v>
      </c>
      <c r="B68" s="26" t="s">
        <v>36</v>
      </c>
      <c r="C68" s="25">
        <v>0</v>
      </c>
    </row>
    <row r="69" spans="1:3" ht="15.75">
      <c r="A69" s="22">
        <v>5250</v>
      </c>
      <c r="B69" s="26" t="s">
        <v>37</v>
      </c>
      <c r="C69" s="25">
        <v>0.25</v>
      </c>
    </row>
    <row r="70" spans="1:3" ht="15.75">
      <c r="A70" s="33"/>
      <c r="B70" s="34" t="s">
        <v>65</v>
      </c>
      <c r="C70" s="28">
        <f>SUM(C27:C69)</f>
        <v>98.93000000000002</v>
      </c>
    </row>
    <row r="71" spans="1:3" ht="15.75">
      <c r="A71" s="33"/>
      <c r="B71" s="34" t="s">
        <v>66</v>
      </c>
      <c r="C71" s="28">
        <f>C25+C70</f>
        <v>373.20000000000005</v>
      </c>
    </row>
    <row r="72" spans="1:3" ht="15.75">
      <c r="A72" s="9"/>
      <c r="B72" s="14"/>
      <c r="C72" s="62"/>
    </row>
    <row r="73" spans="1:3" ht="15.75">
      <c r="A73" s="212" t="s">
        <v>45</v>
      </c>
      <c r="B73" s="213"/>
      <c r="C73" s="17">
        <v>30</v>
      </c>
    </row>
    <row r="74" spans="1:3" ht="15.75">
      <c r="A74" s="212" t="s">
        <v>54</v>
      </c>
      <c r="B74" s="213"/>
      <c r="C74" s="164">
        <f>ROUND(C71/C73,2)</f>
        <v>12.44</v>
      </c>
    </row>
    <row r="75" spans="1:3" ht="15.75">
      <c r="A75" s="86"/>
      <c r="B75" s="87"/>
      <c r="C75" s="171"/>
    </row>
    <row r="76" spans="1:3" ht="15.75">
      <c r="A76" s="214" t="s">
        <v>46</v>
      </c>
      <c r="B76" s="215"/>
      <c r="C76" s="44"/>
    </row>
    <row r="77" spans="1:3" ht="15.75">
      <c r="A77" s="214" t="s">
        <v>56</v>
      </c>
      <c r="B77" s="215"/>
      <c r="C77" s="44"/>
    </row>
    <row r="78" spans="1:3" ht="15.75">
      <c r="A78" s="38" t="s">
        <v>47</v>
      </c>
      <c r="B78" s="38"/>
      <c r="C78" s="38"/>
    </row>
    <row r="79" spans="1:3" ht="15.75">
      <c r="A79" s="38"/>
      <c r="B79" s="38"/>
      <c r="C79" s="38"/>
    </row>
    <row r="80" spans="1:3" ht="15.75">
      <c r="A80" s="38"/>
      <c r="B80" s="39"/>
      <c r="C80" s="38"/>
    </row>
    <row r="81" spans="1:3" ht="15.75">
      <c r="A81" s="38"/>
      <c r="B81" s="101"/>
      <c r="C81" s="38"/>
    </row>
    <row r="82" spans="1:3" ht="15">
      <c r="A82" s="4"/>
      <c r="B82" s="61"/>
      <c r="C82" s="6"/>
    </row>
  </sheetData>
  <sheetProtection/>
  <mergeCells count="8">
    <mergeCell ref="A74:B74"/>
    <mergeCell ref="A76:B76"/>
    <mergeCell ref="A77:B77"/>
    <mergeCell ref="B8:C8"/>
    <mergeCell ref="A2:C2"/>
    <mergeCell ref="A3:B3"/>
    <mergeCell ref="A4:B4"/>
    <mergeCell ref="A73:B73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view="pageLayout" workbookViewId="0" topLeftCell="A1">
      <selection activeCell="A80" sqref="A80"/>
    </sheetView>
  </sheetViews>
  <sheetFormatPr defaultColWidth="9.140625" defaultRowHeight="12.75"/>
  <cols>
    <col min="1" max="1" width="12.8515625" style="1" customWidth="1"/>
    <col min="2" max="2" width="97.140625" style="1" customWidth="1"/>
    <col min="3" max="3" width="31.57421875" style="4" customWidth="1"/>
  </cols>
  <sheetData>
    <row r="1" spans="1:3" ht="15.75">
      <c r="A1" s="4"/>
      <c r="B1" s="75"/>
      <c r="C1" s="9"/>
    </row>
    <row r="2" spans="1:3" ht="18.75">
      <c r="A2" s="193" t="s">
        <v>6</v>
      </c>
      <c r="B2" s="193"/>
      <c r="C2" s="193"/>
    </row>
    <row r="3" spans="1:3" ht="15.75">
      <c r="A3" s="195" t="s">
        <v>1</v>
      </c>
      <c r="B3" s="195"/>
      <c r="C3" s="14"/>
    </row>
    <row r="4" spans="1:3" ht="15.75">
      <c r="A4" s="195" t="s">
        <v>0</v>
      </c>
      <c r="B4" s="195"/>
      <c r="C4" s="14"/>
    </row>
    <row r="5" spans="1:3" ht="15.75">
      <c r="A5" s="8"/>
      <c r="B5" s="8" t="s">
        <v>44</v>
      </c>
      <c r="C5" s="14"/>
    </row>
    <row r="6" spans="1:3" ht="15.75">
      <c r="A6" s="8"/>
      <c r="B6" s="8" t="s">
        <v>112</v>
      </c>
      <c r="C6" s="14"/>
    </row>
    <row r="7" spans="1:3" ht="15.75">
      <c r="A7" s="8"/>
      <c r="B7" s="8" t="s">
        <v>208</v>
      </c>
      <c r="C7" s="14"/>
    </row>
    <row r="8" spans="1:3" ht="15.75">
      <c r="A8" s="8"/>
      <c r="B8" s="195" t="s">
        <v>242</v>
      </c>
      <c r="C8" s="210"/>
    </row>
    <row r="9" spans="1:3" ht="15.75">
      <c r="A9" s="8" t="s">
        <v>2</v>
      </c>
      <c r="B9" s="8" t="s">
        <v>205</v>
      </c>
      <c r="C9" s="14"/>
    </row>
    <row r="10" spans="1:3" ht="15.75" hidden="1">
      <c r="A10" s="15"/>
      <c r="B10" s="16"/>
      <c r="C10" s="14"/>
    </row>
    <row r="11" spans="1:3" ht="47.25">
      <c r="A11" s="59" t="s">
        <v>3</v>
      </c>
      <c r="B11" s="59" t="s">
        <v>4</v>
      </c>
      <c r="C11" s="59" t="s">
        <v>5</v>
      </c>
    </row>
    <row r="12" spans="1:3" ht="15.75">
      <c r="A12" s="18">
        <v>1</v>
      </c>
      <c r="B12" s="19">
        <v>2</v>
      </c>
      <c r="C12" s="19">
        <v>3</v>
      </c>
    </row>
    <row r="13" spans="1:3" ht="15.75">
      <c r="A13" s="172"/>
      <c r="B13" s="21" t="s">
        <v>68</v>
      </c>
      <c r="C13" s="173"/>
    </row>
    <row r="14" spans="1:3" ht="15.75">
      <c r="A14" s="23">
        <v>1100</v>
      </c>
      <c r="B14" s="24" t="s">
        <v>59</v>
      </c>
      <c r="C14" s="25">
        <v>56.4</v>
      </c>
    </row>
    <row r="15" spans="1:3" ht="15.75" customHeight="1">
      <c r="A15" s="23">
        <v>1200</v>
      </c>
      <c r="B15" s="26" t="s">
        <v>210</v>
      </c>
      <c r="C15" s="25">
        <v>13.59</v>
      </c>
    </row>
    <row r="16" spans="1:3" ht="15.75">
      <c r="A16" s="23">
        <v>2222</v>
      </c>
      <c r="B16" s="26" t="s">
        <v>39</v>
      </c>
      <c r="C16" s="25">
        <v>0.3</v>
      </c>
    </row>
    <row r="17" spans="1:3" ht="15.75">
      <c r="A17" s="22">
        <v>2244</v>
      </c>
      <c r="B17" s="26" t="s">
        <v>12</v>
      </c>
      <c r="C17" s="174">
        <v>4.8</v>
      </c>
    </row>
    <row r="18" spans="1:3" ht="15.75">
      <c r="A18" s="31">
        <v>2341</v>
      </c>
      <c r="B18" s="26" t="s">
        <v>23</v>
      </c>
      <c r="C18" s="25">
        <v>7.46</v>
      </c>
    </row>
    <row r="19" spans="1:3" ht="15.75">
      <c r="A19" s="23">
        <v>2223</v>
      </c>
      <c r="B19" s="26" t="s">
        <v>40</v>
      </c>
      <c r="C19" s="25">
        <v>4.2</v>
      </c>
    </row>
    <row r="20" spans="1:3" ht="15.75">
      <c r="A20" s="23">
        <v>2321</v>
      </c>
      <c r="B20" s="26" t="s">
        <v>21</v>
      </c>
      <c r="C20" s="25">
        <v>1.98</v>
      </c>
    </row>
    <row r="21" spans="1:3" ht="15.75">
      <c r="A21" s="23">
        <v>2243</v>
      </c>
      <c r="B21" s="26" t="s">
        <v>11</v>
      </c>
      <c r="C21" s="25">
        <v>0.3</v>
      </c>
    </row>
    <row r="22" spans="1:3" ht="15.75">
      <c r="A22" s="23">
        <v>5232</v>
      </c>
      <c r="B22" s="26" t="s">
        <v>33</v>
      </c>
      <c r="C22" s="25">
        <v>58.62</v>
      </c>
    </row>
    <row r="23" spans="1:3" ht="15.75">
      <c r="A23" s="23">
        <v>2312</v>
      </c>
      <c r="B23" s="26" t="s">
        <v>20</v>
      </c>
      <c r="C23" s="25">
        <v>3</v>
      </c>
    </row>
    <row r="24" spans="1:3" ht="15.75">
      <c r="A24" s="23">
        <v>2311</v>
      </c>
      <c r="B24" s="26" t="s">
        <v>19</v>
      </c>
      <c r="C24" s="25">
        <v>0.3</v>
      </c>
    </row>
    <row r="25" spans="1:3" ht="15.75">
      <c r="A25" s="22"/>
      <c r="B25" s="27" t="s">
        <v>67</v>
      </c>
      <c r="C25" s="28">
        <f>SUM(C14:C24)</f>
        <v>150.95</v>
      </c>
    </row>
    <row r="26" spans="1:3" ht="15.75">
      <c r="A26" s="29"/>
      <c r="B26" s="24" t="s">
        <v>61</v>
      </c>
      <c r="C26" s="28"/>
    </row>
    <row r="27" spans="1:3" ht="15.75">
      <c r="A27" s="23">
        <v>1100</v>
      </c>
      <c r="B27" s="24" t="s">
        <v>59</v>
      </c>
      <c r="C27" s="25">
        <v>21.5</v>
      </c>
    </row>
    <row r="28" spans="1:3" ht="15.75">
      <c r="A28" s="23">
        <v>1200</v>
      </c>
      <c r="B28" s="26" t="s">
        <v>60</v>
      </c>
      <c r="C28" s="25">
        <v>5.18</v>
      </c>
    </row>
    <row r="29" spans="1:3" ht="15.75">
      <c r="A29" s="31">
        <v>2210</v>
      </c>
      <c r="B29" s="26" t="s">
        <v>38</v>
      </c>
      <c r="C29" s="25">
        <v>0.43</v>
      </c>
    </row>
    <row r="30" spans="1:3" ht="15.75">
      <c r="A30" s="23">
        <v>2222</v>
      </c>
      <c r="B30" s="26" t="s">
        <v>39</v>
      </c>
      <c r="C30" s="25">
        <v>1.33</v>
      </c>
    </row>
    <row r="31" spans="1:3" ht="15.75">
      <c r="A31" s="23">
        <v>2223</v>
      </c>
      <c r="B31" s="26" t="s">
        <v>40</v>
      </c>
      <c r="C31" s="25">
        <v>2.36</v>
      </c>
    </row>
    <row r="32" spans="1:3" ht="15.75">
      <c r="A32" s="23">
        <v>2230</v>
      </c>
      <c r="B32" s="26" t="s">
        <v>41</v>
      </c>
      <c r="C32" s="25">
        <v>0.84</v>
      </c>
    </row>
    <row r="33" spans="1:3" ht="15.75">
      <c r="A33" s="23">
        <v>2241</v>
      </c>
      <c r="B33" s="26" t="s">
        <v>9</v>
      </c>
      <c r="C33" s="25">
        <v>0.96</v>
      </c>
    </row>
    <row r="34" spans="1:3" ht="15.75">
      <c r="A34" s="23">
        <v>2242</v>
      </c>
      <c r="B34" s="26" t="s">
        <v>10</v>
      </c>
      <c r="C34" s="25">
        <v>0.39</v>
      </c>
    </row>
    <row r="35" spans="1:3" ht="15.75">
      <c r="A35" s="23">
        <v>2243</v>
      </c>
      <c r="B35" s="26" t="s">
        <v>11</v>
      </c>
      <c r="C35" s="25">
        <v>1.61</v>
      </c>
    </row>
    <row r="36" spans="1:3" ht="15.75" hidden="1">
      <c r="A36" s="22">
        <v>2244</v>
      </c>
      <c r="B36" s="26" t="s">
        <v>12</v>
      </c>
      <c r="C36" s="174"/>
    </row>
    <row r="37" spans="1:3" ht="15.75">
      <c r="A37" s="22">
        <v>2247</v>
      </c>
      <c r="B37" s="21" t="s">
        <v>62</v>
      </c>
      <c r="C37" s="25">
        <v>0.37</v>
      </c>
    </row>
    <row r="38" spans="1:3" ht="15.75">
      <c r="A38" s="22">
        <v>2249</v>
      </c>
      <c r="B38" s="26" t="s">
        <v>13</v>
      </c>
      <c r="C38" s="25">
        <v>1.17</v>
      </c>
    </row>
    <row r="39" spans="1:3" ht="15.75">
      <c r="A39" s="22">
        <v>2251</v>
      </c>
      <c r="B39" s="26" t="s">
        <v>63</v>
      </c>
      <c r="C39" s="25">
        <v>0.89</v>
      </c>
    </row>
    <row r="40" spans="1:3" ht="15.75" hidden="1">
      <c r="A40" s="22">
        <v>2252</v>
      </c>
      <c r="B40" s="26" t="s">
        <v>7</v>
      </c>
      <c r="C40" s="25"/>
    </row>
    <row r="41" spans="1:3" ht="15.75" hidden="1">
      <c r="A41" s="22">
        <v>2259</v>
      </c>
      <c r="B41" s="26" t="s">
        <v>8</v>
      </c>
      <c r="C41" s="25"/>
    </row>
    <row r="42" spans="1:3" ht="15.75">
      <c r="A42" s="22">
        <v>2261</v>
      </c>
      <c r="B42" s="26" t="s">
        <v>14</v>
      </c>
      <c r="C42" s="25">
        <v>0.4</v>
      </c>
    </row>
    <row r="43" spans="1:3" ht="15.75">
      <c r="A43" s="22">
        <v>2262</v>
      </c>
      <c r="B43" s="26" t="s">
        <v>15</v>
      </c>
      <c r="C43" s="25">
        <v>0.56</v>
      </c>
    </row>
    <row r="44" spans="1:3" ht="15.75">
      <c r="A44" s="22">
        <v>2263</v>
      </c>
      <c r="B44" s="26" t="s">
        <v>16</v>
      </c>
      <c r="C44" s="25">
        <v>2.81</v>
      </c>
    </row>
    <row r="45" spans="1:3" ht="15.75" hidden="1">
      <c r="A45" s="23">
        <v>2264</v>
      </c>
      <c r="B45" s="26" t="s">
        <v>17</v>
      </c>
      <c r="C45" s="25"/>
    </row>
    <row r="46" spans="1:3" ht="15.75">
      <c r="A46" s="23">
        <v>2279</v>
      </c>
      <c r="B46" s="26" t="s">
        <v>18</v>
      </c>
      <c r="C46" s="25">
        <v>2.23</v>
      </c>
    </row>
    <row r="47" spans="1:3" ht="15.75">
      <c r="A47" s="23">
        <v>2311</v>
      </c>
      <c r="B47" s="26" t="s">
        <v>19</v>
      </c>
      <c r="C47" s="25">
        <v>0.23</v>
      </c>
    </row>
    <row r="48" spans="1:3" ht="15.75">
      <c r="A48" s="23">
        <v>2312</v>
      </c>
      <c r="B48" s="26" t="s">
        <v>20</v>
      </c>
      <c r="C48" s="25">
        <v>0.25</v>
      </c>
    </row>
    <row r="49" spans="1:3" ht="15.75">
      <c r="A49" s="23">
        <v>2321</v>
      </c>
      <c r="B49" s="26" t="s">
        <v>21</v>
      </c>
      <c r="C49" s="25">
        <v>1.87</v>
      </c>
    </row>
    <row r="50" spans="1:3" ht="15.75">
      <c r="A50" s="23">
        <v>2322</v>
      </c>
      <c r="B50" s="26" t="s">
        <v>22</v>
      </c>
      <c r="C50" s="25">
        <v>0.91</v>
      </c>
    </row>
    <row r="51" spans="1:3" ht="15.75">
      <c r="A51" s="23">
        <v>2341</v>
      </c>
      <c r="B51" s="26" t="s">
        <v>23</v>
      </c>
      <c r="C51" s="25">
        <v>0.48</v>
      </c>
    </row>
    <row r="52" spans="1:3" ht="15.75" hidden="1">
      <c r="A52" s="23">
        <v>2344</v>
      </c>
      <c r="B52" s="26" t="s">
        <v>24</v>
      </c>
      <c r="C52" s="25"/>
    </row>
    <row r="53" spans="1:3" ht="15.75">
      <c r="A53" s="23">
        <v>2350</v>
      </c>
      <c r="B53" s="26" t="s">
        <v>25</v>
      </c>
      <c r="C53" s="25">
        <v>1.21</v>
      </c>
    </row>
    <row r="54" spans="1:3" ht="15.75">
      <c r="A54" s="23">
        <v>2361</v>
      </c>
      <c r="B54" s="26" t="s">
        <v>26</v>
      </c>
      <c r="C54" s="25">
        <v>1.01</v>
      </c>
    </row>
    <row r="55" spans="1:3" ht="15.75" hidden="1">
      <c r="A55" s="23">
        <v>2362</v>
      </c>
      <c r="B55" s="26" t="s">
        <v>27</v>
      </c>
      <c r="C55" s="25"/>
    </row>
    <row r="56" spans="1:3" ht="15.75" hidden="1">
      <c r="A56" s="23">
        <v>2363</v>
      </c>
      <c r="B56" s="26" t="s">
        <v>28</v>
      </c>
      <c r="C56" s="25"/>
    </row>
    <row r="57" spans="1:3" ht="15.75" hidden="1">
      <c r="A57" s="23">
        <v>2370</v>
      </c>
      <c r="B57" s="26" t="s">
        <v>29</v>
      </c>
      <c r="C57" s="25"/>
    </row>
    <row r="58" spans="1:3" ht="15.75">
      <c r="A58" s="23">
        <v>2400</v>
      </c>
      <c r="B58" s="26" t="s">
        <v>43</v>
      </c>
      <c r="C58" s="25">
        <v>0.17</v>
      </c>
    </row>
    <row r="59" spans="1:3" ht="15.75" hidden="1">
      <c r="A59" s="23">
        <v>2512</v>
      </c>
      <c r="B59" s="26" t="s">
        <v>30</v>
      </c>
      <c r="C59" s="25"/>
    </row>
    <row r="60" spans="1:3" ht="15.75">
      <c r="A60" s="23">
        <v>2513</v>
      </c>
      <c r="B60" s="26" t="s">
        <v>31</v>
      </c>
      <c r="C60" s="25">
        <v>1.21</v>
      </c>
    </row>
    <row r="61" spans="1:3" ht="15.75">
      <c r="A61" s="23">
        <v>2515</v>
      </c>
      <c r="B61" s="26" t="s">
        <v>64</v>
      </c>
      <c r="C61" s="25">
        <v>0.5</v>
      </c>
    </row>
    <row r="62" spans="1:3" ht="15.75">
      <c r="A62" s="23">
        <v>2519</v>
      </c>
      <c r="B62" s="26" t="s">
        <v>34</v>
      </c>
      <c r="C62" s="25">
        <v>0.65</v>
      </c>
    </row>
    <row r="63" spans="1:3" ht="15.75" hidden="1">
      <c r="A63" s="23">
        <v>6240</v>
      </c>
      <c r="B63" s="26"/>
      <c r="C63" s="25"/>
    </row>
    <row r="64" spans="1:3" ht="15.75" hidden="1">
      <c r="A64" s="23">
        <v>6290</v>
      </c>
      <c r="B64" s="26"/>
      <c r="C64" s="25"/>
    </row>
    <row r="65" spans="1:3" ht="15.75">
      <c r="A65" s="23">
        <v>5121</v>
      </c>
      <c r="B65" s="26" t="s">
        <v>32</v>
      </c>
      <c r="C65" s="25">
        <v>0.95</v>
      </c>
    </row>
    <row r="66" spans="1:3" ht="15.75">
      <c r="A66" s="23">
        <v>5232</v>
      </c>
      <c r="B66" s="26" t="s">
        <v>33</v>
      </c>
      <c r="C66" s="25">
        <v>1.43</v>
      </c>
    </row>
    <row r="67" spans="1:3" ht="15.75">
      <c r="A67" s="23">
        <v>5238</v>
      </c>
      <c r="B67" s="26" t="s">
        <v>35</v>
      </c>
      <c r="C67" s="25">
        <v>0.1</v>
      </c>
    </row>
    <row r="68" spans="1:3" ht="15.75">
      <c r="A68" s="23">
        <v>5240</v>
      </c>
      <c r="B68" s="26" t="s">
        <v>36</v>
      </c>
      <c r="C68" s="25">
        <v>0</v>
      </c>
    </row>
    <row r="69" spans="1:3" ht="15.75">
      <c r="A69" s="22">
        <v>5250</v>
      </c>
      <c r="B69" s="26" t="s">
        <v>37</v>
      </c>
      <c r="C69" s="25">
        <v>0.25</v>
      </c>
    </row>
    <row r="70" spans="1:3" ht="15.75">
      <c r="A70" s="33"/>
      <c r="B70" s="34" t="s">
        <v>65</v>
      </c>
      <c r="C70" s="28">
        <f>SUM(C27:C69)</f>
        <v>54.249999999999986</v>
      </c>
    </row>
    <row r="71" spans="1:3" ht="15.75">
      <c r="A71" s="33"/>
      <c r="B71" s="34" t="s">
        <v>66</v>
      </c>
      <c r="C71" s="28">
        <f>C25+C70</f>
        <v>205.2</v>
      </c>
    </row>
    <row r="72" spans="1:3" ht="15.75">
      <c r="A72" s="9"/>
      <c r="B72" s="14"/>
      <c r="C72" s="62"/>
    </row>
    <row r="73" spans="1:3" ht="15.75">
      <c r="A73" s="212" t="s">
        <v>45</v>
      </c>
      <c r="B73" s="213"/>
      <c r="C73" s="17">
        <v>30</v>
      </c>
    </row>
    <row r="74" spans="1:3" ht="15.75">
      <c r="A74" s="212" t="s">
        <v>54</v>
      </c>
      <c r="B74" s="213"/>
      <c r="C74" s="164">
        <f>ROUND(C71/C73,2)</f>
        <v>6.84</v>
      </c>
    </row>
    <row r="75" spans="1:3" ht="15.75">
      <c r="A75" s="86"/>
      <c r="B75" s="87"/>
      <c r="C75" s="171"/>
    </row>
    <row r="76" spans="1:3" ht="15.75">
      <c r="A76" s="214" t="s">
        <v>46</v>
      </c>
      <c r="B76" s="215"/>
      <c r="C76" s="44"/>
    </row>
    <row r="77" spans="1:3" ht="15.75">
      <c r="A77" s="214" t="s">
        <v>56</v>
      </c>
      <c r="B77" s="215"/>
      <c r="C77" s="44"/>
    </row>
    <row r="78" spans="1:3" ht="15.75">
      <c r="A78" s="38" t="s">
        <v>47</v>
      </c>
      <c r="B78" s="38"/>
      <c r="C78" s="38"/>
    </row>
    <row r="79" spans="1:3" ht="15.75">
      <c r="A79" s="38"/>
      <c r="B79" s="38"/>
      <c r="C79" s="38"/>
    </row>
    <row r="80" spans="1:3" ht="15.75">
      <c r="A80" s="38"/>
      <c r="B80" s="39"/>
      <c r="C80" s="38"/>
    </row>
    <row r="81" spans="1:3" ht="15.75">
      <c r="A81" s="38"/>
      <c r="B81" s="101"/>
      <c r="C81" s="38"/>
    </row>
    <row r="82" spans="1:3" ht="15">
      <c r="A82" s="4"/>
      <c r="B82" s="61"/>
      <c r="C82" s="6"/>
    </row>
  </sheetData>
  <sheetProtection/>
  <mergeCells count="8">
    <mergeCell ref="A74:B74"/>
    <mergeCell ref="A76:B76"/>
    <mergeCell ref="A77:B77"/>
    <mergeCell ref="B8:C8"/>
    <mergeCell ref="A2:C2"/>
    <mergeCell ref="A3:B3"/>
    <mergeCell ref="A4:B4"/>
    <mergeCell ref="A73:B73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view="pageLayout" workbookViewId="0" topLeftCell="A53">
      <selection activeCell="B81" sqref="B81"/>
    </sheetView>
  </sheetViews>
  <sheetFormatPr defaultColWidth="9.140625" defaultRowHeight="12.75"/>
  <cols>
    <col min="1" max="1" width="12.8515625" style="1" customWidth="1"/>
    <col min="2" max="2" width="97.140625" style="1" customWidth="1"/>
    <col min="3" max="3" width="31.57421875" style="4" customWidth="1"/>
  </cols>
  <sheetData>
    <row r="1" spans="1:3" ht="15.75">
      <c r="A1" s="4"/>
      <c r="B1" s="75"/>
      <c r="C1" s="9"/>
    </row>
    <row r="2" spans="1:3" ht="18.75">
      <c r="A2" s="193" t="s">
        <v>6</v>
      </c>
      <c r="B2" s="193"/>
      <c r="C2" s="193"/>
    </row>
    <row r="3" spans="1:3" ht="15.75">
      <c r="A3" s="195" t="s">
        <v>1</v>
      </c>
      <c r="B3" s="195"/>
      <c r="C3" s="14"/>
    </row>
    <row r="4" spans="1:3" ht="15.75">
      <c r="A4" s="195" t="s">
        <v>0</v>
      </c>
      <c r="B4" s="195"/>
      <c r="C4" s="14"/>
    </row>
    <row r="5" spans="1:3" ht="15.75">
      <c r="A5" s="8"/>
      <c r="B5" s="8" t="s">
        <v>44</v>
      </c>
      <c r="C5" s="14"/>
    </row>
    <row r="6" spans="1:3" ht="15.75">
      <c r="A6" s="8"/>
      <c r="B6" s="8" t="s">
        <v>112</v>
      </c>
      <c r="C6" s="14"/>
    </row>
    <row r="7" spans="1:3" ht="15.75">
      <c r="A7" s="8"/>
      <c r="B7" s="8" t="s">
        <v>208</v>
      </c>
      <c r="C7" s="14"/>
    </row>
    <row r="8" spans="1:3" ht="15.75">
      <c r="A8" s="8"/>
      <c r="B8" s="195" t="s">
        <v>241</v>
      </c>
      <c r="C8" s="210"/>
    </row>
    <row r="9" spans="1:3" ht="15.75">
      <c r="A9" s="8" t="s">
        <v>2</v>
      </c>
      <c r="B9" s="8" t="s">
        <v>205</v>
      </c>
      <c r="C9" s="14"/>
    </row>
    <row r="10" spans="1:3" ht="15.75" hidden="1">
      <c r="A10" s="15"/>
      <c r="B10" s="16"/>
      <c r="C10" s="14"/>
    </row>
    <row r="11" spans="1:3" ht="47.25">
      <c r="A11" s="59" t="s">
        <v>3</v>
      </c>
      <c r="B11" s="59" t="s">
        <v>4</v>
      </c>
      <c r="C11" s="59" t="s">
        <v>5</v>
      </c>
    </row>
    <row r="12" spans="1:3" ht="15.75">
      <c r="A12" s="18">
        <v>1</v>
      </c>
      <c r="B12" s="19">
        <v>2</v>
      </c>
      <c r="C12" s="19">
        <v>3</v>
      </c>
    </row>
    <row r="13" spans="1:3" ht="15.75">
      <c r="A13" s="172"/>
      <c r="B13" s="21" t="s">
        <v>68</v>
      </c>
      <c r="C13" s="173"/>
    </row>
    <row r="14" spans="1:3" ht="15.75">
      <c r="A14" s="23">
        <v>1100</v>
      </c>
      <c r="B14" s="24" t="s">
        <v>59</v>
      </c>
      <c r="C14" s="25">
        <v>112.8</v>
      </c>
    </row>
    <row r="15" spans="1:3" ht="16.5" customHeight="1">
      <c r="A15" s="23">
        <v>1200</v>
      </c>
      <c r="B15" s="26" t="s">
        <v>210</v>
      </c>
      <c r="C15" s="25">
        <v>27.17</v>
      </c>
    </row>
    <row r="16" spans="1:3" ht="15.75">
      <c r="A16" s="23">
        <v>2222</v>
      </c>
      <c r="B16" s="26" t="s">
        <v>39</v>
      </c>
      <c r="C16" s="25">
        <v>0.3</v>
      </c>
    </row>
    <row r="17" spans="1:3" ht="15.75">
      <c r="A17" s="22">
        <v>2244</v>
      </c>
      <c r="B17" s="26" t="s">
        <v>12</v>
      </c>
      <c r="C17" s="174">
        <v>4.8</v>
      </c>
    </row>
    <row r="18" spans="1:3" ht="15.75">
      <c r="A18" s="31">
        <v>2341</v>
      </c>
      <c r="B18" s="26" t="s">
        <v>23</v>
      </c>
      <c r="C18" s="25">
        <v>7.46</v>
      </c>
    </row>
    <row r="19" spans="1:3" ht="15.75">
      <c r="A19" s="23">
        <v>2223</v>
      </c>
      <c r="B19" s="26" t="s">
        <v>40</v>
      </c>
      <c r="C19" s="25">
        <v>5.02</v>
      </c>
    </row>
    <row r="20" spans="1:3" ht="15.75">
      <c r="A20" s="23">
        <v>2321</v>
      </c>
      <c r="B20" s="26" t="s">
        <v>21</v>
      </c>
      <c r="C20" s="25">
        <v>1.98</v>
      </c>
    </row>
    <row r="21" spans="1:3" ht="15.75">
      <c r="A21" s="23">
        <v>2243</v>
      </c>
      <c r="B21" s="26" t="s">
        <v>11</v>
      </c>
      <c r="C21" s="25">
        <v>0.3</v>
      </c>
    </row>
    <row r="22" spans="1:3" ht="15.75">
      <c r="A22" s="23">
        <v>5232</v>
      </c>
      <c r="B22" s="26" t="s">
        <v>33</v>
      </c>
      <c r="C22" s="25">
        <v>58.62</v>
      </c>
    </row>
    <row r="23" spans="1:3" ht="15.75">
      <c r="A23" s="23">
        <v>2312</v>
      </c>
      <c r="B23" s="26" t="s">
        <v>20</v>
      </c>
      <c r="C23" s="25">
        <v>4.31</v>
      </c>
    </row>
    <row r="24" spans="1:3" ht="15.75">
      <c r="A24" s="23">
        <v>2311</v>
      </c>
      <c r="B24" s="26" t="s">
        <v>19</v>
      </c>
      <c r="C24" s="25">
        <v>0.3</v>
      </c>
    </row>
    <row r="25" spans="1:3" ht="15.75">
      <c r="A25" s="22"/>
      <c r="B25" s="27" t="s">
        <v>67</v>
      </c>
      <c r="C25" s="28">
        <f>SUM(C14:C24)</f>
        <v>223.06000000000006</v>
      </c>
    </row>
    <row r="26" spans="1:3" ht="15.75">
      <c r="A26" s="29"/>
      <c r="B26" s="24" t="s">
        <v>61</v>
      </c>
      <c r="C26" s="28"/>
    </row>
    <row r="27" spans="1:3" ht="15.75">
      <c r="A27" s="23">
        <v>1100</v>
      </c>
      <c r="B27" s="24" t="s">
        <v>59</v>
      </c>
      <c r="C27" s="25">
        <v>34.87</v>
      </c>
    </row>
    <row r="28" spans="1:3" ht="15.75">
      <c r="A28" s="23">
        <v>1200</v>
      </c>
      <c r="B28" s="26" t="s">
        <v>60</v>
      </c>
      <c r="C28" s="25">
        <v>8.4</v>
      </c>
    </row>
    <row r="29" spans="1:3" ht="15.75">
      <c r="A29" s="31">
        <v>2210</v>
      </c>
      <c r="B29" s="26" t="s">
        <v>38</v>
      </c>
      <c r="C29" s="25">
        <v>0.43</v>
      </c>
    </row>
    <row r="30" spans="1:3" ht="15.75">
      <c r="A30" s="23">
        <v>2222</v>
      </c>
      <c r="B30" s="26" t="s">
        <v>39</v>
      </c>
      <c r="C30" s="25">
        <v>2.51</v>
      </c>
    </row>
    <row r="31" spans="1:3" ht="15.75">
      <c r="A31" s="23">
        <v>2223</v>
      </c>
      <c r="B31" s="26" t="s">
        <v>40</v>
      </c>
      <c r="C31" s="25">
        <v>4.87</v>
      </c>
    </row>
    <row r="32" spans="1:3" ht="15.75">
      <c r="A32" s="23">
        <v>2230</v>
      </c>
      <c r="B32" s="26" t="s">
        <v>41</v>
      </c>
      <c r="C32" s="25">
        <v>0.84</v>
      </c>
    </row>
    <row r="33" spans="1:3" ht="15.75">
      <c r="A33" s="23">
        <v>2241</v>
      </c>
      <c r="B33" s="26" t="s">
        <v>9</v>
      </c>
      <c r="C33" s="25">
        <v>0.96</v>
      </c>
    </row>
    <row r="34" spans="1:3" ht="15.75">
      <c r="A34" s="23">
        <v>2242</v>
      </c>
      <c r="B34" s="26" t="s">
        <v>10</v>
      </c>
      <c r="C34" s="25">
        <v>0.39</v>
      </c>
    </row>
    <row r="35" spans="1:3" ht="15.75">
      <c r="A35" s="23">
        <v>2243</v>
      </c>
      <c r="B35" s="26" t="s">
        <v>11</v>
      </c>
      <c r="C35" s="25">
        <v>1.61</v>
      </c>
    </row>
    <row r="36" spans="1:3" ht="15.75" hidden="1">
      <c r="A36" s="22">
        <v>2244</v>
      </c>
      <c r="B36" s="26" t="s">
        <v>12</v>
      </c>
      <c r="C36" s="174"/>
    </row>
    <row r="37" spans="1:3" ht="15.75">
      <c r="A37" s="22">
        <v>2247</v>
      </c>
      <c r="B37" s="21" t="s">
        <v>62</v>
      </c>
      <c r="C37" s="25">
        <v>0.37</v>
      </c>
    </row>
    <row r="38" spans="1:3" ht="15.75">
      <c r="A38" s="22">
        <v>2249</v>
      </c>
      <c r="B38" s="26" t="s">
        <v>13</v>
      </c>
      <c r="C38" s="25">
        <v>1.17</v>
      </c>
    </row>
    <row r="39" spans="1:3" ht="15.75">
      <c r="A39" s="22">
        <v>2251</v>
      </c>
      <c r="B39" s="26" t="s">
        <v>63</v>
      </c>
      <c r="C39" s="25">
        <v>0.89</v>
      </c>
    </row>
    <row r="40" spans="1:3" ht="15.75" hidden="1">
      <c r="A40" s="22">
        <v>2252</v>
      </c>
      <c r="B40" s="26" t="s">
        <v>7</v>
      </c>
      <c r="C40" s="25"/>
    </row>
    <row r="41" spans="1:3" ht="15.75" hidden="1">
      <c r="A41" s="22">
        <v>2259</v>
      </c>
      <c r="B41" s="26" t="s">
        <v>8</v>
      </c>
      <c r="C41" s="25"/>
    </row>
    <row r="42" spans="1:3" ht="15.75">
      <c r="A42" s="22">
        <v>2261</v>
      </c>
      <c r="B42" s="26" t="s">
        <v>14</v>
      </c>
      <c r="C42" s="25">
        <v>0.4</v>
      </c>
    </row>
    <row r="43" spans="1:3" ht="15.75">
      <c r="A43" s="22">
        <v>2262</v>
      </c>
      <c r="B43" s="26" t="s">
        <v>15</v>
      </c>
      <c r="C43" s="25">
        <v>0.56</v>
      </c>
    </row>
    <row r="44" spans="1:3" ht="15.75">
      <c r="A44" s="22">
        <v>2263</v>
      </c>
      <c r="B44" s="26" t="s">
        <v>16</v>
      </c>
      <c r="C44" s="25">
        <v>2.81</v>
      </c>
    </row>
    <row r="45" spans="1:3" ht="15.75" hidden="1">
      <c r="A45" s="23">
        <v>2264</v>
      </c>
      <c r="B45" s="26" t="s">
        <v>17</v>
      </c>
      <c r="C45" s="25"/>
    </row>
    <row r="46" spans="1:3" ht="15.75">
      <c r="A46" s="23">
        <v>2279</v>
      </c>
      <c r="B46" s="26" t="s">
        <v>18</v>
      </c>
      <c r="C46" s="25">
        <v>2.23</v>
      </c>
    </row>
    <row r="47" spans="1:3" ht="15.75">
      <c r="A47" s="23">
        <v>2311</v>
      </c>
      <c r="B47" s="26" t="s">
        <v>19</v>
      </c>
      <c r="C47" s="25">
        <v>0.23</v>
      </c>
    </row>
    <row r="48" spans="1:3" ht="15.75">
      <c r="A48" s="23">
        <v>2312</v>
      </c>
      <c r="B48" s="26" t="s">
        <v>20</v>
      </c>
      <c r="C48" s="25">
        <v>0.25</v>
      </c>
    </row>
    <row r="49" spans="1:3" ht="15.75">
      <c r="A49" s="23">
        <v>2321</v>
      </c>
      <c r="B49" s="26" t="s">
        <v>21</v>
      </c>
      <c r="C49" s="25">
        <v>2.87</v>
      </c>
    </row>
    <row r="50" spans="1:3" ht="15.75">
      <c r="A50" s="23">
        <v>2322</v>
      </c>
      <c r="B50" s="26" t="s">
        <v>22</v>
      </c>
      <c r="C50" s="25">
        <v>0.91</v>
      </c>
    </row>
    <row r="51" spans="1:3" ht="15.75">
      <c r="A51" s="23">
        <v>2341</v>
      </c>
      <c r="B51" s="26" t="s">
        <v>23</v>
      </c>
      <c r="C51" s="25">
        <v>0.48</v>
      </c>
    </row>
    <row r="52" spans="1:3" ht="15.75" hidden="1">
      <c r="A52" s="23">
        <v>2344</v>
      </c>
      <c r="B52" s="26" t="s">
        <v>24</v>
      </c>
      <c r="C52" s="25"/>
    </row>
    <row r="53" spans="1:3" ht="15.75">
      <c r="A53" s="23">
        <v>2350</v>
      </c>
      <c r="B53" s="26" t="s">
        <v>25</v>
      </c>
      <c r="C53" s="25">
        <v>1.21</v>
      </c>
    </row>
    <row r="54" spans="1:3" ht="15.75">
      <c r="A54" s="23">
        <v>2361</v>
      </c>
      <c r="B54" s="26" t="s">
        <v>26</v>
      </c>
      <c r="C54" s="25">
        <v>1.01</v>
      </c>
    </row>
    <row r="55" spans="1:3" ht="15.75" hidden="1">
      <c r="A55" s="23">
        <v>2362</v>
      </c>
      <c r="B55" s="26" t="s">
        <v>27</v>
      </c>
      <c r="C55" s="25"/>
    </row>
    <row r="56" spans="1:3" ht="15.75" hidden="1">
      <c r="A56" s="23">
        <v>2363</v>
      </c>
      <c r="B56" s="26" t="s">
        <v>28</v>
      </c>
      <c r="C56" s="25"/>
    </row>
    <row r="57" spans="1:3" ht="15.75" hidden="1">
      <c r="A57" s="23">
        <v>2370</v>
      </c>
      <c r="B57" s="26" t="s">
        <v>29</v>
      </c>
      <c r="C57" s="25"/>
    </row>
    <row r="58" spans="1:3" ht="15.75">
      <c r="A58" s="23">
        <v>2400</v>
      </c>
      <c r="B58" s="26" t="s">
        <v>43</v>
      </c>
      <c r="C58" s="25">
        <v>0.17</v>
      </c>
    </row>
    <row r="59" spans="1:3" ht="15.75" hidden="1">
      <c r="A59" s="23">
        <v>2512</v>
      </c>
      <c r="B59" s="26" t="s">
        <v>30</v>
      </c>
      <c r="C59" s="25"/>
    </row>
    <row r="60" spans="1:3" ht="15.75">
      <c r="A60" s="23">
        <v>2513</v>
      </c>
      <c r="B60" s="26" t="s">
        <v>31</v>
      </c>
      <c r="C60" s="25">
        <v>1.21</v>
      </c>
    </row>
    <row r="61" spans="1:3" ht="15.75">
      <c r="A61" s="23">
        <v>2515</v>
      </c>
      <c r="B61" s="26" t="s">
        <v>64</v>
      </c>
      <c r="C61" s="25">
        <v>0.5</v>
      </c>
    </row>
    <row r="62" spans="1:3" ht="15.75">
      <c r="A62" s="23">
        <v>2519</v>
      </c>
      <c r="B62" s="26" t="s">
        <v>34</v>
      </c>
      <c r="C62" s="25">
        <v>0.65</v>
      </c>
    </row>
    <row r="63" spans="1:3" ht="15.75" hidden="1">
      <c r="A63" s="23">
        <v>6240</v>
      </c>
      <c r="B63" s="26"/>
      <c r="C63" s="25"/>
    </row>
    <row r="64" spans="1:3" ht="15.75" hidden="1">
      <c r="A64" s="23">
        <v>6290</v>
      </c>
      <c r="B64" s="26"/>
      <c r="C64" s="25"/>
    </row>
    <row r="65" spans="1:3" ht="15.75">
      <c r="A65" s="23">
        <v>5121</v>
      </c>
      <c r="B65" s="26" t="s">
        <v>32</v>
      </c>
      <c r="C65" s="25">
        <v>1.2</v>
      </c>
    </row>
    <row r="66" spans="1:3" ht="15.75">
      <c r="A66" s="23">
        <v>5232</v>
      </c>
      <c r="B66" s="26" t="s">
        <v>33</v>
      </c>
      <c r="C66" s="25">
        <v>3.44</v>
      </c>
    </row>
    <row r="67" spans="1:3" ht="15.75">
      <c r="A67" s="23">
        <v>5238</v>
      </c>
      <c r="B67" s="26" t="s">
        <v>35</v>
      </c>
      <c r="C67" s="25">
        <v>2.55</v>
      </c>
    </row>
    <row r="68" spans="1:3" ht="15.75">
      <c r="A68" s="23">
        <v>5240</v>
      </c>
      <c r="B68" s="26" t="s">
        <v>36</v>
      </c>
      <c r="C68" s="25">
        <v>0</v>
      </c>
    </row>
    <row r="69" spans="1:3" ht="15.75">
      <c r="A69" s="22">
        <v>5250</v>
      </c>
      <c r="B69" s="26" t="s">
        <v>37</v>
      </c>
      <c r="C69" s="25">
        <v>0.25</v>
      </c>
    </row>
    <row r="70" spans="1:3" ht="15.75">
      <c r="A70" s="33"/>
      <c r="B70" s="34" t="s">
        <v>65</v>
      </c>
      <c r="C70" s="28">
        <f>SUM(C27:C69)</f>
        <v>80.24</v>
      </c>
    </row>
    <row r="71" spans="1:3" ht="15.75">
      <c r="A71" s="33"/>
      <c r="B71" s="34" t="s">
        <v>66</v>
      </c>
      <c r="C71" s="28">
        <f>C25+C70</f>
        <v>303.30000000000007</v>
      </c>
    </row>
    <row r="72" spans="1:3" ht="15.75">
      <c r="A72" s="9"/>
      <c r="B72" s="14"/>
      <c r="C72" s="62"/>
    </row>
    <row r="73" spans="1:3" ht="15.75">
      <c r="A73" s="212" t="s">
        <v>45</v>
      </c>
      <c r="B73" s="213"/>
      <c r="C73" s="17">
        <v>30</v>
      </c>
    </row>
    <row r="74" spans="1:3" ht="15.75">
      <c r="A74" s="212" t="s">
        <v>54</v>
      </c>
      <c r="B74" s="213"/>
      <c r="C74" s="164">
        <f>ROUND(C71/C73,2)</f>
        <v>10.11</v>
      </c>
    </row>
    <row r="75" spans="1:3" ht="15.75">
      <c r="A75" s="86"/>
      <c r="B75" s="87"/>
      <c r="C75" s="171"/>
    </row>
    <row r="76" spans="1:3" ht="15.75">
      <c r="A76" s="214" t="s">
        <v>46</v>
      </c>
      <c r="B76" s="215"/>
      <c r="C76" s="44"/>
    </row>
    <row r="77" spans="1:3" ht="15.75">
      <c r="A77" s="214" t="s">
        <v>56</v>
      </c>
      <c r="B77" s="215"/>
      <c r="C77" s="44"/>
    </row>
    <row r="78" spans="1:3" ht="15.75">
      <c r="A78" s="38" t="s">
        <v>47</v>
      </c>
      <c r="B78" s="38"/>
      <c r="C78" s="38"/>
    </row>
    <row r="79" spans="1:3" ht="15.75">
      <c r="A79" s="38"/>
      <c r="B79" s="38"/>
      <c r="C79" s="38"/>
    </row>
    <row r="80" spans="1:3" ht="15.75">
      <c r="A80" s="38"/>
      <c r="B80" s="39"/>
      <c r="C80" s="38"/>
    </row>
    <row r="81" spans="1:3" ht="15.75">
      <c r="A81" s="38"/>
      <c r="B81" s="101"/>
      <c r="C81" s="38"/>
    </row>
    <row r="82" spans="1:3" ht="15">
      <c r="A82" s="4"/>
      <c r="B82" s="61"/>
      <c r="C82" s="6"/>
    </row>
  </sheetData>
  <sheetProtection/>
  <mergeCells count="8">
    <mergeCell ref="A74:B74"/>
    <mergeCell ref="A76:B76"/>
    <mergeCell ref="A77:B77"/>
    <mergeCell ref="B8:C8"/>
    <mergeCell ref="A2:C2"/>
    <mergeCell ref="A3:B3"/>
    <mergeCell ref="A4:B4"/>
    <mergeCell ref="A73:B73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Layout" workbookViewId="0" topLeftCell="A1">
      <selection activeCell="B8" sqref="B8:E8"/>
    </sheetView>
  </sheetViews>
  <sheetFormatPr defaultColWidth="9.140625" defaultRowHeight="12.75"/>
  <cols>
    <col min="1" max="1" width="13.57421875" style="1" customWidth="1"/>
    <col min="2" max="2" width="95.28125" style="1" customWidth="1"/>
    <col min="3" max="3" width="14.8515625" style="1" hidden="1" customWidth="1"/>
    <col min="4" max="4" width="16.140625" style="1" hidden="1" customWidth="1"/>
    <col min="5" max="5" width="21.57421875" style="1" hidden="1" customWidth="1"/>
    <col min="6" max="7" width="21.57421875" style="4" hidden="1" customWidth="1"/>
    <col min="8" max="8" width="32.140625" style="4" customWidth="1"/>
  </cols>
  <sheetData>
    <row r="1" spans="1:8" ht="15.75">
      <c r="A1" s="4"/>
      <c r="B1" s="12"/>
      <c r="C1" s="12"/>
      <c r="D1" s="12"/>
      <c r="E1" s="76"/>
      <c r="F1" s="76"/>
      <c r="G1" s="76"/>
      <c r="H1" s="9"/>
    </row>
    <row r="2" spans="1:8" ht="15">
      <c r="A2" s="4"/>
      <c r="B2" s="220"/>
      <c r="C2" s="220"/>
      <c r="D2" s="220"/>
      <c r="E2" s="220"/>
      <c r="F2" s="227"/>
      <c r="G2" s="147"/>
      <c r="H2" s="1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1:8" ht="15">
      <c r="A4" s="4"/>
      <c r="B4" s="218"/>
      <c r="C4" s="218"/>
      <c r="D4" s="218"/>
      <c r="E4" s="218"/>
      <c r="F4" s="2"/>
      <c r="G4" s="2"/>
      <c r="H4" s="2"/>
    </row>
    <row r="5" spans="1:8" ht="15.75">
      <c r="A5" s="195" t="s">
        <v>1</v>
      </c>
      <c r="B5" s="195"/>
      <c r="C5" s="195"/>
      <c r="D5" s="195"/>
      <c r="E5" s="195"/>
      <c r="F5" s="14"/>
      <c r="G5" s="14"/>
      <c r="H5" s="14"/>
    </row>
    <row r="6" spans="1:8" ht="15.75">
      <c r="A6" s="195" t="s">
        <v>0</v>
      </c>
      <c r="B6" s="195"/>
      <c r="C6" s="195"/>
      <c r="D6" s="195"/>
      <c r="E6" s="195"/>
      <c r="F6" s="14"/>
      <c r="G6" s="14"/>
      <c r="H6" s="14"/>
    </row>
    <row r="7" spans="1:8" ht="15.75">
      <c r="A7" s="8"/>
      <c r="B7" s="195" t="s">
        <v>44</v>
      </c>
      <c r="C7" s="195"/>
      <c r="D7" s="195"/>
      <c r="E7" s="195"/>
      <c r="F7" s="14"/>
      <c r="G7" s="14"/>
      <c r="H7" s="14"/>
    </row>
    <row r="8" spans="1:8" ht="15.75">
      <c r="A8" s="8"/>
      <c r="B8" s="195" t="s">
        <v>112</v>
      </c>
      <c r="C8" s="195"/>
      <c r="D8" s="195"/>
      <c r="E8" s="195"/>
      <c r="F8" s="14"/>
      <c r="G8" s="14"/>
      <c r="H8" s="14"/>
    </row>
    <row r="9" spans="1:8" ht="15.75">
      <c r="A9" s="8"/>
      <c r="B9" s="195" t="s">
        <v>115</v>
      </c>
      <c r="C9" s="195"/>
      <c r="D9" s="195"/>
      <c r="E9" s="195"/>
      <c r="F9" s="14"/>
      <c r="G9" s="14"/>
      <c r="H9" s="14"/>
    </row>
    <row r="10" spans="1:8" ht="15.75">
      <c r="A10" s="8" t="s">
        <v>2</v>
      </c>
      <c r="B10" s="8" t="s">
        <v>205</v>
      </c>
      <c r="C10" s="8"/>
      <c r="D10" s="8"/>
      <c r="E10" s="8"/>
      <c r="F10" s="14"/>
      <c r="G10" s="14"/>
      <c r="H10" s="14"/>
    </row>
    <row r="11" spans="1:8" ht="15.75" hidden="1">
      <c r="A11" s="15"/>
      <c r="B11" s="16"/>
      <c r="C11" s="16"/>
      <c r="D11" s="16"/>
      <c r="E11" s="77"/>
      <c r="F11" s="14"/>
      <c r="G11" s="14"/>
      <c r="H11" s="14"/>
    </row>
    <row r="12" spans="1:8" ht="47.25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9"/>
      <c r="D13" s="19"/>
      <c r="E13" s="18">
        <v>3</v>
      </c>
      <c r="F13" s="19">
        <v>4</v>
      </c>
      <c r="G13" s="19"/>
      <c r="H13" s="19">
        <v>3</v>
      </c>
    </row>
    <row r="14" spans="1:8" ht="15.75">
      <c r="A14" s="20"/>
      <c r="B14" s="45" t="s">
        <v>71</v>
      </c>
      <c r="C14" s="45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223.25</v>
      </c>
      <c r="D15" s="68">
        <f>ROUND(C15/0.702804,2)</f>
        <v>317.66</v>
      </c>
      <c r="E15" s="25">
        <f>ROUND(D15/569*25,2)</f>
        <v>13.96</v>
      </c>
      <c r="F15" s="25">
        <v>14.52</v>
      </c>
      <c r="G15" s="25">
        <v>18.44</v>
      </c>
      <c r="H15" s="25">
        <f>G15/25*30+30*0.016</f>
        <v>22.608</v>
      </c>
    </row>
    <row r="16" spans="1:8" ht="31.5">
      <c r="A16" s="23">
        <v>1200</v>
      </c>
      <c r="B16" s="32" t="s">
        <v>73</v>
      </c>
      <c r="C16" s="25">
        <v>52.67</v>
      </c>
      <c r="D16" s="68">
        <f>ROUND(C16/0.702804,2)</f>
        <v>74.94</v>
      </c>
      <c r="E16" s="25">
        <f>ROUND(D16/569*25,2)</f>
        <v>3.29</v>
      </c>
      <c r="F16" s="25">
        <v>3.43</v>
      </c>
      <c r="G16" s="25">
        <v>4.44</v>
      </c>
      <c r="H16" s="25">
        <f>G16/25*30+30*0.004</f>
        <v>5.448</v>
      </c>
    </row>
    <row r="17" spans="1:8" ht="15.75" hidden="1">
      <c r="A17" s="23">
        <v>2222</v>
      </c>
      <c r="B17" s="32" t="s">
        <v>39</v>
      </c>
      <c r="C17" s="25"/>
      <c r="D17" s="68">
        <f>ROUND(C17/0.702804,2)</f>
        <v>0</v>
      </c>
      <c r="E17" s="25">
        <f>ROUND(D17/569*25,2)</f>
        <v>0</v>
      </c>
      <c r="F17" s="25">
        <f>E17</f>
        <v>0</v>
      </c>
      <c r="G17" s="25">
        <f>F17</f>
        <v>0</v>
      </c>
      <c r="H17" s="25">
        <f aca="true" t="shared" si="0" ref="H17:H23">G17/25*30</f>
        <v>0</v>
      </c>
    </row>
    <row r="18" spans="1:8" ht="15.75" hidden="1">
      <c r="A18" s="23">
        <v>2243</v>
      </c>
      <c r="B18" s="109" t="s">
        <v>103</v>
      </c>
      <c r="C18" s="25"/>
      <c r="D18" s="68">
        <f>ROUND(C18/0.702804,2)</f>
        <v>0</v>
      </c>
      <c r="E18" s="25">
        <f>ROUND(D18/569*25,2)</f>
        <v>0</v>
      </c>
      <c r="F18" s="25">
        <f>E18</f>
        <v>0</v>
      </c>
      <c r="G18" s="25">
        <f aca="true" t="shared" si="1" ref="G18:G23">F18</f>
        <v>0</v>
      </c>
      <c r="H18" s="25">
        <f t="shared" si="0"/>
        <v>0</v>
      </c>
    </row>
    <row r="19" spans="1:8" ht="15.75">
      <c r="A19" s="23">
        <v>2341</v>
      </c>
      <c r="B19" s="32" t="s">
        <v>23</v>
      </c>
      <c r="C19" s="25">
        <v>8.17</v>
      </c>
      <c r="D19" s="68">
        <f>ROUND(C19/0.702804,2)</f>
        <v>11.62</v>
      </c>
      <c r="E19" s="25">
        <f>ROUND(D19/569*25,2)</f>
        <v>0.51</v>
      </c>
      <c r="F19" s="25">
        <f>E19</f>
        <v>0.51</v>
      </c>
      <c r="G19" s="25">
        <f t="shared" si="1"/>
        <v>0.51</v>
      </c>
      <c r="H19" s="25">
        <f t="shared" si="0"/>
        <v>0.6120000000000001</v>
      </c>
    </row>
    <row r="20" spans="1:8" ht="15.75" hidden="1">
      <c r="A20" s="23">
        <v>2350</v>
      </c>
      <c r="B20" s="32" t="s">
        <v>25</v>
      </c>
      <c r="C20" s="105"/>
      <c r="D20" s="32"/>
      <c r="E20" s="105"/>
      <c r="F20" s="25">
        <f>E20/21854*400</f>
        <v>0</v>
      </c>
      <c r="G20" s="25">
        <f t="shared" si="1"/>
        <v>0</v>
      </c>
      <c r="H20" s="25">
        <f t="shared" si="0"/>
        <v>0</v>
      </c>
    </row>
    <row r="21" spans="1:8" ht="15.75" hidden="1">
      <c r="A21" s="23"/>
      <c r="B21" s="32"/>
      <c r="C21" s="105"/>
      <c r="D21" s="32"/>
      <c r="E21" s="105"/>
      <c r="F21" s="25">
        <f>E21/21854*400</f>
        <v>0</v>
      </c>
      <c r="G21" s="25">
        <f t="shared" si="1"/>
        <v>0</v>
      </c>
      <c r="H21" s="25">
        <f t="shared" si="0"/>
        <v>0</v>
      </c>
    </row>
    <row r="22" spans="1:8" ht="15.75" hidden="1">
      <c r="A22" s="23"/>
      <c r="B22" s="32"/>
      <c r="C22" s="105"/>
      <c r="D22" s="32"/>
      <c r="E22" s="105"/>
      <c r="F22" s="25">
        <f>E22/21854*400</f>
        <v>0</v>
      </c>
      <c r="G22" s="25">
        <f t="shared" si="1"/>
        <v>0</v>
      </c>
      <c r="H22" s="25">
        <f t="shared" si="0"/>
        <v>0</v>
      </c>
    </row>
    <row r="23" spans="1:8" ht="15.75" hidden="1">
      <c r="A23" s="23"/>
      <c r="B23" s="23"/>
      <c r="C23" s="25"/>
      <c r="D23" s="23"/>
      <c r="E23" s="25"/>
      <c r="F23" s="25">
        <f>E23/21854*400</f>
        <v>0</v>
      </c>
      <c r="G23" s="25">
        <f t="shared" si="1"/>
        <v>0</v>
      </c>
      <c r="H23" s="25">
        <f t="shared" si="0"/>
        <v>0</v>
      </c>
    </row>
    <row r="24" spans="1:8" ht="15.75">
      <c r="A24" s="23"/>
      <c r="B24" s="46" t="s">
        <v>74</v>
      </c>
      <c r="C24" s="28">
        <f aca="true" t="shared" si="2" ref="C24:H24">SUM(C15:C23)</f>
        <v>284.09000000000003</v>
      </c>
      <c r="D24" s="28">
        <f t="shared" si="2"/>
        <v>404.22</v>
      </c>
      <c r="E24" s="28">
        <f t="shared" si="2"/>
        <v>17.76</v>
      </c>
      <c r="F24" s="28">
        <f t="shared" si="2"/>
        <v>18.46</v>
      </c>
      <c r="G24" s="28">
        <f t="shared" si="2"/>
        <v>23.390000000000004</v>
      </c>
      <c r="H24" s="28">
        <f t="shared" si="2"/>
        <v>28.668</v>
      </c>
    </row>
    <row r="25" spans="1:8" ht="15.75">
      <c r="A25" s="29"/>
      <c r="B25" s="23" t="s">
        <v>75</v>
      </c>
      <c r="C25" s="25"/>
      <c r="D25" s="23"/>
      <c r="E25" s="25"/>
      <c r="F25" s="28"/>
      <c r="G25" s="28"/>
      <c r="H25" s="28"/>
    </row>
    <row r="26" spans="1:8" ht="15.75">
      <c r="A26" s="23">
        <v>1100</v>
      </c>
      <c r="B26" s="23" t="s">
        <v>72</v>
      </c>
      <c r="C26" s="25">
        <v>209.56</v>
      </c>
      <c r="D26" s="68">
        <f aca="true" t="shared" si="3" ref="D26:D65">ROUND(C26/0.702804,2)</f>
        <v>298.18</v>
      </c>
      <c r="E26" s="25">
        <f aca="true" t="shared" si="4" ref="E26:E64">ROUND(D26/569*25,2)</f>
        <v>13.1</v>
      </c>
      <c r="F26" s="25">
        <v>13.49</v>
      </c>
      <c r="G26" s="25">
        <v>13.43</v>
      </c>
      <c r="H26" s="25">
        <f aca="true" t="shared" si="5" ref="H26:H69">G26/25*30</f>
        <v>16.116</v>
      </c>
    </row>
    <row r="27" spans="1:8" ht="18" customHeight="1">
      <c r="A27" s="23">
        <v>1200</v>
      </c>
      <c r="B27" s="32" t="s">
        <v>73</v>
      </c>
      <c r="C27" s="47">
        <v>49.44</v>
      </c>
      <c r="D27" s="68">
        <f t="shared" si="3"/>
        <v>70.35</v>
      </c>
      <c r="E27" s="25">
        <f t="shared" si="4"/>
        <v>3.09</v>
      </c>
      <c r="F27" s="25">
        <v>3.18</v>
      </c>
      <c r="G27" s="25">
        <v>3.24</v>
      </c>
      <c r="H27" s="25">
        <f t="shared" si="5"/>
        <v>3.888000000000001</v>
      </c>
    </row>
    <row r="28" spans="1:8" ht="15.75" hidden="1">
      <c r="A28" s="23">
        <v>2100</v>
      </c>
      <c r="B28" s="30" t="s">
        <v>42</v>
      </c>
      <c r="C28" s="25"/>
      <c r="D28" s="68">
        <f t="shared" si="3"/>
        <v>0</v>
      </c>
      <c r="E28" s="25">
        <f t="shared" si="4"/>
        <v>0</v>
      </c>
      <c r="F28" s="25">
        <f aca="true" t="shared" si="6" ref="F28:F64">E28</f>
        <v>0</v>
      </c>
      <c r="G28" s="25">
        <f aca="true" t="shared" si="7" ref="G28:G69">F28</f>
        <v>0</v>
      </c>
      <c r="H28" s="25">
        <f t="shared" si="5"/>
        <v>0</v>
      </c>
    </row>
    <row r="29" spans="1:8" ht="15.75">
      <c r="A29" s="31">
        <v>2210</v>
      </c>
      <c r="B29" s="32" t="s">
        <v>38</v>
      </c>
      <c r="C29" s="25">
        <v>3</v>
      </c>
      <c r="D29" s="68">
        <f t="shared" si="3"/>
        <v>4.27</v>
      </c>
      <c r="E29" s="25">
        <f t="shared" si="4"/>
        <v>0.19</v>
      </c>
      <c r="F29" s="25">
        <f t="shared" si="6"/>
        <v>0.19</v>
      </c>
      <c r="G29" s="25">
        <f t="shared" si="7"/>
        <v>0.19</v>
      </c>
      <c r="H29" s="25">
        <f t="shared" si="5"/>
        <v>0.228</v>
      </c>
    </row>
    <row r="30" spans="1:8" ht="15.75">
      <c r="A30" s="23">
        <v>2222</v>
      </c>
      <c r="B30" s="32" t="s">
        <v>39</v>
      </c>
      <c r="C30" s="25">
        <v>2</v>
      </c>
      <c r="D30" s="68">
        <f t="shared" si="3"/>
        <v>2.85</v>
      </c>
      <c r="E30" s="25">
        <f t="shared" si="4"/>
        <v>0.13</v>
      </c>
      <c r="F30" s="25">
        <f t="shared" si="6"/>
        <v>0.13</v>
      </c>
      <c r="G30" s="25">
        <f t="shared" si="7"/>
        <v>0.13</v>
      </c>
      <c r="H30" s="25">
        <f t="shared" si="5"/>
        <v>0.156</v>
      </c>
    </row>
    <row r="31" spans="1:8" ht="15.75">
      <c r="A31" s="23">
        <v>2223</v>
      </c>
      <c r="B31" s="32" t="s">
        <v>40</v>
      </c>
      <c r="C31" s="25">
        <v>3</v>
      </c>
      <c r="D31" s="68">
        <f t="shared" si="3"/>
        <v>4.27</v>
      </c>
      <c r="E31" s="25">
        <f t="shared" si="4"/>
        <v>0.19</v>
      </c>
      <c r="F31" s="25">
        <f t="shared" si="6"/>
        <v>0.19</v>
      </c>
      <c r="G31" s="25">
        <f t="shared" si="7"/>
        <v>0.19</v>
      </c>
      <c r="H31" s="25">
        <f t="shared" si="5"/>
        <v>0.228</v>
      </c>
    </row>
    <row r="32" spans="1:8" ht="15.75">
      <c r="A32" s="23">
        <v>2230</v>
      </c>
      <c r="B32" s="32" t="s">
        <v>41</v>
      </c>
      <c r="C32" s="25">
        <v>1</v>
      </c>
      <c r="D32" s="68">
        <f t="shared" si="3"/>
        <v>1.42</v>
      </c>
      <c r="E32" s="25">
        <f t="shared" si="4"/>
        <v>0.06</v>
      </c>
      <c r="F32" s="25">
        <f t="shared" si="6"/>
        <v>0.06</v>
      </c>
      <c r="G32" s="25">
        <f t="shared" si="7"/>
        <v>0.06</v>
      </c>
      <c r="H32" s="25">
        <f t="shared" si="5"/>
        <v>0.072</v>
      </c>
    </row>
    <row r="33" spans="1:8" ht="15.75" hidden="1">
      <c r="A33" s="23">
        <v>2241</v>
      </c>
      <c r="B33" s="32" t="s">
        <v>9</v>
      </c>
      <c r="C33" s="25"/>
      <c r="D33" s="68">
        <f t="shared" si="3"/>
        <v>0</v>
      </c>
      <c r="E33" s="25">
        <f t="shared" si="4"/>
        <v>0</v>
      </c>
      <c r="F33" s="25">
        <f t="shared" si="6"/>
        <v>0</v>
      </c>
      <c r="G33" s="25">
        <f t="shared" si="7"/>
        <v>0</v>
      </c>
      <c r="H33" s="25">
        <f t="shared" si="5"/>
        <v>0</v>
      </c>
    </row>
    <row r="34" spans="1:8" ht="15.75" hidden="1">
      <c r="A34" s="23">
        <v>2242</v>
      </c>
      <c r="B34" s="32" t="s">
        <v>10</v>
      </c>
      <c r="C34" s="25">
        <v>0</v>
      </c>
      <c r="D34" s="68">
        <f t="shared" si="3"/>
        <v>0</v>
      </c>
      <c r="E34" s="25">
        <f t="shared" si="4"/>
        <v>0</v>
      </c>
      <c r="F34" s="25">
        <f t="shared" si="6"/>
        <v>0</v>
      </c>
      <c r="G34" s="25">
        <f t="shared" si="7"/>
        <v>0</v>
      </c>
      <c r="H34" s="25">
        <f t="shared" si="5"/>
        <v>0</v>
      </c>
    </row>
    <row r="35" spans="1:8" ht="15.75">
      <c r="A35" s="23">
        <v>2243</v>
      </c>
      <c r="B35" s="32" t="s">
        <v>11</v>
      </c>
      <c r="C35" s="25">
        <v>4</v>
      </c>
      <c r="D35" s="68">
        <f t="shared" si="3"/>
        <v>5.69</v>
      </c>
      <c r="E35" s="25">
        <f t="shared" si="4"/>
        <v>0.25</v>
      </c>
      <c r="F35" s="25">
        <f t="shared" si="6"/>
        <v>0.25</v>
      </c>
      <c r="G35" s="25">
        <f t="shared" si="7"/>
        <v>0.25</v>
      </c>
      <c r="H35" s="25">
        <f t="shared" si="5"/>
        <v>0.3</v>
      </c>
    </row>
    <row r="36" spans="1:8" ht="15.75">
      <c r="A36" s="23">
        <v>2244</v>
      </c>
      <c r="B36" s="32" t="s">
        <v>12</v>
      </c>
      <c r="C36" s="25">
        <v>56</v>
      </c>
      <c r="D36" s="68">
        <f t="shared" si="3"/>
        <v>79.68</v>
      </c>
      <c r="E36" s="25">
        <f t="shared" si="4"/>
        <v>3.5</v>
      </c>
      <c r="F36" s="25">
        <f t="shared" si="6"/>
        <v>3.5</v>
      </c>
      <c r="G36" s="25">
        <f t="shared" si="7"/>
        <v>3.5</v>
      </c>
      <c r="H36" s="25">
        <f>G36/25*30+30*0.05</f>
        <v>5.7</v>
      </c>
    </row>
    <row r="37" spans="1:8" ht="15.75" hidden="1">
      <c r="A37" s="23">
        <v>2247</v>
      </c>
      <c r="B37" s="45" t="s">
        <v>76</v>
      </c>
      <c r="C37" s="25">
        <v>0</v>
      </c>
      <c r="D37" s="68">
        <f t="shared" si="3"/>
        <v>0</v>
      </c>
      <c r="E37" s="25">
        <f t="shared" si="4"/>
        <v>0</v>
      </c>
      <c r="F37" s="25">
        <f t="shared" si="6"/>
        <v>0</v>
      </c>
      <c r="G37" s="25">
        <f t="shared" si="7"/>
        <v>0</v>
      </c>
      <c r="H37" s="25">
        <f t="shared" si="5"/>
        <v>0</v>
      </c>
    </row>
    <row r="38" spans="1:8" ht="15.75">
      <c r="A38" s="23">
        <v>2249</v>
      </c>
      <c r="B38" s="32" t="s">
        <v>13</v>
      </c>
      <c r="C38" s="25">
        <v>1</v>
      </c>
      <c r="D38" s="68">
        <f t="shared" si="3"/>
        <v>1.42</v>
      </c>
      <c r="E38" s="25">
        <f t="shared" si="4"/>
        <v>0.06</v>
      </c>
      <c r="F38" s="25">
        <f t="shared" si="6"/>
        <v>0.06</v>
      </c>
      <c r="G38" s="25">
        <f t="shared" si="7"/>
        <v>0.06</v>
      </c>
      <c r="H38" s="25">
        <f t="shared" si="5"/>
        <v>0.072</v>
      </c>
    </row>
    <row r="39" spans="1:8" ht="15.75">
      <c r="A39" s="23">
        <v>2251</v>
      </c>
      <c r="B39" s="32" t="s">
        <v>77</v>
      </c>
      <c r="C39" s="25">
        <v>4</v>
      </c>
      <c r="D39" s="68">
        <f t="shared" si="3"/>
        <v>5.69</v>
      </c>
      <c r="E39" s="25">
        <f t="shared" si="4"/>
        <v>0.25</v>
      </c>
      <c r="F39" s="25">
        <f t="shared" si="6"/>
        <v>0.25</v>
      </c>
      <c r="G39" s="25">
        <f t="shared" si="7"/>
        <v>0.25</v>
      </c>
      <c r="H39" s="25">
        <f t="shared" si="5"/>
        <v>0.3</v>
      </c>
    </row>
    <row r="40" spans="1:8" ht="15.75" hidden="1">
      <c r="A40" s="23">
        <v>2252</v>
      </c>
      <c r="B40" s="32" t="s">
        <v>7</v>
      </c>
      <c r="C40" s="25"/>
      <c r="D40" s="68">
        <f t="shared" si="3"/>
        <v>0</v>
      </c>
      <c r="E40" s="25">
        <f t="shared" si="4"/>
        <v>0</v>
      </c>
      <c r="F40" s="25">
        <f t="shared" si="6"/>
        <v>0</v>
      </c>
      <c r="G40" s="25">
        <f t="shared" si="7"/>
        <v>0</v>
      </c>
      <c r="H40" s="25">
        <f t="shared" si="5"/>
        <v>0</v>
      </c>
    </row>
    <row r="41" spans="1:8" ht="15.75" hidden="1">
      <c r="A41" s="23">
        <v>2259</v>
      </c>
      <c r="B41" s="32" t="s">
        <v>8</v>
      </c>
      <c r="C41" s="25">
        <v>0</v>
      </c>
      <c r="D41" s="68">
        <f t="shared" si="3"/>
        <v>0</v>
      </c>
      <c r="E41" s="25">
        <f t="shared" si="4"/>
        <v>0</v>
      </c>
      <c r="F41" s="25">
        <f t="shared" si="6"/>
        <v>0</v>
      </c>
      <c r="G41" s="25">
        <f t="shared" si="7"/>
        <v>0</v>
      </c>
      <c r="H41" s="25">
        <f t="shared" si="5"/>
        <v>0</v>
      </c>
    </row>
    <row r="42" spans="1:8" ht="15.75">
      <c r="A42" s="23">
        <v>2261</v>
      </c>
      <c r="B42" s="32" t="s">
        <v>14</v>
      </c>
      <c r="C42" s="25">
        <v>1</v>
      </c>
      <c r="D42" s="68">
        <f t="shared" si="3"/>
        <v>1.42</v>
      </c>
      <c r="E42" s="25">
        <f t="shared" si="4"/>
        <v>0.06</v>
      </c>
      <c r="F42" s="25">
        <f t="shared" si="6"/>
        <v>0.06</v>
      </c>
      <c r="G42" s="25">
        <f t="shared" si="7"/>
        <v>0.06</v>
      </c>
      <c r="H42" s="25">
        <f t="shared" si="5"/>
        <v>0.072</v>
      </c>
    </row>
    <row r="43" spans="1:8" ht="15.75">
      <c r="A43" s="23">
        <v>2262</v>
      </c>
      <c r="B43" s="32" t="s">
        <v>15</v>
      </c>
      <c r="C43" s="25">
        <v>3</v>
      </c>
      <c r="D43" s="68">
        <f t="shared" si="3"/>
        <v>4.27</v>
      </c>
      <c r="E43" s="25">
        <f t="shared" si="4"/>
        <v>0.19</v>
      </c>
      <c r="F43" s="25">
        <f t="shared" si="6"/>
        <v>0.19</v>
      </c>
      <c r="G43" s="25">
        <f t="shared" si="7"/>
        <v>0.19</v>
      </c>
      <c r="H43" s="25">
        <f t="shared" si="5"/>
        <v>0.228</v>
      </c>
    </row>
    <row r="44" spans="1:8" ht="15.75">
      <c r="A44" s="23">
        <v>2263</v>
      </c>
      <c r="B44" s="32" t="s">
        <v>16</v>
      </c>
      <c r="C44" s="25">
        <v>13</v>
      </c>
      <c r="D44" s="68">
        <f t="shared" si="3"/>
        <v>18.5</v>
      </c>
      <c r="E44" s="25">
        <f t="shared" si="4"/>
        <v>0.81</v>
      </c>
      <c r="F44" s="25">
        <f t="shared" si="6"/>
        <v>0.81</v>
      </c>
      <c r="G44" s="25">
        <f t="shared" si="7"/>
        <v>0.81</v>
      </c>
      <c r="H44" s="25">
        <f t="shared" si="5"/>
        <v>0.9720000000000002</v>
      </c>
    </row>
    <row r="45" spans="1:8" ht="15.75" hidden="1">
      <c r="A45" s="23">
        <v>2264</v>
      </c>
      <c r="B45" s="32" t="s">
        <v>17</v>
      </c>
      <c r="C45" s="25">
        <v>0</v>
      </c>
      <c r="D45" s="68">
        <f t="shared" si="3"/>
        <v>0</v>
      </c>
      <c r="E45" s="25">
        <f t="shared" si="4"/>
        <v>0</v>
      </c>
      <c r="F45" s="25">
        <f t="shared" si="6"/>
        <v>0</v>
      </c>
      <c r="G45" s="25">
        <f t="shared" si="7"/>
        <v>0</v>
      </c>
      <c r="H45" s="25">
        <f t="shared" si="5"/>
        <v>0</v>
      </c>
    </row>
    <row r="46" spans="1:8" ht="15.75">
      <c r="A46" s="23">
        <v>2279</v>
      </c>
      <c r="B46" s="32" t="s">
        <v>18</v>
      </c>
      <c r="C46" s="25">
        <v>13.78</v>
      </c>
      <c r="D46" s="68">
        <f t="shared" si="3"/>
        <v>19.61</v>
      </c>
      <c r="E46" s="25">
        <f t="shared" si="4"/>
        <v>0.86</v>
      </c>
      <c r="F46" s="25">
        <f t="shared" si="6"/>
        <v>0.86</v>
      </c>
      <c r="G46" s="25">
        <f t="shared" si="7"/>
        <v>0.86</v>
      </c>
      <c r="H46" s="25">
        <f t="shared" si="5"/>
        <v>1.032</v>
      </c>
    </row>
    <row r="47" spans="1:8" ht="15.75">
      <c r="A47" s="23">
        <v>2311</v>
      </c>
      <c r="B47" s="32" t="s">
        <v>19</v>
      </c>
      <c r="C47" s="25">
        <v>1</v>
      </c>
      <c r="D47" s="68">
        <f t="shared" si="3"/>
        <v>1.42</v>
      </c>
      <c r="E47" s="25">
        <f t="shared" si="4"/>
        <v>0.06</v>
      </c>
      <c r="F47" s="25">
        <f t="shared" si="6"/>
        <v>0.06</v>
      </c>
      <c r="G47" s="25">
        <f t="shared" si="7"/>
        <v>0.06</v>
      </c>
      <c r="H47" s="25">
        <f t="shared" si="5"/>
        <v>0.072</v>
      </c>
    </row>
    <row r="48" spans="1:8" ht="15.75">
      <c r="A48" s="23">
        <v>2312</v>
      </c>
      <c r="B48" s="32" t="s">
        <v>20</v>
      </c>
      <c r="C48" s="25">
        <v>2</v>
      </c>
      <c r="D48" s="68">
        <f t="shared" si="3"/>
        <v>2.85</v>
      </c>
      <c r="E48" s="25">
        <f t="shared" si="4"/>
        <v>0.13</v>
      </c>
      <c r="F48" s="25">
        <f t="shared" si="6"/>
        <v>0.13</v>
      </c>
      <c r="G48" s="25">
        <f t="shared" si="7"/>
        <v>0.13</v>
      </c>
      <c r="H48" s="25">
        <f t="shared" si="5"/>
        <v>0.156</v>
      </c>
    </row>
    <row r="49" spans="1:8" ht="15.75">
      <c r="A49" s="23">
        <v>2321</v>
      </c>
      <c r="B49" s="32" t="s">
        <v>21</v>
      </c>
      <c r="C49" s="25">
        <v>9</v>
      </c>
      <c r="D49" s="68">
        <f t="shared" si="3"/>
        <v>12.81</v>
      </c>
      <c r="E49" s="25">
        <f t="shared" si="4"/>
        <v>0.56</v>
      </c>
      <c r="F49" s="25">
        <f t="shared" si="6"/>
        <v>0.56</v>
      </c>
      <c r="G49" s="25">
        <f t="shared" si="7"/>
        <v>0.56</v>
      </c>
      <c r="H49" s="25">
        <f t="shared" si="5"/>
        <v>0.6720000000000002</v>
      </c>
    </row>
    <row r="50" spans="1:8" ht="15.75" hidden="1">
      <c r="A50" s="23">
        <v>2322</v>
      </c>
      <c r="B50" s="32" t="s">
        <v>22</v>
      </c>
      <c r="C50" s="25">
        <v>0</v>
      </c>
      <c r="D50" s="68">
        <f t="shared" si="3"/>
        <v>0</v>
      </c>
      <c r="E50" s="25">
        <f t="shared" si="4"/>
        <v>0</v>
      </c>
      <c r="F50" s="25">
        <f t="shared" si="6"/>
        <v>0</v>
      </c>
      <c r="G50" s="25">
        <f t="shared" si="7"/>
        <v>0</v>
      </c>
      <c r="H50" s="25">
        <f t="shared" si="5"/>
        <v>0</v>
      </c>
    </row>
    <row r="51" spans="1:8" ht="15.75">
      <c r="A51" s="23">
        <v>2341</v>
      </c>
      <c r="B51" s="32" t="s">
        <v>23</v>
      </c>
      <c r="C51" s="25">
        <v>2</v>
      </c>
      <c r="D51" s="68">
        <f t="shared" si="3"/>
        <v>2.85</v>
      </c>
      <c r="E51" s="25">
        <f t="shared" si="4"/>
        <v>0.13</v>
      </c>
      <c r="F51" s="25">
        <f t="shared" si="6"/>
        <v>0.13</v>
      </c>
      <c r="G51" s="25">
        <f t="shared" si="7"/>
        <v>0.13</v>
      </c>
      <c r="H51" s="25">
        <f t="shared" si="5"/>
        <v>0.156</v>
      </c>
    </row>
    <row r="52" spans="1:8" ht="15.75" hidden="1">
      <c r="A52" s="23">
        <v>2344</v>
      </c>
      <c r="B52" s="32" t="s">
        <v>24</v>
      </c>
      <c r="C52" s="25">
        <v>0</v>
      </c>
      <c r="D52" s="68">
        <f t="shared" si="3"/>
        <v>0</v>
      </c>
      <c r="E52" s="25">
        <f t="shared" si="4"/>
        <v>0</v>
      </c>
      <c r="F52" s="25">
        <f t="shared" si="6"/>
        <v>0</v>
      </c>
      <c r="G52" s="25">
        <f t="shared" si="7"/>
        <v>0</v>
      </c>
      <c r="H52" s="25">
        <f t="shared" si="5"/>
        <v>0</v>
      </c>
    </row>
    <row r="53" spans="1:8" ht="15.75">
      <c r="A53" s="23">
        <v>2350</v>
      </c>
      <c r="B53" s="32" t="s">
        <v>25</v>
      </c>
      <c r="C53" s="25">
        <v>11</v>
      </c>
      <c r="D53" s="68">
        <f t="shared" si="3"/>
        <v>15.65</v>
      </c>
      <c r="E53" s="25">
        <f t="shared" si="4"/>
        <v>0.69</v>
      </c>
      <c r="F53" s="25">
        <f t="shared" si="6"/>
        <v>0.69</v>
      </c>
      <c r="G53" s="25">
        <f t="shared" si="7"/>
        <v>0.69</v>
      </c>
      <c r="H53" s="25">
        <f t="shared" si="5"/>
        <v>0.828</v>
      </c>
    </row>
    <row r="54" spans="1:8" ht="15.75">
      <c r="A54" s="23">
        <v>2361</v>
      </c>
      <c r="B54" s="32" t="s">
        <v>26</v>
      </c>
      <c r="C54" s="25">
        <v>7</v>
      </c>
      <c r="D54" s="68">
        <f t="shared" si="3"/>
        <v>9.96</v>
      </c>
      <c r="E54" s="25">
        <f t="shared" si="4"/>
        <v>0.44</v>
      </c>
      <c r="F54" s="25">
        <f t="shared" si="6"/>
        <v>0.44</v>
      </c>
      <c r="G54" s="25">
        <f t="shared" si="7"/>
        <v>0.44</v>
      </c>
      <c r="H54" s="25">
        <f t="shared" si="5"/>
        <v>0.528</v>
      </c>
    </row>
    <row r="55" spans="1:8" ht="15.75" hidden="1">
      <c r="A55" s="23">
        <v>2362</v>
      </c>
      <c r="B55" s="32" t="s">
        <v>27</v>
      </c>
      <c r="C55" s="25"/>
      <c r="D55" s="68">
        <f t="shared" si="3"/>
        <v>0</v>
      </c>
      <c r="E55" s="25">
        <f t="shared" si="4"/>
        <v>0</v>
      </c>
      <c r="F55" s="25">
        <f t="shared" si="6"/>
        <v>0</v>
      </c>
      <c r="G55" s="25">
        <f t="shared" si="7"/>
        <v>0</v>
      </c>
      <c r="H55" s="25">
        <f t="shared" si="5"/>
        <v>0</v>
      </c>
    </row>
    <row r="56" spans="1:8" ht="15.75" hidden="1">
      <c r="A56" s="23">
        <v>2363</v>
      </c>
      <c r="B56" s="32" t="s">
        <v>28</v>
      </c>
      <c r="C56" s="25"/>
      <c r="D56" s="68">
        <f t="shared" si="3"/>
        <v>0</v>
      </c>
      <c r="E56" s="25">
        <f t="shared" si="4"/>
        <v>0</v>
      </c>
      <c r="F56" s="25">
        <f t="shared" si="6"/>
        <v>0</v>
      </c>
      <c r="G56" s="25">
        <f t="shared" si="7"/>
        <v>0</v>
      </c>
      <c r="H56" s="25">
        <f t="shared" si="5"/>
        <v>0</v>
      </c>
    </row>
    <row r="57" spans="1:8" ht="15.75" hidden="1">
      <c r="A57" s="23">
        <v>2370</v>
      </c>
      <c r="B57" s="32" t="s">
        <v>29</v>
      </c>
      <c r="C57" s="25"/>
      <c r="D57" s="68">
        <f t="shared" si="3"/>
        <v>0</v>
      </c>
      <c r="E57" s="25">
        <f t="shared" si="4"/>
        <v>0</v>
      </c>
      <c r="F57" s="25">
        <f t="shared" si="6"/>
        <v>0</v>
      </c>
      <c r="G57" s="25">
        <f t="shared" si="7"/>
        <v>0</v>
      </c>
      <c r="H57" s="25">
        <f t="shared" si="5"/>
        <v>0</v>
      </c>
    </row>
    <row r="58" spans="1:8" ht="15.75">
      <c r="A58" s="23">
        <v>2400</v>
      </c>
      <c r="B58" s="32" t="s">
        <v>43</v>
      </c>
      <c r="C58" s="25">
        <v>1</v>
      </c>
      <c r="D58" s="68">
        <f t="shared" si="3"/>
        <v>1.42</v>
      </c>
      <c r="E58" s="25">
        <f t="shared" si="4"/>
        <v>0.06</v>
      </c>
      <c r="F58" s="25">
        <f t="shared" si="6"/>
        <v>0.06</v>
      </c>
      <c r="G58" s="25">
        <f t="shared" si="7"/>
        <v>0.06</v>
      </c>
      <c r="H58" s="25">
        <f t="shared" si="5"/>
        <v>0.072</v>
      </c>
    </row>
    <row r="59" spans="1:8" ht="15.75" hidden="1">
      <c r="A59" s="23">
        <v>2512</v>
      </c>
      <c r="B59" s="32" t="s">
        <v>30</v>
      </c>
      <c r="C59" s="25">
        <v>0</v>
      </c>
      <c r="D59" s="68">
        <f t="shared" si="3"/>
        <v>0</v>
      </c>
      <c r="E59" s="25">
        <f t="shared" si="4"/>
        <v>0</v>
      </c>
      <c r="F59" s="25">
        <f t="shared" si="6"/>
        <v>0</v>
      </c>
      <c r="G59" s="25">
        <f t="shared" si="7"/>
        <v>0</v>
      </c>
      <c r="H59" s="25">
        <f t="shared" si="5"/>
        <v>0</v>
      </c>
    </row>
    <row r="60" spans="1:8" ht="15.75">
      <c r="A60" s="23">
        <v>2513</v>
      </c>
      <c r="B60" s="32" t="s">
        <v>31</v>
      </c>
      <c r="C60" s="25">
        <v>7</v>
      </c>
      <c r="D60" s="68">
        <f>ROUND(C60/0.702804,2)</f>
        <v>9.96</v>
      </c>
      <c r="E60" s="25">
        <f t="shared" si="4"/>
        <v>0.44</v>
      </c>
      <c r="F60" s="25">
        <f t="shared" si="6"/>
        <v>0.44</v>
      </c>
      <c r="G60" s="25">
        <f t="shared" si="7"/>
        <v>0.44</v>
      </c>
      <c r="H60" s="25">
        <f t="shared" si="5"/>
        <v>0.528</v>
      </c>
    </row>
    <row r="61" spans="1:8" ht="15.75" hidden="1">
      <c r="A61" s="23">
        <v>2515</v>
      </c>
      <c r="B61" s="32" t="s">
        <v>78</v>
      </c>
      <c r="C61" s="25">
        <v>0</v>
      </c>
      <c r="D61" s="68">
        <f t="shared" si="3"/>
        <v>0</v>
      </c>
      <c r="E61" s="25">
        <f t="shared" si="4"/>
        <v>0</v>
      </c>
      <c r="F61" s="25">
        <f t="shared" si="6"/>
        <v>0</v>
      </c>
      <c r="G61" s="25">
        <f t="shared" si="7"/>
        <v>0</v>
      </c>
      <c r="H61" s="25">
        <f t="shared" si="5"/>
        <v>0</v>
      </c>
    </row>
    <row r="62" spans="1:8" ht="15.75">
      <c r="A62" s="23">
        <v>2519</v>
      </c>
      <c r="B62" s="32" t="s">
        <v>34</v>
      </c>
      <c r="C62" s="25">
        <v>10</v>
      </c>
      <c r="D62" s="68">
        <v>14.14</v>
      </c>
      <c r="E62" s="25">
        <f t="shared" si="4"/>
        <v>0.62</v>
      </c>
      <c r="F62" s="25">
        <f t="shared" si="6"/>
        <v>0.62</v>
      </c>
      <c r="G62" s="25">
        <f t="shared" si="7"/>
        <v>0.62</v>
      </c>
      <c r="H62" s="25">
        <f t="shared" si="5"/>
        <v>0.744</v>
      </c>
    </row>
    <row r="63" spans="1:8" ht="15.75" hidden="1">
      <c r="A63" s="23">
        <v>6240</v>
      </c>
      <c r="B63" s="32"/>
      <c r="C63" s="25"/>
      <c r="D63" s="68">
        <f t="shared" si="3"/>
        <v>0</v>
      </c>
      <c r="E63" s="25">
        <f t="shared" si="4"/>
        <v>0</v>
      </c>
      <c r="F63" s="25">
        <f t="shared" si="6"/>
        <v>0</v>
      </c>
      <c r="G63" s="25">
        <f t="shared" si="7"/>
        <v>0</v>
      </c>
      <c r="H63" s="25">
        <f t="shared" si="5"/>
        <v>0</v>
      </c>
    </row>
    <row r="64" spans="1:8" ht="15.75" hidden="1">
      <c r="A64" s="23">
        <v>6290</v>
      </c>
      <c r="B64" s="32"/>
      <c r="C64" s="25"/>
      <c r="D64" s="68">
        <f t="shared" si="3"/>
        <v>0</v>
      </c>
      <c r="E64" s="25">
        <f t="shared" si="4"/>
        <v>0</v>
      </c>
      <c r="F64" s="25">
        <f t="shared" si="6"/>
        <v>0</v>
      </c>
      <c r="G64" s="25">
        <f t="shared" si="7"/>
        <v>0</v>
      </c>
      <c r="H64" s="25">
        <f t="shared" si="5"/>
        <v>0</v>
      </c>
    </row>
    <row r="65" spans="1:8" ht="15.75">
      <c r="A65" s="23">
        <v>5121</v>
      </c>
      <c r="B65" s="32" t="s">
        <v>32</v>
      </c>
      <c r="C65" s="25">
        <v>2</v>
      </c>
      <c r="D65" s="68">
        <f t="shared" si="3"/>
        <v>2.85</v>
      </c>
      <c r="E65" s="25">
        <v>0.12</v>
      </c>
      <c r="F65" s="25">
        <v>0.19</v>
      </c>
      <c r="G65" s="25">
        <f>F65</f>
        <v>0.19</v>
      </c>
      <c r="H65" s="25">
        <f t="shared" si="5"/>
        <v>0.228</v>
      </c>
    </row>
    <row r="66" spans="1:8" ht="15.75">
      <c r="A66" s="23">
        <v>5232</v>
      </c>
      <c r="B66" s="32" t="s">
        <v>33</v>
      </c>
      <c r="C66" s="25">
        <v>0</v>
      </c>
      <c r="D66" s="32"/>
      <c r="E66" s="25">
        <v>0</v>
      </c>
      <c r="F66" s="25">
        <f>E66/21854*400</f>
        <v>0</v>
      </c>
      <c r="G66" s="25">
        <v>0.07</v>
      </c>
      <c r="H66" s="25">
        <f t="shared" si="5"/>
        <v>0.08400000000000002</v>
      </c>
    </row>
    <row r="67" spans="1:8" ht="15.75" hidden="1">
      <c r="A67" s="23">
        <v>5238</v>
      </c>
      <c r="B67" s="32" t="s">
        <v>35</v>
      </c>
      <c r="C67" s="25"/>
      <c r="D67" s="32"/>
      <c r="E67" s="25"/>
      <c r="F67" s="25">
        <f>E67/21854*400</f>
        <v>0</v>
      </c>
      <c r="G67" s="25">
        <f t="shared" si="7"/>
        <v>0</v>
      </c>
      <c r="H67" s="25">
        <f t="shared" si="5"/>
        <v>0</v>
      </c>
    </row>
    <row r="68" spans="1:8" ht="15.75" hidden="1">
      <c r="A68" s="23">
        <v>5240</v>
      </c>
      <c r="B68" s="32" t="s">
        <v>36</v>
      </c>
      <c r="C68" s="25">
        <v>0</v>
      </c>
      <c r="D68" s="32"/>
      <c r="E68" s="25">
        <v>0</v>
      </c>
      <c r="F68" s="25">
        <f>E68/21854*400</f>
        <v>0</v>
      </c>
      <c r="G68" s="25">
        <f t="shared" si="7"/>
        <v>0</v>
      </c>
      <c r="H68" s="25">
        <f t="shared" si="5"/>
        <v>0</v>
      </c>
    </row>
    <row r="69" spans="1:8" ht="15.75" hidden="1">
      <c r="A69" s="23">
        <v>5250</v>
      </c>
      <c r="B69" s="32" t="s">
        <v>37</v>
      </c>
      <c r="C69" s="25"/>
      <c r="D69" s="32"/>
      <c r="E69" s="25"/>
      <c r="F69" s="25">
        <f>E69/21854*400</f>
        <v>0</v>
      </c>
      <c r="G69" s="25">
        <f t="shared" si="7"/>
        <v>0</v>
      </c>
      <c r="H69" s="25">
        <f t="shared" si="5"/>
        <v>0</v>
      </c>
    </row>
    <row r="70" spans="1:8" ht="15.75">
      <c r="A70" s="29"/>
      <c r="B70" s="48" t="s">
        <v>79</v>
      </c>
      <c r="C70" s="28">
        <f aca="true" t="shared" si="8" ref="C70:H70">SUM(C26:C69)</f>
        <v>415.78</v>
      </c>
      <c r="D70" s="28">
        <f t="shared" si="8"/>
        <v>591.53</v>
      </c>
      <c r="E70" s="28">
        <f t="shared" si="8"/>
        <v>25.989999999999995</v>
      </c>
      <c r="F70" s="28">
        <f t="shared" si="8"/>
        <v>26.54</v>
      </c>
      <c r="G70" s="28">
        <f t="shared" si="8"/>
        <v>26.61</v>
      </c>
      <c r="H70" s="28">
        <f t="shared" si="8"/>
        <v>33.432</v>
      </c>
    </row>
    <row r="71" spans="1:8" ht="15.75">
      <c r="A71" s="29"/>
      <c r="B71" s="48" t="s">
        <v>80</v>
      </c>
      <c r="C71" s="28">
        <f aca="true" t="shared" si="9" ref="C71:H71">C70+C24</f>
        <v>699.87</v>
      </c>
      <c r="D71" s="28">
        <f t="shared" si="9"/>
        <v>995.75</v>
      </c>
      <c r="E71" s="28">
        <f t="shared" si="9"/>
        <v>43.75</v>
      </c>
      <c r="F71" s="28">
        <f t="shared" si="9"/>
        <v>45</v>
      </c>
      <c r="G71" s="28">
        <f t="shared" si="9"/>
        <v>50</v>
      </c>
      <c r="H71" s="28">
        <f t="shared" si="9"/>
        <v>62.1</v>
      </c>
    </row>
    <row r="72" spans="1:8" ht="15.75">
      <c r="A72" s="49"/>
      <c r="B72" s="50"/>
      <c r="C72" s="41"/>
      <c r="D72" s="41"/>
      <c r="E72" s="50"/>
      <c r="F72" s="41"/>
      <c r="G72" s="41"/>
      <c r="H72" s="41"/>
    </row>
    <row r="73" spans="1:8" ht="15.75">
      <c r="A73" s="214" t="s">
        <v>45</v>
      </c>
      <c r="B73" s="215"/>
      <c r="C73" s="69">
        <v>569</v>
      </c>
      <c r="D73" s="69">
        <v>569</v>
      </c>
      <c r="E73" s="148">
        <v>25</v>
      </c>
      <c r="F73" s="149">
        <v>25</v>
      </c>
      <c r="G73" s="149">
        <v>25</v>
      </c>
      <c r="H73" s="162">
        <v>30</v>
      </c>
    </row>
    <row r="74" spans="1:8" ht="15.75">
      <c r="A74" s="214" t="s">
        <v>91</v>
      </c>
      <c r="B74" s="215"/>
      <c r="C74" s="51">
        <f>C71/C73</f>
        <v>1.23</v>
      </c>
      <c r="D74" s="51">
        <f>ROUND(D71/D73,2)</f>
        <v>1.75</v>
      </c>
      <c r="E74" s="28">
        <f>ROUND(E71/E73,2)</f>
        <v>1.75</v>
      </c>
      <c r="F74" s="51">
        <f>ROUND(F71/F73,2)</f>
        <v>1.8</v>
      </c>
      <c r="G74" s="51">
        <f>ROUND(G71/G73,2)</f>
        <v>2</v>
      </c>
      <c r="H74" s="164">
        <f>ROUND(H71/H73,2)</f>
        <v>2.07</v>
      </c>
    </row>
    <row r="75" spans="1:8" ht="15.75">
      <c r="A75" s="50"/>
      <c r="B75" s="43"/>
      <c r="C75" s="74"/>
      <c r="D75" s="74"/>
      <c r="E75" s="135"/>
      <c r="F75" s="150"/>
      <c r="G75" s="51"/>
      <c r="H75" s="51"/>
    </row>
    <row r="76" spans="1:8" ht="15.75">
      <c r="A76" s="214" t="s">
        <v>46</v>
      </c>
      <c r="B76" s="215"/>
      <c r="C76" s="73"/>
      <c r="D76" s="73"/>
      <c r="E76" s="44"/>
      <c r="F76" s="44"/>
      <c r="G76" s="44"/>
      <c r="H76" s="44"/>
    </row>
    <row r="77" spans="1:8" ht="15.75">
      <c r="A77" s="212" t="s">
        <v>56</v>
      </c>
      <c r="B77" s="213"/>
      <c r="C77" s="72"/>
      <c r="D77" s="72"/>
      <c r="E77" s="37"/>
      <c r="F77" s="37"/>
      <c r="G77" s="37"/>
      <c r="H77" s="37"/>
    </row>
    <row r="78" spans="1:8" ht="15.75">
      <c r="A78" s="38"/>
      <c r="B78" s="38"/>
      <c r="C78" s="38"/>
      <c r="D78" s="38"/>
      <c r="E78" s="38"/>
      <c r="F78" s="38"/>
      <c r="G78" s="38"/>
      <c r="H78" s="38"/>
    </row>
    <row r="79" spans="1:8" ht="15.75">
      <c r="A79" s="38" t="s">
        <v>47</v>
      </c>
      <c r="B79" s="38"/>
      <c r="C79" s="38"/>
      <c r="D79" s="38"/>
      <c r="E79" s="38"/>
      <c r="F79" s="38"/>
      <c r="G79" s="38"/>
      <c r="H79" s="38"/>
    </row>
    <row r="80" spans="1:8" ht="15.75">
      <c r="A80" s="38"/>
      <c r="B80" s="38"/>
      <c r="C80" s="38"/>
      <c r="D80" s="38"/>
      <c r="E80" s="38"/>
      <c r="F80" s="38"/>
      <c r="G80" s="38"/>
      <c r="H80" s="38"/>
    </row>
    <row r="81" spans="1:8" ht="15.75">
      <c r="A81" s="38"/>
      <c r="B81" s="39"/>
      <c r="C81" s="39"/>
      <c r="D81" s="39"/>
      <c r="E81" s="38"/>
      <c r="F81" s="38"/>
      <c r="G81" s="38"/>
      <c r="H81" s="38"/>
    </row>
    <row r="82" spans="1:8" ht="15.75">
      <c r="A82" s="38"/>
      <c r="B82" s="40"/>
      <c r="C82" s="40"/>
      <c r="D82" s="40"/>
      <c r="E82" s="38"/>
      <c r="F82" s="38"/>
      <c r="G82" s="38"/>
      <c r="H82" s="38"/>
    </row>
    <row r="83" spans="1:5" ht="15">
      <c r="A83" s="4"/>
      <c r="B83" s="220"/>
      <c r="C83" s="220"/>
      <c r="D83" s="220"/>
      <c r="E83" s="220"/>
    </row>
  </sheetData>
  <sheetProtection/>
  <mergeCells count="13">
    <mergeCell ref="A74:B74"/>
    <mergeCell ref="A76:B76"/>
    <mergeCell ref="A77:B77"/>
    <mergeCell ref="B83:E83"/>
    <mergeCell ref="A5:E5"/>
    <mergeCell ref="A6:E6"/>
    <mergeCell ref="B7:E7"/>
    <mergeCell ref="B8:E8"/>
    <mergeCell ref="B9:E9"/>
    <mergeCell ref="A73:B73"/>
    <mergeCell ref="B2:F2"/>
    <mergeCell ref="A3:H3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91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4.7109375" style="1" customWidth="1"/>
    <col min="2" max="2" width="94.57421875" style="1" customWidth="1"/>
    <col min="3" max="3" width="21.140625" style="1" hidden="1" customWidth="1"/>
    <col min="4" max="4" width="17.00390625" style="1" hidden="1" customWidth="1"/>
    <col min="5" max="5" width="21.57421875" style="1" hidden="1" customWidth="1"/>
    <col min="6" max="7" width="21.57421875" style="4" hidden="1" customWidth="1"/>
    <col min="8" max="8" width="25.00390625" style="4" hidden="1" customWidth="1"/>
    <col min="9" max="9" width="27.57421875" style="0" customWidth="1"/>
  </cols>
  <sheetData>
    <row r="1" spans="1:9" ht="15.75">
      <c r="A1" s="4"/>
      <c r="B1" s="12"/>
      <c r="C1" s="12"/>
      <c r="D1" s="12"/>
      <c r="E1" s="76"/>
      <c r="F1" s="76"/>
      <c r="G1" s="76"/>
      <c r="H1" s="9"/>
      <c r="I1" s="13"/>
    </row>
    <row r="2" spans="1:8" ht="15">
      <c r="A2" s="4"/>
      <c r="B2" s="63"/>
      <c r="C2" s="63"/>
      <c r="D2" s="63"/>
      <c r="E2" s="63"/>
      <c r="F2" s="147"/>
      <c r="G2" s="147"/>
      <c r="H2" s="1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1:8" ht="15">
      <c r="A4" s="4"/>
      <c r="B4" s="218"/>
      <c r="C4" s="218"/>
      <c r="D4" s="218"/>
      <c r="E4" s="218"/>
      <c r="F4" s="2"/>
      <c r="G4" s="2"/>
      <c r="H4" s="2"/>
    </row>
    <row r="5" spans="1:8" ht="15.75">
      <c r="A5" s="195" t="s">
        <v>1</v>
      </c>
      <c r="B5" s="195"/>
      <c r="C5" s="195"/>
      <c r="D5" s="195"/>
      <c r="E5" s="195"/>
      <c r="F5" s="14"/>
      <c r="G5" s="14"/>
      <c r="H5" s="14"/>
    </row>
    <row r="6" spans="1:8" ht="15.75">
      <c r="A6" s="195" t="s">
        <v>0</v>
      </c>
      <c r="B6" s="195"/>
      <c r="C6" s="195"/>
      <c r="D6" s="195"/>
      <c r="E6" s="195"/>
      <c r="F6" s="14"/>
      <c r="G6" s="14"/>
      <c r="H6" s="14"/>
    </row>
    <row r="7" spans="1:8" ht="15.75">
      <c r="A7" s="8"/>
      <c r="B7" s="195" t="s">
        <v>44</v>
      </c>
      <c r="C7" s="195"/>
      <c r="D7" s="195"/>
      <c r="E7" s="195"/>
      <c r="F7" s="14"/>
      <c r="G7" s="14"/>
      <c r="H7" s="14"/>
    </row>
    <row r="8" spans="1:8" ht="15.75">
      <c r="A8" s="8"/>
      <c r="B8" s="195" t="s">
        <v>112</v>
      </c>
      <c r="C8" s="195"/>
      <c r="D8" s="195"/>
      <c r="E8" s="195"/>
      <c r="F8" s="14"/>
      <c r="G8" s="14"/>
      <c r="H8" s="14"/>
    </row>
    <row r="9" spans="1:8" ht="15.75">
      <c r="A9" s="8"/>
      <c r="B9" s="195" t="s">
        <v>116</v>
      </c>
      <c r="C9" s="195"/>
      <c r="D9" s="195"/>
      <c r="E9" s="195"/>
      <c r="F9" s="14"/>
      <c r="G9" s="14"/>
      <c r="H9" s="14"/>
    </row>
    <row r="10" spans="1:8" ht="15.75">
      <c r="A10" s="8" t="s">
        <v>2</v>
      </c>
      <c r="B10" s="8" t="s">
        <v>205</v>
      </c>
      <c r="C10" s="8"/>
      <c r="D10" s="8"/>
      <c r="E10" s="8"/>
      <c r="F10" s="14"/>
      <c r="G10" s="14"/>
      <c r="H10" s="14"/>
    </row>
    <row r="11" spans="1:8" ht="15.75" hidden="1">
      <c r="A11" s="15"/>
      <c r="B11" s="16"/>
      <c r="C11" s="16"/>
      <c r="D11" s="16"/>
      <c r="E11" s="77"/>
      <c r="F11" s="14"/>
      <c r="G11" s="14"/>
      <c r="H11" s="14"/>
    </row>
    <row r="12" spans="1:9" ht="93.75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  <c r="I12" s="59" t="s">
        <v>5</v>
      </c>
    </row>
    <row r="13" spans="1:9" ht="15.75">
      <c r="A13" s="18">
        <v>1</v>
      </c>
      <c r="B13" s="19">
        <v>2</v>
      </c>
      <c r="C13" s="19"/>
      <c r="D13" s="19"/>
      <c r="E13" s="18">
        <v>3</v>
      </c>
      <c r="F13" s="19">
        <v>4</v>
      </c>
      <c r="G13" s="19"/>
      <c r="H13" s="19"/>
      <c r="I13" s="19">
        <v>3</v>
      </c>
    </row>
    <row r="14" spans="1:9" ht="15.75">
      <c r="A14" s="20"/>
      <c r="B14" s="21" t="s">
        <v>71</v>
      </c>
      <c r="C14" s="21"/>
      <c r="D14" s="21"/>
      <c r="E14" s="79"/>
      <c r="F14" s="22"/>
      <c r="G14" s="22"/>
      <c r="H14" s="22"/>
      <c r="I14" s="81"/>
    </row>
    <row r="15" spans="1:9" ht="15.75">
      <c r="A15" s="23">
        <v>1100</v>
      </c>
      <c r="B15" s="24" t="s">
        <v>72</v>
      </c>
      <c r="C15" s="80">
        <v>7875.83</v>
      </c>
      <c r="D15" s="80">
        <f>ROUND(C15/0.702804,2)</f>
        <v>11206.3</v>
      </c>
      <c r="E15" s="25">
        <f>ROUND(D15/6691*750,2)</f>
        <v>1256.12</v>
      </c>
      <c r="F15" s="25">
        <v>1306.36</v>
      </c>
      <c r="G15" s="25">
        <v>1659.08</v>
      </c>
      <c r="H15" s="25">
        <f>G15/750*100+100*0.016</f>
        <v>222.81066666666666</v>
      </c>
      <c r="I15" s="80">
        <f>H15/100*700</f>
        <v>1559.6746666666668</v>
      </c>
    </row>
    <row r="16" spans="1:9" ht="13.5" customHeight="1">
      <c r="A16" s="23">
        <v>1200</v>
      </c>
      <c r="B16" s="26" t="s">
        <v>73</v>
      </c>
      <c r="C16" s="81">
        <v>1857.91</v>
      </c>
      <c r="D16" s="80">
        <f>ROUND(C16/0.702804,2)</f>
        <v>2643.57</v>
      </c>
      <c r="E16" s="25">
        <f>ROUND(D16/6691*750,2)</f>
        <v>296.32</v>
      </c>
      <c r="F16" s="25">
        <v>308.17</v>
      </c>
      <c r="G16" s="25">
        <v>399.67</v>
      </c>
      <c r="H16" s="25">
        <f>G16/750*100+100*0.004</f>
        <v>53.68933333333333</v>
      </c>
      <c r="I16" s="80">
        <f aca="true" t="shared" si="0" ref="I16:I69">H16/100*700</f>
        <v>375.82533333333333</v>
      </c>
    </row>
    <row r="17" spans="1:9" ht="15.75" hidden="1">
      <c r="A17" s="23">
        <v>2222</v>
      </c>
      <c r="B17" s="26" t="s">
        <v>39</v>
      </c>
      <c r="C17" s="80"/>
      <c r="D17" s="80">
        <f>ROUND(C17/0.702804,2)</f>
        <v>0</v>
      </c>
      <c r="E17" s="25">
        <f>ROUND(D17/6691*750,2)</f>
        <v>0</v>
      </c>
      <c r="F17" s="25">
        <f>E17</f>
        <v>0</v>
      </c>
      <c r="G17" s="25">
        <f>F17</f>
        <v>0</v>
      </c>
      <c r="H17" s="25">
        <f aca="true" t="shared" si="1" ref="H17:H23">G17/750*100</f>
        <v>0</v>
      </c>
      <c r="I17" s="80">
        <f t="shared" si="0"/>
        <v>0</v>
      </c>
    </row>
    <row r="18" spans="1:9" ht="15.75">
      <c r="A18" s="23">
        <v>2243</v>
      </c>
      <c r="B18" s="144" t="s">
        <v>103</v>
      </c>
      <c r="C18" s="80">
        <v>96.04</v>
      </c>
      <c r="D18" s="80">
        <f>ROUND(C18/0.702804,2)</f>
        <v>136.65</v>
      </c>
      <c r="E18" s="25">
        <f>ROUND(D18/6691*750,2)</f>
        <v>15.32</v>
      </c>
      <c r="F18" s="25">
        <f>E18</f>
        <v>15.32</v>
      </c>
      <c r="G18" s="25">
        <f aca="true" t="shared" si="2" ref="G18:G23">F18</f>
        <v>15.32</v>
      </c>
      <c r="H18" s="25">
        <f t="shared" si="1"/>
        <v>2.0426666666666664</v>
      </c>
      <c r="I18" s="80">
        <f t="shared" si="0"/>
        <v>14.298666666666664</v>
      </c>
    </row>
    <row r="19" spans="1:9" ht="15.75" hidden="1">
      <c r="A19" s="23">
        <v>2341</v>
      </c>
      <c r="B19" s="26" t="s">
        <v>23</v>
      </c>
      <c r="C19" s="80"/>
      <c r="D19" s="26"/>
      <c r="E19" s="25"/>
      <c r="F19" s="25">
        <f>E19/569*20</f>
        <v>0</v>
      </c>
      <c r="G19" s="25">
        <f t="shared" si="2"/>
        <v>0</v>
      </c>
      <c r="H19" s="25">
        <f t="shared" si="1"/>
        <v>0</v>
      </c>
      <c r="I19" s="80">
        <f t="shared" si="0"/>
        <v>0</v>
      </c>
    </row>
    <row r="20" spans="1:9" ht="15.75" hidden="1">
      <c r="A20" s="23">
        <v>2350</v>
      </c>
      <c r="B20" s="26" t="s">
        <v>25</v>
      </c>
      <c r="C20" s="80"/>
      <c r="D20" s="26"/>
      <c r="E20" s="25"/>
      <c r="F20" s="25">
        <f>E20/21854*400</f>
        <v>0</v>
      </c>
      <c r="G20" s="25">
        <f t="shared" si="2"/>
        <v>0</v>
      </c>
      <c r="H20" s="25">
        <f t="shared" si="1"/>
        <v>0</v>
      </c>
      <c r="I20" s="80">
        <f t="shared" si="0"/>
        <v>0</v>
      </c>
    </row>
    <row r="21" spans="1:9" ht="15.75" hidden="1">
      <c r="A21" s="23"/>
      <c r="B21" s="26"/>
      <c r="C21" s="80"/>
      <c r="D21" s="26"/>
      <c r="E21" s="25"/>
      <c r="F21" s="25">
        <f>E21/21854*400</f>
        <v>0</v>
      </c>
      <c r="G21" s="25">
        <f t="shared" si="2"/>
        <v>0</v>
      </c>
      <c r="H21" s="25">
        <f t="shared" si="1"/>
        <v>0</v>
      </c>
      <c r="I21" s="80">
        <f t="shared" si="0"/>
        <v>0</v>
      </c>
    </row>
    <row r="22" spans="1:9" ht="15.75" hidden="1">
      <c r="A22" s="23"/>
      <c r="B22" s="26"/>
      <c r="C22" s="80"/>
      <c r="D22" s="26"/>
      <c r="E22" s="25"/>
      <c r="F22" s="25">
        <f>E22/21854*400</f>
        <v>0</v>
      </c>
      <c r="G22" s="25">
        <f t="shared" si="2"/>
        <v>0</v>
      </c>
      <c r="H22" s="25">
        <f t="shared" si="1"/>
        <v>0</v>
      </c>
      <c r="I22" s="80">
        <f t="shared" si="0"/>
        <v>0</v>
      </c>
    </row>
    <row r="23" spans="1:9" ht="15.75" hidden="1">
      <c r="A23" s="23"/>
      <c r="B23" s="24"/>
      <c r="C23" s="80"/>
      <c r="D23" s="24"/>
      <c r="E23" s="25"/>
      <c r="F23" s="25">
        <f>E23/21854*400</f>
        <v>0</v>
      </c>
      <c r="G23" s="25">
        <f t="shared" si="2"/>
        <v>0</v>
      </c>
      <c r="H23" s="25">
        <f t="shared" si="1"/>
        <v>0</v>
      </c>
      <c r="I23" s="80">
        <f t="shared" si="0"/>
        <v>0</v>
      </c>
    </row>
    <row r="24" spans="1:9" ht="15.75">
      <c r="A24" s="23"/>
      <c r="B24" s="27" t="s">
        <v>74</v>
      </c>
      <c r="C24" s="82">
        <f aca="true" t="shared" si="3" ref="C24:H24">SUM(C15:C23)</f>
        <v>9829.78</v>
      </c>
      <c r="D24" s="82">
        <f t="shared" si="3"/>
        <v>13986.519999999999</v>
      </c>
      <c r="E24" s="28">
        <f t="shared" si="3"/>
        <v>1567.7599999999998</v>
      </c>
      <c r="F24" s="28">
        <f t="shared" si="3"/>
        <v>1629.85</v>
      </c>
      <c r="G24" s="28">
        <f t="shared" si="3"/>
        <v>2074.07</v>
      </c>
      <c r="H24" s="28">
        <f t="shared" si="3"/>
        <v>278.54266666666666</v>
      </c>
      <c r="I24" s="82">
        <f>SUM(I15:I23)</f>
        <v>1949.7986666666666</v>
      </c>
    </row>
    <row r="25" spans="1:9" ht="15.75">
      <c r="A25" s="29"/>
      <c r="B25" s="24" t="s">
        <v>75</v>
      </c>
      <c r="C25" s="80"/>
      <c r="D25" s="24"/>
      <c r="E25" s="25"/>
      <c r="F25" s="28"/>
      <c r="G25" s="28"/>
      <c r="H25" s="28"/>
      <c r="I25" s="80"/>
    </row>
    <row r="26" spans="1:9" ht="15.75">
      <c r="A26" s="23">
        <v>1100</v>
      </c>
      <c r="B26" s="24" t="s">
        <v>72</v>
      </c>
      <c r="C26" s="80">
        <v>7384.09</v>
      </c>
      <c r="D26" s="80">
        <f aca="true" t="shared" si="4" ref="D26:D68">ROUND(C26/0.702804,2)</f>
        <v>10506.61</v>
      </c>
      <c r="E26" s="25">
        <f aca="true" t="shared" si="5" ref="E26:E68">ROUND(D26/6691*750,2)</f>
        <v>1177.7</v>
      </c>
      <c r="F26" s="25">
        <v>1213.03</v>
      </c>
      <c r="G26" s="25">
        <v>1208.14</v>
      </c>
      <c r="H26" s="25">
        <f aca="true" t="shared" si="6" ref="H26:H69">G26/750*100</f>
        <v>161.08533333333335</v>
      </c>
      <c r="I26" s="80">
        <f t="shared" si="0"/>
        <v>1127.5973333333334</v>
      </c>
    </row>
    <row r="27" spans="1:9" ht="15.75" customHeight="1">
      <c r="A27" s="23">
        <v>1200</v>
      </c>
      <c r="B27" s="26" t="s">
        <v>73</v>
      </c>
      <c r="C27" s="81">
        <v>1741.91</v>
      </c>
      <c r="D27" s="80">
        <f t="shared" si="4"/>
        <v>2478.51</v>
      </c>
      <c r="E27" s="25">
        <f t="shared" si="5"/>
        <v>277.82</v>
      </c>
      <c r="F27" s="25">
        <v>286.15</v>
      </c>
      <c r="G27" s="25">
        <v>291.04</v>
      </c>
      <c r="H27" s="25">
        <f t="shared" si="6"/>
        <v>38.80533333333334</v>
      </c>
      <c r="I27" s="80">
        <f t="shared" si="0"/>
        <v>271.63733333333334</v>
      </c>
    </row>
    <row r="28" spans="1:9" ht="15.75" hidden="1">
      <c r="A28" s="23">
        <v>2100</v>
      </c>
      <c r="B28" s="30" t="s">
        <v>42</v>
      </c>
      <c r="C28" s="80"/>
      <c r="D28" s="80">
        <f t="shared" si="4"/>
        <v>0</v>
      </c>
      <c r="E28" s="25">
        <f t="shared" si="5"/>
        <v>0</v>
      </c>
      <c r="F28" s="25">
        <f aca="true" t="shared" si="7" ref="F28:F68">E28</f>
        <v>0</v>
      </c>
      <c r="G28" s="25">
        <f aca="true" t="shared" si="8" ref="G28:G69">F28</f>
        <v>0</v>
      </c>
      <c r="H28" s="25">
        <f t="shared" si="6"/>
        <v>0</v>
      </c>
      <c r="I28" s="80">
        <f t="shared" si="0"/>
        <v>0</v>
      </c>
    </row>
    <row r="29" spans="1:9" ht="15.75">
      <c r="A29" s="31">
        <v>2210</v>
      </c>
      <c r="B29" s="26" t="s">
        <v>38</v>
      </c>
      <c r="C29" s="80">
        <v>21</v>
      </c>
      <c r="D29" s="80">
        <f t="shared" si="4"/>
        <v>29.88</v>
      </c>
      <c r="E29" s="25">
        <f t="shared" si="5"/>
        <v>3.35</v>
      </c>
      <c r="F29" s="25">
        <f t="shared" si="7"/>
        <v>3.35</v>
      </c>
      <c r="G29" s="25">
        <f t="shared" si="8"/>
        <v>3.35</v>
      </c>
      <c r="H29" s="25">
        <f t="shared" si="6"/>
        <v>0.44666666666666666</v>
      </c>
      <c r="I29" s="80">
        <f t="shared" si="0"/>
        <v>3.1266666666666665</v>
      </c>
    </row>
    <row r="30" spans="1:9" ht="15.75">
      <c r="A30" s="23">
        <v>2222</v>
      </c>
      <c r="B30" s="26" t="s">
        <v>39</v>
      </c>
      <c r="C30" s="80">
        <v>159</v>
      </c>
      <c r="D30" s="80">
        <f t="shared" si="4"/>
        <v>226.24</v>
      </c>
      <c r="E30" s="25">
        <f t="shared" si="5"/>
        <v>25.36</v>
      </c>
      <c r="F30" s="25">
        <f t="shared" si="7"/>
        <v>25.36</v>
      </c>
      <c r="G30" s="25">
        <f t="shared" si="8"/>
        <v>25.36</v>
      </c>
      <c r="H30" s="25">
        <f t="shared" si="6"/>
        <v>3.3813333333333335</v>
      </c>
      <c r="I30" s="80">
        <f t="shared" si="0"/>
        <v>23.669333333333334</v>
      </c>
    </row>
    <row r="31" spans="1:9" ht="15.75">
      <c r="A31" s="23">
        <v>2223</v>
      </c>
      <c r="B31" s="26" t="s">
        <v>40</v>
      </c>
      <c r="C31" s="80">
        <v>112</v>
      </c>
      <c r="D31" s="80">
        <f t="shared" si="4"/>
        <v>159.36</v>
      </c>
      <c r="E31" s="25">
        <f t="shared" si="5"/>
        <v>17.86</v>
      </c>
      <c r="F31" s="25">
        <f t="shared" si="7"/>
        <v>17.86</v>
      </c>
      <c r="G31" s="25">
        <f t="shared" si="8"/>
        <v>17.86</v>
      </c>
      <c r="H31" s="25">
        <f t="shared" si="6"/>
        <v>2.381333333333333</v>
      </c>
      <c r="I31" s="80">
        <f t="shared" si="0"/>
        <v>16.669333333333334</v>
      </c>
    </row>
    <row r="32" spans="1:9" ht="15.75">
      <c r="A32" s="23">
        <v>2230</v>
      </c>
      <c r="B32" s="26" t="s">
        <v>41</v>
      </c>
      <c r="C32" s="80">
        <v>8</v>
      </c>
      <c r="D32" s="80">
        <f t="shared" si="4"/>
        <v>11.38</v>
      </c>
      <c r="E32" s="25">
        <f t="shared" si="5"/>
        <v>1.28</v>
      </c>
      <c r="F32" s="25">
        <f t="shared" si="7"/>
        <v>1.28</v>
      </c>
      <c r="G32" s="25">
        <f t="shared" si="8"/>
        <v>1.28</v>
      </c>
      <c r="H32" s="25">
        <f t="shared" si="6"/>
        <v>0.17066666666666666</v>
      </c>
      <c r="I32" s="80">
        <f t="shared" si="0"/>
        <v>1.1946666666666668</v>
      </c>
    </row>
    <row r="33" spans="1:9" ht="15.75" hidden="1">
      <c r="A33" s="23">
        <v>2241</v>
      </c>
      <c r="B33" s="26" t="s">
        <v>9</v>
      </c>
      <c r="C33" s="80"/>
      <c r="D33" s="80">
        <f t="shared" si="4"/>
        <v>0</v>
      </c>
      <c r="E33" s="25">
        <f t="shared" si="5"/>
        <v>0</v>
      </c>
      <c r="F33" s="25">
        <f t="shared" si="7"/>
        <v>0</v>
      </c>
      <c r="G33" s="25">
        <f t="shared" si="8"/>
        <v>0</v>
      </c>
      <c r="H33" s="25">
        <f t="shared" si="6"/>
        <v>0</v>
      </c>
      <c r="I33" s="80">
        <f t="shared" si="0"/>
        <v>0</v>
      </c>
    </row>
    <row r="34" spans="1:9" ht="15.75">
      <c r="A34" s="23">
        <v>2242</v>
      </c>
      <c r="B34" s="26" t="s">
        <v>10</v>
      </c>
      <c r="C34" s="80">
        <v>41</v>
      </c>
      <c r="D34" s="80">
        <f t="shared" si="4"/>
        <v>58.34</v>
      </c>
      <c r="E34" s="25">
        <f t="shared" si="5"/>
        <v>6.54</v>
      </c>
      <c r="F34" s="25">
        <f t="shared" si="7"/>
        <v>6.54</v>
      </c>
      <c r="G34" s="25">
        <f t="shared" si="8"/>
        <v>6.54</v>
      </c>
      <c r="H34" s="25">
        <f t="shared" si="6"/>
        <v>0.872</v>
      </c>
      <c r="I34" s="80">
        <f t="shared" si="0"/>
        <v>6.104</v>
      </c>
    </row>
    <row r="35" spans="1:9" ht="15.75">
      <c r="A35" s="23">
        <v>2243</v>
      </c>
      <c r="B35" s="26" t="s">
        <v>11</v>
      </c>
      <c r="C35" s="80">
        <v>140</v>
      </c>
      <c r="D35" s="80">
        <f t="shared" si="4"/>
        <v>199.2</v>
      </c>
      <c r="E35" s="25">
        <f t="shared" si="5"/>
        <v>22.33</v>
      </c>
      <c r="F35" s="25">
        <f t="shared" si="7"/>
        <v>22.33</v>
      </c>
      <c r="G35" s="25">
        <f t="shared" si="8"/>
        <v>22.33</v>
      </c>
      <c r="H35" s="25">
        <f t="shared" si="6"/>
        <v>2.977333333333333</v>
      </c>
      <c r="I35" s="80">
        <f t="shared" si="0"/>
        <v>20.84133333333333</v>
      </c>
    </row>
    <row r="36" spans="1:9" ht="15.75">
      <c r="A36" s="23">
        <v>2244</v>
      </c>
      <c r="B36" s="26" t="s">
        <v>12</v>
      </c>
      <c r="C36" s="80">
        <v>2056.28</v>
      </c>
      <c r="D36" s="80">
        <f t="shared" si="4"/>
        <v>2925.82</v>
      </c>
      <c r="E36" s="25">
        <f t="shared" si="5"/>
        <v>327.96</v>
      </c>
      <c r="F36" s="25">
        <f t="shared" si="7"/>
        <v>327.96</v>
      </c>
      <c r="G36" s="25">
        <f t="shared" si="8"/>
        <v>327.96</v>
      </c>
      <c r="H36" s="25">
        <f>G36/750*100+100*0.06</f>
        <v>49.727999999999994</v>
      </c>
      <c r="I36" s="80">
        <f t="shared" si="0"/>
        <v>348.09599999999995</v>
      </c>
    </row>
    <row r="37" spans="1:9" ht="15.75">
      <c r="A37" s="23">
        <v>2247</v>
      </c>
      <c r="B37" s="21" t="s">
        <v>76</v>
      </c>
      <c r="C37" s="80">
        <v>11</v>
      </c>
      <c r="D37" s="80">
        <f t="shared" si="4"/>
        <v>15.65</v>
      </c>
      <c r="E37" s="25">
        <f t="shared" si="5"/>
        <v>1.75</v>
      </c>
      <c r="F37" s="25">
        <f t="shared" si="7"/>
        <v>1.75</v>
      </c>
      <c r="G37" s="25">
        <f t="shared" si="8"/>
        <v>1.75</v>
      </c>
      <c r="H37" s="25">
        <f t="shared" si="6"/>
        <v>0.23333333333333336</v>
      </c>
      <c r="I37" s="80">
        <f t="shared" si="0"/>
        <v>1.6333333333333335</v>
      </c>
    </row>
    <row r="38" spans="1:9" ht="15.75">
      <c r="A38" s="23">
        <v>2249</v>
      </c>
      <c r="B38" s="26" t="s">
        <v>13</v>
      </c>
      <c r="C38" s="80">
        <v>51</v>
      </c>
      <c r="D38" s="80">
        <f t="shared" si="4"/>
        <v>72.57</v>
      </c>
      <c r="E38" s="25">
        <f t="shared" si="5"/>
        <v>8.13</v>
      </c>
      <c r="F38" s="25">
        <f t="shared" si="7"/>
        <v>8.13</v>
      </c>
      <c r="G38" s="25">
        <f t="shared" si="8"/>
        <v>8.13</v>
      </c>
      <c r="H38" s="25">
        <f t="shared" si="6"/>
        <v>1.084</v>
      </c>
      <c r="I38" s="80">
        <f t="shared" si="0"/>
        <v>7.588</v>
      </c>
    </row>
    <row r="39" spans="1:9" ht="15.75">
      <c r="A39" s="23">
        <v>2251</v>
      </c>
      <c r="B39" s="26" t="s">
        <v>77</v>
      </c>
      <c r="C39" s="80">
        <v>154</v>
      </c>
      <c r="D39" s="80">
        <f t="shared" si="4"/>
        <v>219.12</v>
      </c>
      <c r="E39" s="25">
        <f t="shared" si="5"/>
        <v>24.56</v>
      </c>
      <c r="F39" s="25">
        <f t="shared" si="7"/>
        <v>24.56</v>
      </c>
      <c r="G39" s="25">
        <f t="shared" si="8"/>
        <v>24.56</v>
      </c>
      <c r="H39" s="25">
        <f t="shared" si="6"/>
        <v>3.2746666666666666</v>
      </c>
      <c r="I39" s="80">
        <f t="shared" si="0"/>
        <v>22.922666666666668</v>
      </c>
    </row>
    <row r="40" spans="1:9" ht="15.75" hidden="1">
      <c r="A40" s="23">
        <v>2252</v>
      </c>
      <c r="B40" s="26" t="s">
        <v>7</v>
      </c>
      <c r="C40" s="80"/>
      <c r="D40" s="80">
        <f t="shared" si="4"/>
        <v>0</v>
      </c>
      <c r="E40" s="25">
        <f t="shared" si="5"/>
        <v>0</v>
      </c>
      <c r="F40" s="25">
        <f t="shared" si="7"/>
        <v>0</v>
      </c>
      <c r="G40" s="25">
        <f t="shared" si="8"/>
        <v>0</v>
      </c>
      <c r="H40" s="25">
        <f t="shared" si="6"/>
        <v>0</v>
      </c>
      <c r="I40" s="80">
        <f t="shared" si="0"/>
        <v>0</v>
      </c>
    </row>
    <row r="41" spans="1:9" ht="15.75" hidden="1">
      <c r="A41" s="23">
        <v>2259</v>
      </c>
      <c r="B41" s="26" t="s">
        <v>8</v>
      </c>
      <c r="C41" s="80">
        <v>0</v>
      </c>
      <c r="D41" s="80">
        <f t="shared" si="4"/>
        <v>0</v>
      </c>
      <c r="E41" s="25">
        <f t="shared" si="5"/>
        <v>0</v>
      </c>
      <c r="F41" s="25">
        <f t="shared" si="7"/>
        <v>0</v>
      </c>
      <c r="G41" s="25">
        <f t="shared" si="8"/>
        <v>0</v>
      </c>
      <c r="H41" s="25">
        <f t="shared" si="6"/>
        <v>0</v>
      </c>
      <c r="I41" s="80">
        <f t="shared" si="0"/>
        <v>0</v>
      </c>
    </row>
    <row r="42" spans="1:9" ht="15.75">
      <c r="A42" s="23">
        <v>2261</v>
      </c>
      <c r="B42" s="26" t="s">
        <v>14</v>
      </c>
      <c r="C42" s="80">
        <v>27</v>
      </c>
      <c r="D42" s="80">
        <f t="shared" si="4"/>
        <v>38.42</v>
      </c>
      <c r="E42" s="25">
        <f t="shared" si="5"/>
        <v>4.31</v>
      </c>
      <c r="F42" s="25">
        <f t="shared" si="7"/>
        <v>4.31</v>
      </c>
      <c r="G42" s="25">
        <f t="shared" si="8"/>
        <v>4.31</v>
      </c>
      <c r="H42" s="25">
        <f t="shared" si="6"/>
        <v>0.5746666666666667</v>
      </c>
      <c r="I42" s="80">
        <f t="shared" si="0"/>
        <v>4.022666666666667</v>
      </c>
    </row>
    <row r="43" spans="1:9" ht="15.75">
      <c r="A43" s="23">
        <v>2262</v>
      </c>
      <c r="B43" s="26" t="s">
        <v>15</v>
      </c>
      <c r="C43" s="80">
        <v>121</v>
      </c>
      <c r="D43" s="80">
        <f t="shared" si="4"/>
        <v>172.17</v>
      </c>
      <c r="E43" s="25">
        <f t="shared" si="5"/>
        <v>19.3</v>
      </c>
      <c r="F43" s="25">
        <f t="shared" si="7"/>
        <v>19.3</v>
      </c>
      <c r="G43" s="25">
        <f t="shared" si="8"/>
        <v>19.3</v>
      </c>
      <c r="H43" s="25">
        <f t="shared" si="6"/>
        <v>2.5733333333333333</v>
      </c>
      <c r="I43" s="80">
        <f t="shared" si="0"/>
        <v>18.013333333333332</v>
      </c>
    </row>
    <row r="44" spans="1:9" ht="15.75">
      <c r="A44" s="23">
        <v>2263</v>
      </c>
      <c r="B44" s="26" t="s">
        <v>16</v>
      </c>
      <c r="C44" s="80">
        <v>449</v>
      </c>
      <c r="D44" s="80">
        <f t="shared" si="4"/>
        <v>638.87</v>
      </c>
      <c r="E44" s="25">
        <f t="shared" si="5"/>
        <v>71.61</v>
      </c>
      <c r="F44" s="25">
        <f t="shared" si="7"/>
        <v>71.61</v>
      </c>
      <c r="G44" s="25">
        <f t="shared" si="8"/>
        <v>71.61</v>
      </c>
      <c r="H44" s="25">
        <f t="shared" si="6"/>
        <v>9.548</v>
      </c>
      <c r="I44" s="80">
        <f t="shared" si="0"/>
        <v>66.836</v>
      </c>
    </row>
    <row r="45" spans="1:9" ht="15.75">
      <c r="A45" s="23">
        <v>2264</v>
      </c>
      <c r="B45" s="26" t="s">
        <v>17</v>
      </c>
      <c r="C45" s="80">
        <v>2</v>
      </c>
      <c r="D45" s="80">
        <f t="shared" si="4"/>
        <v>2.85</v>
      </c>
      <c r="E45" s="25">
        <f t="shared" si="5"/>
        <v>0.32</v>
      </c>
      <c r="F45" s="25">
        <f t="shared" si="7"/>
        <v>0.32</v>
      </c>
      <c r="G45" s="25">
        <f t="shared" si="8"/>
        <v>0.32</v>
      </c>
      <c r="H45" s="25">
        <f t="shared" si="6"/>
        <v>0.042666666666666665</v>
      </c>
      <c r="I45" s="80">
        <f t="shared" si="0"/>
        <v>0.2986666666666667</v>
      </c>
    </row>
    <row r="46" spans="1:9" ht="15.75">
      <c r="A46" s="23">
        <v>2279</v>
      </c>
      <c r="B46" s="26" t="s">
        <v>18</v>
      </c>
      <c r="C46" s="80">
        <v>507</v>
      </c>
      <c r="D46" s="80">
        <f t="shared" si="4"/>
        <v>721.4</v>
      </c>
      <c r="E46" s="25">
        <f t="shared" si="5"/>
        <v>80.86</v>
      </c>
      <c r="F46" s="25">
        <f t="shared" si="7"/>
        <v>80.86</v>
      </c>
      <c r="G46" s="25">
        <f t="shared" si="8"/>
        <v>80.86</v>
      </c>
      <c r="H46" s="25">
        <f t="shared" si="6"/>
        <v>10.781333333333333</v>
      </c>
      <c r="I46" s="80">
        <f t="shared" si="0"/>
        <v>75.46933333333332</v>
      </c>
    </row>
    <row r="47" spans="1:9" ht="15.75">
      <c r="A47" s="23">
        <v>2311</v>
      </c>
      <c r="B47" s="26" t="s">
        <v>19</v>
      </c>
      <c r="C47" s="80">
        <v>46</v>
      </c>
      <c r="D47" s="80">
        <f t="shared" si="4"/>
        <v>65.45</v>
      </c>
      <c r="E47" s="25">
        <f t="shared" si="5"/>
        <v>7.34</v>
      </c>
      <c r="F47" s="25">
        <f t="shared" si="7"/>
        <v>7.34</v>
      </c>
      <c r="G47" s="25">
        <f t="shared" si="8"/>
        <v>7.34</v>
      </c>
      <c r="H47" s="25">
        <f t="shared" si="6"/>
        <v>0.9786666666666666</v>
      </c>
      <c r="I47" s="80">
        <f t="shared" si="0"/>
        <v>6.850666666666666</v>
      </c>
    </row>
    <row r="48" spans="1:9" ht="15.75">
      <c r="A48" s="23">
        <v>2312</v>
      </c>
      <c r="B48" s="26" t="s">
        <v>20</v>
      </c>
      <c r="C48" s="80">
        <v>88</v>
      </c>
      <c r="D48" s="80">
        <f t="shared" si="4"/>
        <v>125.21</v>
      </c>
      <c r="E48" s="25">
        <f t="shared" si="5"/>
        <v>14.03</v>
      </c>
      <c r="F48" s="25">
        <f t="shared" si="7"/>
        <v>14.03</v>
      </c>
      <c r="G48" s="25">
        <f t="shared" si="8"/>
        <v>14.03</v>
      </c>
      <c r="H48" s="25">
        <f t="shared" si="6"/>
        <v>1.8706666666666667</v>
      </c>
      <c r="I48" s="80">
        <f t="shared" si="0"/>
        <v>13.094666666666667</v>
      </c>
    </row>
    <row r="49" spans="1:9" ht="15.75">
      <c r="A49" s="23">
        <v>2321</v>
      </c>
      <c r="B49" s="26" t="s">
        <v>21</v>
      </c>
      <c r="C49" s="80">
        <v>214</v>
      </c>
      <c r="D49" s="80">
        <f t="shared" si="4"/>
        <v>304.49</v>
      </c>
      <c r="E49" s="25">
        <f t="shared" si="5"/>
        <v>34.13</v>
      </c>
      <c r="F49" s="25">
        <f t="shared" si="7"/>
        <v>34.13</v>
      </c>
      <c r="G49" s="25">
        <f t="shared" si="8"/>
        <v>34.13</v>
      </c>
      <c r="H49" s="25">
        <f t="shared" si="6"/>
        <v>4.550666666666666</v>
      </c>
      <c r="I49" s="80">
        <f t="shared" si="0"/>
        <v>31.854666666666667</v>
      </c>
    </row>
    <row r="50" spans="1:9" ht="15.75">
      <c r="A50" s="23">
        <v>2322</v>
      </c>
      <c r="B50" s="26" t="s">
        <v>22</v>
      </c>
      <c r="C50" s="80">
        <v>112</v>
      </c>
      <c r="D50" s="80">
        <f t="shared" si="4"/>
        <v>159.36</v>
      </c>
      <c r="E50" s="25">
        <f t="shared" si="5"/>
        <v>17.86</v>
      </c>
      <c r="F50" s="25">
        <v>17.11</v>
      </c>
      <c r="G50" s="25">
        <f t="shared" si="8"/>
        <v>17.11</v>
      </c>
      <c r="H50" s="25">
        <f t="shared" si="6"/>
        <v>2.281333333333333</v>
      </c>
      <c r="I50" s="80">
        <f t="shared" si="0"/>
        <v>15.969333333333331</v>
      </c>
    </row>
    <row r="51" spans="1:9" ht="15.75">
      <c r="A51" s="23">
        <v>2341</v>
      </c>
      <c r="B51" s="26" t="s">
        <v>23</v>
      </c>
      <c r="C51" s="80">
        <v>65</v>
      </c>
      <c r="D51" s="80">
        <f t="shared" si="4"/>
        <v>92.49</v>
      </c>
      <c r="E51" s="25">
        <f t="shared" si="5"/>
        <v>10.37</v>
      </c>
      <c r="F51" s="25">
        <f t="shared" si="7"/>
        <v>10.37</v>
      </c>
      <c r="G51" s="25">
        <f t="shared" si="8"/>
        <v>10.37</v>
      </c>
      <c r="H51" s="25">
        <f t="shared" si="6"/>
        <v>1.3826666666666665</v>
      </c>
      <c r="I51" s="80">
        <f t="shared" si="0"/>
        <v>9.678666666666665</v>
      </c>
    </row>
    <row r="52" spans="1:9" ht="15.75">
      <c r="A52" s="23">
        <v>2344</v>
      </c>
      <c r="B52" s="26" t="s">
        <v>24</v>
      </c>
      <c r="C52" s="80">
        <v>1</v>
      </c>
      <c r="D52" s="80">
        <f t="shared" si="4"/>
        <v>1.42</v>
      </c>
      <c r="E52" s="25">
        <f t="shared" si="5"/>
        <v>0.16</v>
      </c>
      <c r="F52" s="25">
        <f t="shared" si="7"/>
        <v>0.16</v>
      </c>
      <c r="G52" s="25">
        <f t="shared" si="8"/>
        <v>0.16</v>
      </c>
      <c r="H52" s="25">
        <f t="shared" si="6"/>
        <v>0.021333333333333333</v>
      </c>
      <c r="I52" s="80">
        <f t="shared" si="0"/>
        <v>0.14933333333333335</v>
      </c>
    </row>
    <row r="53" spans="1:9" ht="15.75">
      <c r="A53" s="23">
        <v>2350</v>
      </c>
      <c r="B53" s="26" t="s">
        <v>25</v>
      </c>
      <c r="C53" s="80">
        <v>400</v>
      </c>
      <c r="D53" s="80">
        <f t="shared" si="4"/>
        <v>569.15</v>
      </c>
      <c r="E53" s="25">
        <f t="shared" si="5"/>
        <v>63.8</v>
      </c>
      <c r="F53" s="25">
        <f t="shared" si="7"/>
        <v>63.8</v>
      </c>
      <c r="G53" s="25">
        <f t="shared" si="8"/>
        <v>63.8</v>
      </c>
      <c r="H53" s="25">
        <f t="shared" si="6"/>
        <v>8.506666666666666</v>
      </c>
      <c r="I53" s="80">
        <f t="shared" si="0"/>
        <v>59.54666666666667</v>
      </c>
    </row>
    <row r="54" spans="1:9" ht="15.75">
      <c r="A54" s="23">
        <v>2361</v>
      </c>
      <c r="B54" s="26" t="s">
        <v>26</v>
      </c>
      <c r="C54" s="80">
        <v>245</v>
      </c>
      <c r="D54" s="80">
        <f t="shared" si="4"/>
        <v>348.6</v>
      </c>
      <c r="E54" s="25">
        <f t="shared" si="5"/>
        <v>39.07</v>
      </c>
      <c r="F54" s="25">
        <f t="shared" si="7"/>
        <v>39.07</v>
      </c>
      <c r="G54" s="25">
        <f t="shared" si="8"/>
        <v>39.07</v>
      </c>
      <c r="H54" s="25">
        <f t="shared" si="6"/>
        <v>5.209333333333333</v>
      </c>
      <c r="I54" s="80">
        <f t="shared" si="0"/>
        <v>36.465333333333334</v>
      </c>
    </row>
    <row r="55" spans="1:9" ht="15.75" hidden="1">
      <c r="A55" s="23">
        <v>2362</v>
      </c>
      <c r="B55" s="26" t="s">
        <v>27</v>
      </c>
      <c r="C55" s="80"/>
      <c r="D55" s="80">
        <f t="shared" si="4"/>
        <v>0</v>
      </c>
      <c r="E55" s="25">
        <f t="shared" si="5"/>
        <v>0</v>
      </c>
      <c r="F55" s="25">
        <f t="shared" si="7"/>
        <v>0</v>
      </c>
      <c r="G55" s="25">
        <f t="shared" si="8"/>
        <v>0</v>
      </c>
      <c r="H55" s="25">
        <f t="shared" si="6"/>
        <v>0</v>
      </c>
      <c r="I55" s="80">
        <f t="shared" si="0"/>
        <v>0</v>
      </c>
    </row>
    <row r="56" spans="1:9" ht="15.75" hidden="1">
      <c r="A56" s="23">
        <v>2363</v>
      </c>
      <c r="B56" s="26" t="s">
        <v>28</v>
      </c>
      <c r="C56" s="80"/>
      <c r="D56" s="80">
        <f t="shared" si="4"/>
        <v>0</v>
      </c>
      <c r="E56" s="25">
        <f t="shared" si="5"/>
        <v>0</v>
      </c>
      <c r="F56" s="25">
        <f t="shared" si="7"/>
        <v>0</v>
      </c>
      <c r="G56" s="25">
        <f t="shared" si="8"/>
        <v>0</v>
      </c>
      <c r="H56" s="25">
        <f t="shared" si="6"/>
        <v>0</v>
      </c>
      <c r="I56" s="80">
        <f t="shared" si="0"/>
        <v>0</v>
      </c>
    </row>
    <row r="57" spans="1:9" ht="15.75" hidden="1">
      <c r="A57" s="23">
        <v>2370</v>
      </c>
      <c r="B57" s="26" t="s">
        <v>29</v>
      </c>
      <c r="C57" s="80"/>
      <c r="D57" s="80">
        <f t="shared" si="4"/>
        <v>0</v>
      </c>
      <c r="E57" s="25">
        <f t="shared" si="5"/>
        <v>0</v>
      </c>
      <c r="F57" s="25">
        <f t="shared" si="7"/>
        <v>0</v>
      </c>
      <c r="G57" s="25">
        <f t="shared" si="8"/>
        <v>0</v>
      </c>
      <c r="H57" s="25">
        <f t="shared" si="6"/>
        <v>0</v>
      </c>
      <c r="I57" s="80">
        <f t="shared" si="0"/>
        <v>0</v>
      </c>
    </row>
    <row r="58" spans="1:9" ht="15.75">
      <c r="A58" s="23">
        <v>2400</v>
      </c>
      <c r="B58" s="26" t="s">
        <v>43</v>
      </c>
      <c r="C58" s="80">
        <v>18</v>
      </c>
      <c r="D58" s="80">
        <f t="shared" si="4"/>
        <v>25.61</v>
      </c>
      <c r="E58" s="25">
        <f t="shared" si="5"/>
        <v>2.87</v>
      </c>
      <c r="F58" s="25">
        <f t="shared" si="7"/>
        <v>2.87</v>
      </c>
      <c r="G58" s="25">
        <f t="shared" si="8"/>
        <v>2.87</v>
      </c>
      <c r="H58" s="25">
        <f t="shared" si="6"/>
        <v>0.3826666666666667</v>
      </c>
      <c r="I58" s="80">
        <f t="shared" si="0"/>
        <v>2.678666666666667</v>
      </c>
    </row>
    <row r="59" spans="1:9" ht="15.75" hidden="1">
      <c r="A59" s="23">
        <v>2512</v>
      </c>
      <c r="B59" s="26" t="s">
        <v>30</v>
      </c>
      <c r="C59" s="80">
        <v>0</v>
      </c>
      <c r="D59" s="80">
        <f t="shared" si="4"/>
        <v>0</v>
      </c>
      <c r="E59" s="25">
        <f t="shared" si="5"/>
        <v>0</v>
      </c>
      <c r="F59" s="25">
        <f t="shared" si="7"/>
        <v>0</v>
      </c>
      <c r="G59" s="25">
        <f t="shared" si="8"/>
        <v>0</v>
      </c>
      <c r="H59" s="25">
        <f t="shared" si="6"/>
        <v>0</v>
      </c>
      <c r="I59" s="80">
        <f t="shared" si="0"/>
        <v>0</v>
      </c>
    </row>
    <row r="60" spans="1:9" ht="15.75">
      <c r="A60" s="23">
        <v>2513</v>
      </c>
      <c r="B60" s="26" t="s">
        <v>31</v>
      </c>
      <c r="C60" s="80">
        <v>327</v>
      </c>
      <c r="D60" s="80">
        <f t="shared" si="4"/>
        <v>465.28</v>
      </c>
      <c r="E60" s="25">
        <f t="shared" si="5"/>
        <v>52.15</v>
      </c>
      <c r="F60" s="25">
        <f t="shared" si="7"/>
        <v>52.15</v>
      </c>
      <c r="G60" s="25">
        <f t="shared" si="8"/>
        <v>52.15</v>
      </c>
      <c r="H60" s="25">
        <f t="shared" si="6"/>
        <v>6.953333333333333</v>
      </c>
      <c r="I60" s="80">
        <f t="shared" si="0"/>
        <v>48.67333333333333</v>
      </c>
    </row>
    <row r="61" spans="1:9" ht="15.75">
      <c r="A61" s="22">
        <v>2515</v>
      </c>
      <c r="B61" s="26" t="s">
        <v>78</v>
      </c>
      <c r="C61" s="80">
        <v>13</v>
      </c>
      <c r="D61" s="80">
        <f t="shared" si="4"/>
        <v>18.5</v>
      </c>
      <c r="E61" s="25">
        <f t="shared" si="5"/>
        <v>2.07</v>
      </c>
      <c r="F61" s="25">
        <f t="shared" si="7"/>
        <v>2.07</v>
      </c>
      <c r="G61" s="25">
        <f t="shared" si="8"/>
        <v>2.07</v>
      </c>
      <c r="H61" s="25">
        <f t="shared" si="6"/>
        <v>0.27599999999999997</v>
      </c>
      <c r="I61" s="80">
        <f t="shared" si="0"/>
        <v>1.932</v>
      </c>
    </row>
    <row r="62" spans="1:9" ht="15.75">
      <c r="A62" s="23">
        <v>2519</v>
      </c>
      <c r="B62" s="32" t="s">
        <v>34</v>
      </c>
      <c r="C62" s="25">
        <v>79</v>
      </c>
      <c r="D62" s="80">
        <f t="shared" si="4"/>
        <v>112.41</v>
      </c>
      <c r="E62" s="25">
        <f t="shared" si="5"/>
        <v>12.6</v>
      </c>
      <c r="F62" s="25">
        <f t="shared" si="7"/>
        <v>12.6</v>
      </c>
      <c r="G62" s="25">
        <f t="shared" si="8"/>
        <v>12.6</v>
      </c>
      <c r="H62" s="25">
        <f t="shared" si="6"/>
        <v>1.68</v>
      </c>
      <c r="I62" s="80">
        <f t="shared" si="0"/>
        <v>11.76</v>
      </c>
    </row>
    <row r="63" spans="1:9" ht="15.75" hidden="1">
      <c r="A63" s="22">
        <v>6240</v>
      </c>
      <c r="B63" s="26"/>
      <c r="C63" s="80"/>
      <c r="D63" s="80">
        <f t="shared" si="4"/>
        <v>0</v>
      </c>
      <c r="E63" s="25">
        <f t="shared" si="5"/>
        <v>0</v>
      </c>
      <c r="F63" s="25">
        <f t="shared" si="7"/>
        <v>0</v>
      </c>
      <c r="G63" s="25">
        <f t="shared" si="8"/>
        <v>0</v>
      </c>
      <c r="H63" s="25">
        <f t="shared" si="6"/>
        <v>0</v>
      </c>
      <c r="I63" s="80">
        <f t="shared" si="0"/>
        <v>0</v>
      </c>
    </row>
    <row r="64" spans="1:9" ht="15.75" hidden="1">
      <c r="A64" s="22">
        <v>6290</v>
      </c>
      <c r="B64" s="26"/>
      <c r="C64" s="80"/>
      <c r="D64" s="80">
        <f t="shared" si="4"/>
        <v>0</v>
      </c>
      <c r="E64" s="25">
        <f t="shared" si="5"/>
        <v>0</v>
      </c>
      <c r="F64" s="25">
        <f t="shared" si="7"/>
        <v>0</v>
      </c>
      <c r="G64" s="25">
        <f t="shared" si="8"/>
        <v>0</v>
      </c>
      <c r="H64" s="25">
        <f t="shared" si="6"/>
        <v>0</v>
      </c>
      <c r="I64" s="80">
        <f t="shared" si="0"/>
        <v>0</v>
      </c>
    </row>
    <row r="65" spans="1:9" ht="15.75">
      <c r="A65" s="22">
        <v>5121</v>
      </c>
      <c r="B65" s="26" t="s">
        <v>32</v>
      </c>
      <c r="C65" s="80">
        <v>57</v>
      </c>
      <c r="D65" s="80">
        <f t="shared" si="4"/>
        <v>81.1</v>
      </c>
      <c r="E65" s="25">
        <f t="shared" si="5"/>
        <v>9.09</v>
      </c>
      <c r="F65" s="25">
        <f t="shared" si="7"/>
        <v>9.09</v>
      </c>
      <c r="G65" s="25">
        <f t="shared" si="8"/>
        <v>9.09</v>
      </c>
      <c r="H65" s="25">
        <f t="shared" si="6"/>
        <v>1.212</v>
      </c>
      <c r="I65" s="80">
        <f t="shared" si="0"/>
        <v>8.484</v>
      </c>
    </row>
    <row r="66" spans="1:9" ht="15.75">
      <c r="A66" s="22">
        <v>5232</v>
      </c>
      <c r="B66" s="26" t="s">
        <v>33</v>
      </c>
      <c r="C66" s="80">
        <v>7</v>
      </c>
      <c r="D66" s="80">
        <v>25.28</v>
      </c>
      <c r="E66" s="25">
        <v>2.84</v>
      </c>
      <c r="F66" s="25">
        <f t="shared" si="7"/>
        <v>2.84</v>
      </c>
      <c r="G66" s="25">
        <v>8.62</v>
      </c>
      <c r="H66" s="25">
        <f t="shared" si="6"/>
        <v>1.1493333333333333</v>
      </c>
      <c r="I66" s="80">
        <f t="shared" si="0"/>
        <v>8.045333333333334</v>
      </c>
    </row>
    <row r="67" spans="1:9" ht="15.75" hidden="1">
      <c r="A67" s="22">
        <v>5238</v>
      </c>
      <c r="B67" s="26" t="s">
        <v>35</v>
      </c>
      <c r="C67" s="80"/>
      <c r="D67" s="80">
        <f t="shared" si="4"/>
        <v>0</v>
      </c>
      <c r="E67" s="25">
        <f t="shared" si="5"/>
        <v>0</v>
      </c>
      <c r="F67" s="25">
        <f t="shared" si="7"/>
        <v>0</v>
      </c>
      <c r="G67" s="25">
        <f t="shared" si="8"/>
        <v>0</v>
      </c>
      <c r="H67" s="25">
        <f t="shared" si="6"/>
        <v>0</v>
      </c>
      <c r="I67" s="80">
        <f t="shared" si="0"/>
        <v>0</v>
      </c>
    </row>
    <row r="68" spans="1:9" ht="15.75">
      <c r="A68" s="23">
        <v>5240</v>
      </c>
      <c r="B68" s="32" t="s">
        <v>36</v>
      </c>
      <c r="C68" s="25">
        <v>2</v>
      </c>
      <c r="D68" s="80">
        <f t="shared" si="4"/>
        <v>2.85</v>
      </c>
      <c r="E68" s="25">
        <f t="shared" si="5"/>
        <v>0.32</v>
      </c>
      <c r="F68" s="25">
        <f t="shared" si="7"/>
        <v>0.32</v>
      </c>
      <c r="G68" s="25">
        <f t="shared" si="8"/>
        <v>0.32</v>
      </c>
      <c r="H68" s="25">
        <f t="shared" si="6"/>
        <v>0.042666666666666665</v>
      </c>
      <c r="I68" s="80">
        <f t="shared" si="0"/>
        <v>0.2986666666666667</v>
      </c>
    </row>
    <row r="69" spans="1:9" ht="15.75" hidden="1">
      <c r="A69" s="22">
        <v>5250</v>
      </c>
      <c r="B69" s="26" t="s">
        <v>37</v>
      </c>
      <c r="C69" s="80"/>
      <c r="D69" s="26"/>
      <c r="E69" s="25"/>
      <c r="F69" s="25">
        <f>E69/21854*400</f>
        <v>0</v>
      </c>
      <c r="G69" s="25">
        <f t="shared" si="8"/>
        <v>0</v>
      </c>
      <c r="H69" s="25">
        <f t="shared" si="6"/>
        <v>0</v>
      </c>
      <c r="I69">
        <f t="shared" si="0"/>
        <v>0</v>
      </c>
    </row>
    <row r="70" spans="1:9" ht="15.75">
      <c r="A70" s="33"/>
      <c r="B70" s="34" t="s">
        <v>79</v>
      </c>
      <c r="C70" s="82">
        <f aca="true" t="shared" si="9" ref="C70:I70">SUM(C26:C69)</f>
        <v>14659.28</v>
      </c>
      <c r="D70" s="82">
        <f t="shared" si="9"/>
        <v>20873.589999999993</v>
      </c>
      <c r="E70" s="28">
        <f t="shared" si="9"/>
        <v>2339.7400000000007</v>
      </c>
      <c r="F70" s="28">
        <f t="shared" si="9"/>
        <v>2382.6500000000005</v>
      </c>
      <c r="G70" s="28">
        <f t="shared" si="9"/>
        <v>2388.4300000000003</v>
      </c>
      <c r="H70" s="28">
        <f t="shared" si="9"/>
        <v>324.45733333333345</v>
      </c>
      <c r="I70" s="28">
        <f t="shared" si="9"/>
        <v>2271.2013333333334</v>
      </c>
    </row>
    <row r="71" spans="1:9" ht="15.75">
      <c r="A71" s="33"/>
      <c r="B71" s="34" t="s">
        <v>80</v>
      </c>
      <c r="C71" s="82">
        <f aca="true" t="shared" si="10" ref="C71:I71">C70+C24</f>
        <v>24489.06</v>
      </c>
      <c r="D71" s="82">
        <f t="shared" si="10"/>
        <v>34860.10999999999</v>
      </c>
      <c r="E71" s="28">
        <f t="shared" si="10"/>
        <v>3907.5000000000005</v>
      </c>
      <c r="F71" s="28">
        <f t="shared" si="10"/>
        <v>4012.5000000000005</v>
      </c>
      <c r="G71" s="28">
        <f t="shared" si="10"/>
        <v>4462.5</v>
      </c>
      <c r="H71" s="28">
        <f t="shared" si="10"/>
        <v>603.0000000000001</v>
      </c>
      <c r="I71" s="28">
        <f t="shared" si="10"/>
        <v>4221</v>
      </c>
    </row>
    <row r="72" spans="1:8" ht="15.75">
      <c r="A72" s="9"/>
      <c r="B72" s="14"/>
      <c r="C72" s="35"/>
      <c r="D72" s="35"/>
      <c r="E72" s="41"/>
      <c r="F72" s="41"/>
      <c r="G72" s="41"/>
      <c r="H72" s="41"/>
    </row>
    <row r="73" spans="1:9" ht="15.75">
      <c r="A73" s="212" t="s">
        <v>45</v>
      </c>
      <c r="B73" s="213"/>
      <c r="C73" s="36">
        <v>6691</v>
      </c>
      <c r="D73" s="17">
        <v>6691</v>
      </c>
      <c r="E73" s="42">
        <v>750</v>
      </c>
      <c r="F73" s="42">
        <v>750</v>
      </c>
      <c r="G73" s="42">
        <v>750</v>
      </c>
      <c r="H73" s="162">
        <v>100</v>
      </c>
      <c r="I73" s="162">
        <v>700</v>
      </c>
    </row>
    <row r="74" spans="1:9" ht="15.75">
      <c r="A74" s="212" t="s">
        <v>91</v>
      </c>
      <c r="B74" s="213"/>
      <c r="C74" s="99">
        <f>C71/C73</f>
        <v>3.66</v>
      </c>
      <c r="D74" s="82">
        <f aca="true" t="shared" si="11" ref="D74:I74">ROUND(D71/D73,2)</f>
        <v>5.21</v>
      </c>
      <c r="E74" s="28">
        <f t="shared" si="11"/>
        <v>5.21</v>
      </c>
      <c r="F74" s="28">
        <f t="shared" si="11"/>
        <v>5.35</v>
      </c>
      <c r="G74" s="28">
        <f t="shared" si="11"/>
        <v>5.95</v>
      </c>
      <c r="H74" s="164">
        <f t="shared" si="11"/>
        <v>6.03</v>
      </c>
      <c r="I74" s="164">
        <f t="shared" si="11"/>
        <v>6.03</v>
      </c>
    </row>
    <row r="75" spans="1:9" ht="15.75">
      <c r="A75" s="14"/>
      <c r="B75" s="11"/>
      <c r="C75" s="11"/>
      <c r="D75" s="11"/>
      <c r="E75" s="43"/>
      <c r="F75" s="43"/>
      <c r="G75" s="43"/>
      <c r="H75" s="43"/>
      <c r="I75" s="43"/>
    </row>
    <row r="76" spans="1:9" ht="15.75">
      <c r="A76" s="212" t="s">
        <v>46</v>
      </c>
      <c r="B76" s="213"/>
      <c r="C76" s="72"/>
      <c r="D76" s="72"/>
      <c r="E76" s="44"/>
      <c r="F76" s="44"/>
      <c r="G76" s="44"/>
      <c r="H76" s="44"/>
      <c r="I76" s="44"/>
    </row>
    <row r="77" spans="1:9" ht="15.75">
      <c r="A77" s="212" t="s">
        <v>56</v>
      </c>
      <c r="B77" s="213"/>
      <c r="C77" s="72"/>
      <c r="D77" s="72"/>
      <c r="E77" s="44"/>
      <c r="F77" s="44"/>
      <c r="G77" s="44"/>
      <c r="H77" s="44"/>
      <c r="I77" s="44"/>
    </row>
    <row r="78" spans="1:8" ht="15.75">
      <c r="A78" s="38"/>
      <c r="B78" s="38"/>
      <c r="C78" s="38"/>
      <c r="D78" s="38"/>
      <c r="E78" s="38"/>
      <c r="F78" s="38"/>
      <c r="G78" s="38"/>
      <c r="H78" s="38"/>
    </row>
    <row r="79" spans="1:8" ht="15.75">
      <c r="A79" s="38" t="s">
        <v>47</v>
      </c>
      <c r="B79" s="38"/>
      <c r="C79" s="38"/>
      <c r="D79" s="38"/>
      <c r="E79" s="38"/>
      <c r="F79" s="38"/>
      <c r="G79" s="38"/>
      <c r="H79" s="38"/>
    </row>
    <row r="80" spans="1:8" ht="15.75">
      <c r="A80" s="38"/>
      <c r="B80" s="38"/>
      <c r="C80" s="38"/>
      <c r="D80" s="38"/>
      <c r="E80" s="38"/>
      <c r="F80" s="38"/>
      <c r="G80" s="38"/>
      <c r="H80" s="38"/>
    </row>
    <row r="81" spans="1:8" ht="15.75">
      <c r="A81" s="38"/>
      <c r="B81" s="39"/>
      <c r="C81" s="39"/>
      <c r="D81" s="39"/>
      <c r="E81" s="38"/>
      <c r="F81" s="38"/>
      <c r="G81" s="38"/>
      <c r="H81" s="38"/>
    </row>
    <row r="82" spans="1:8" ht="15.75">
      <c r="A82" s="38"/>
      <c r="B82" s="40"/>
      <c r="C82" s="40"/>
      <c r="D82" s="40"/>
      <c r="E82" s="38"/>
      <c r="F82" s="38"/>
      <c r="G82" s="38"/>
      <c r="H82" s="38"/>
    </row>
    <row r="83" spans="1:8" ht="15.75">
      <c r="A83" s="7"/>
      <c r="B83" s="7"/>
      <c r="C83" s="7"/>
      <c r="D83" s="7"/>
      <c r="E83" s="7"/>
      <c r="F83" s="15"/>
      <c r="G83" s="15"/>
      <c r="H83" s="15"/>
    </row>
    <row r="84" spans="1:8" ht="20.25">
      <c r="A84" s="111"/>
      <c r="B84" s="151"/>
      <c r="C84" s="92"/>
      <c r="D84" s="112"/>
      <c r="F84" s="152"/>
      <c r="G84" s="152"/>
      <c r="H84" s="152"/>
    </row>
    <row r="85" spans="1:4" ht="15">
      <c r="A85" s="113"/>
      <c r="B85" s="113"/>
      <c r="C85" s="92"/>
      <c r="D85" s="92"/>
    </row>
    <row r="86" spans="1:4" ht="15">
      <c r="A86" s="113"/>
      <c r="B86" s="113"/>
      <c r="C86" s="92"/>
      <c r="D86" s="92"/>
    </row>
    <row r="87" spans="1:4" ht="15">
      <c r="A87" s="229"/>
      <c r="B87" s="229"/>
      <c r="C87" s="92"/>
      <c r="D87" s="92"/>
    </row>
    <row r="88" spans="1:4" ht="15">
      <c r="A88" s="113"/>
      <c r="B88" s="113"/>
      <c r="C88" s="92"/>
      <c r="D88" s="92"/>
    </row>
    <row r="89" spans="1:4" ht="15">
      <c r="A89" s="230"/>
      <c r="B89" s="230"/>
      <c r="C89" s="92"/>
      <c r="D89" s="92"/>
    </row>
    <row r="90" spans="1:4" ht="15">
      <c r="A90" s="228"/>
      <c r="B90" s="229"/>
      <c r="C90" s="92"/>
      <c r="D90" s="92"/>
    </row>
    <row r="91" spans="1:4" ht="15">
      <c r="A91" s="229"/>
      <c r="B91" s="229"/>
      <c r="C91" s="92"/>
      <c r="D91" s="92"/>
    </row>
  </sheetData>
  <sheetProtection/>
  <mergeCells count="15">
    <mergeCell ref="B8:E8"/>
    <mergeCell ref="B9:E9"/>
    <mergeCell ref="A73:B73"/>
    <mergeCell ref="A74:B74"/>
    <mergeCell ref="A90:B90"/>
    <mergeCell ref="A91:B91"/>
    <mergeCell ref="A76:B76"/>
    <mergeCell ref="A77:B77"/>
    <mergeCell ref="A87:B87"/>
    <mergeCell ref="A89:B89"/>
    <mergeCell ref="A3:H3"/>
    <mergeCell ref="B4:E4"/>
    <mergeCell ref="A5:E5"/>
    <mergeCell ref="A6:E6"/>
    <mergeCell ref="B7:E7"/>
  </mergeCells>
  <printOptions/>
  <pageMargins left="0.7" right="0.7" top="0.75" bottom="0.75" header="0.3" footer="0.3"/>
  <pageSetup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view="pageLayout" workbookViewId="0" topLeftCell="A48">
      <selection activeCell="A79" sqref="A79"/>
    </sheetView>
  </sheetViews>
  <sheetFormatPr defaultColWidth="9.140625" defaultRowHeight="12.75"/>
  <cols>
    <col min="1" max="1" width="11.8515625" style="1" customWidth="1"/>
    <col min="2" max="2" width="95.57421875" style="1" customWidth="1"/>
    <col min="3" max="3" width="31.57421875" style="4" customWidth="1"/>
  </cols>
  <sheetData>
    <row r="1" spans="1:3" ht="15.75">
      <c r="A1" s="4"/>
      <c r="B1" s="75"/>
      <c r="C1" s="9"/>
    </row>
    <row r="2" spans="1:3" ht="18.75">
      <c r="A2" s="193" t="s">
        <v>6</v>
      </c>
      <c r="B2" s="193"/>
      <c r="C2" s="193"/>
    </row>
    <row r="3" spans="1:3" ht="15.75">
      <c r="A3" s="195" t="s">
        <v>1</v>
      </c>
      <c r="B3" s="195"/>
      <c r="C3" s="14"/>
    </row>
    <row r="4" spans="1:3" ht="15.75">
      <c r="A4" s="195" t="s">
        <v>0</v>
      </c>
      <c r="B4" s="195"/>
      <c r="C4" s="14"/>
    </row>
    <row r="5" spans="1:3" ht="15.75">
      <c r="A5" s="8"/>
      <c r="B5" s="8" t="s">
        <v>44</v>
      </c>
      <c r="C5" s="14"/>
    </row>
    <row r="6" spans="1:3" ht="15.75">
      <c r="A6" s="8"/>
      <c r="B6" s="8" t="s">
        <v>112</v>
      </c>
      <c r="C6" s="14"/>
    </row>
    <row r="7" spans="1:3" ht="15.75">
      <c r="A7" s="8"/>
      <c r="B7" s="8" t="s">
        <v>215</v>
      </c>
      <c r="C7" s="14"/>
    </row>
    <row r="8" spans="1:3" ht="15.75">
      <c r="A8" s="8"/>
      <c r="B8" s="8" t="s">
        <v>216</v>
      </c>
      <c r="C8" s="14"/>
    </row>
    <row r="9" spans="1:3" ht="15.75">
      <c r="A9" s="8" t="s">
        <v>2</v>
      </c>
      <c r="B9" s="8" t="s">
        <v>205</v>
      </c>
      <c r="C9" s="14"/>
    </row>
    <row r="10" spans="1:3" ht="15.75" hidden="1">
      <c r="A10" s="15"/>
      <c r="B10" s="16"/>
      <c r="C10" s="14"/>
    </row>
    <row r="11" spans="1:3" ht="47.25">
      <c r="A11" s="59" t="s">
        <v>3</v>
      </c>
      <c r="B11" s="59" t="s">
        <v>4</v>
      </c>
      <c r="C11" s="59" t="s">
        <v>5</v>
      </c>
    </row>
    <row r="12" spans="1:3" ht="15.75">
      <c r="A12" s="18">
        <v>1</v>
      </c>
      <c r="B12" s="19">
        <v>2</v>
      </c>
      <c r="C12" s="19">
        <v>3</v>
      </c>
    </row>
    <row r="13" spans="1:3" ht="15.75">
      <c r="A13" s="18"/>
      <c r="B13" s="21" t="s">
        <v>68</v>
      </c>
      <c r="C13" s="23"/>
    </row>
    <row r="14" spans="1:3" ht="15.75">
      <c r="A14" s="23">
        <v>1100</v>
      </c>
      <c r="B14" s="24" t="s">
        <v>59</v>
      </c>
      <c r="C14" s="25">
        <f>866.27+250*0.3</f>
        <v>941.27</v>
      </c>
    </row>
    <row r="15" spans="1:3" ht="15.75" customHeight="1">
      <c r="A15" s="23">
        <v>1200</v>
      </c>
      <c r="B15" s="26" t="s">
        <v>60</v>
      </c>
      <c r="C15" s="25">
        <f>208.69+250*0.07</f>
        <v>226.19</v>
      </c>
    </row>
    <row r="16" spans="1:3" ht="15.75">
      <c r="A16" s="23">
        <v>2222</v>
      </c>
      <c r="B16" s="26" t="s">
        <v>39</v>
      </c>
      <c r="C16" s="25">
        <v>2.35</v>
      </c>
    </row>
    <row r="17" spans="1:3" ht="15.75">
      <c r="A17" s="31">
        <v>2341</v>
      </c>
      <c r="B17" s="26" t="s">
        <v>23</v>
      </c>
      <c r="C17" s="25">
        <v>520.85</v>
      </c>
    </row>
    <row r="18" spans="1:3" ht="15.75">
      <c r="A18" s="23">
        <v>2223</v>
      </c>
      <c r="B18" s="26" t="s">
        <v>40</v>
      </c>
      <c r="C18" s="25">
        <v>9.7</v>
      </c>
    </row>
    <row r="19" spans="1:3" ht="15.75">
      <c r="A19" s="23">
        <v>2321</v>
      </c>
      <c r="B19" s="26" t="s">
        <v>21</v>
      </c>
      <c r="C19" s="25">
        <v>11.8</v>
      </c>
    </row>
    <row r="20" spans="1:3" ht="15.75">
      <c r="A20" s="23">
        <v>2243</v>
      </c>
      <c r="B20" s="26" t="s">
        <v>11</v>
      </c>
      <c r="C20" s="25">
        <v>27.5</v>
      </c>
    </row>
    <row r="21" spans="1:3" ht="15.75">
      <c r="A21" s="23">
        <v>5232</v>
      </c>
      <c r="B21" s="26" t="s">
        <v>33</v>
      </c>
      <c r="C21" s="25">
        <v>47.5</v>
      </c>
    </row>
    <row r="22" spans="1:3" ht="15.75">
      <c r="A22" s="23">
        <v>2312</v>
      </c>
      <c r="B22" s="26" t="s">
        <v>20</v>
      </c>
      <c r="C22" s="25">
        <v>32.5</v>
      </c>
    </row>
    <row r="23" spans="1:3" ht="15.75">
      <c r="A23" s="23">
        <v>2311</v>
      </c>
      <c r="B23" s="26" t="s">
        <v>19</v>
      </c>
      <c r="C23" s="25">
        <v>2.5</v>
      </c>
    </row>
    <row r="24" spans="1:3" ht="15.75">
      <c r="A24" s="22"/>
      <c r="B24" s="27" t="s">
        <v>67</v>
      </c>
      <c r="C24" s="28">
        <f>SUM(C14:C23)</f>
        <v>1822.1599999999999</v>
      </c>
    </row>
    <row r="25" spans="1:3" ht="15.75">
      <c r="A25" s="29"/>
      <c r="B25" s="24" t="s">
        <v>61</v>
      </c>
      <c r="C25" s="28"/>
    </row>
    <row r="26" spans="1:3" ht="15.75">
      <c r="A26" s="23">
        <v>1100</v>
      </c>
      <c r="B26" s="24" t="s">
        <v>59</v>
      </c>
      <c r="C26" s="25">
        <v>286.54</v>
      </c>
    </row>
    <row r="27" spans="1:3" ht="15.75" customHeight="1">
      <c r="A27" s="23">
        <v>1200</v>
      </c>
      <c r="B27" s="26" t="s">
        <v>60</v>
      </c>
      <c r="C27" s="25">
        <v>69.03</v>
      </c>
    </row>
    <row r="28" spans="1:3" ht="15.75">
      <c r="A28" s="31">
        <v>2210</v>
      </c>
      <c r="B28" s="26" t="s">
        <v>38</v>
      </c>
      <c r="C28" s="25">
        <v>4.52</v>
      </c>
    </row>
    <row r="29" spans="1:3" ht="15.75">
      <c r="A29" s="23">
        <v>2222</v>
      </c>
      <c r="B29" s="26" t="s">
        <v>39</v>
      </c>
      <c r="C29" s="25">
        <v>13.81</v>
      </c>
    </row>
    <row r="30" spans="1:3" ht="15.75">
      <c r="A30" s="23">
        <v>2223</v>
      </c>
      <c r="B30" s="26" t="s">
        <v>40</v>
      </c>
      <c r="C30" s="25">
        <v>24.52</v>
      </c>
    </row>
    <row r="31" spans="1:3" ht="15.75">
      <c r="A31" s="23">
        <v>2230</v>
      </c>
      <c r="B31" s="26" t="s">
        <v>41</v>
      </c>
      <c r="C31" s="25">
        <v>8.77</v>
      </c>
    </row>
    <row r="32" spans="1:3" ht="15.75">
      <c r="A32" s="23">
        <v>2241</v>
      </c>
      <c r="B32" s="26" t="s">
        <v>9</v>
      </c>
      <c r="C32" s="25">
        <v>10</v>
      </c>
    </row>
    <row r="33" spans="1:3" ht="15.75">
      <c r="A33" s="23">
        <v>2242</v>
      </c>
      <c r="B33" s="26" t="s">
        <v>10</v>
      </c>
      <c r="C33" s="25">
        <v>4.1</v>
      </c>
    </row>
    <row r="34" spans="1:3" ht="15.75">
      <c r="A34" s="23">
        <v>2243</v>
      </c>
      <c r="B34" s="26" t="s">
        <v>11</v>
      </c>
      <c r="C34" s="25">
        <v>16.74</v>
      </c>
    </row>
    <row r="35" spans="1:3" ht="15.75">
      <c r="A35" s="22">
        <v>2244</v>
      </c>
      <c r="B35" s="26" t="s">
        <v>12</v>
      </c>
      <c r="C35" s="25">
        <f>20.92+250*0.05</f>
        <v>33.42</v>
      </c>
    </row>
    <row r="36" spans="1:3" ht="15.75">
      <c r="A36" s="22">
        <v>2247</v>
      </c>
      <c r="B36" s="21" t="s">
        <v>62</v>
      </c>
      <c r="C36" s="25">
        <v>3.84</v>
      </c>
    </row>
    <row r="37" spans="1:3" ht="15.75">
      <c r="A37" s="22">
        <v>2249</v>
      </c>
      <c r="B37" s="26" t="s">
        <v>13</v>
      </c>
      <c r="C37" s="25">
        <v>12.14</v>
      </c>
    </row>
    <row r="38" spans="1:3" ht="15.75">
      <c r="A38" s="22">
        <v>2251</v>
      </c>
      <c r="B38" s="26" t="s">
        <v>63</v>
      </c>
      <c r="C38" s="25">
        <v>9.21</v>
      </c>
    </row>
    <row r="39" spans="1:3" ht="15.75" hidden="1">
      <c r="A39" s="22">
        <v>2252</v>
      </c>
      <c r="B39" s="26" t="s">
        <v>7</v>
      </c>
      <c r="C39" s="25"/>
    </row>
    <row r="40" spans="1:3" ht="15.75" hidden="1">
      <c r="A40" s="22">
        <v>2259</v>
      </c>
      <c r="B40" s="26" t="s">
        <v>8</v>
      </c>
      <c r="C40" s="25"/>
    </row>
    <row r="41" spans="1:3" ht="15.75">
      <c r="A41" s="22">
        <v>2261</v>
      </c>
      <c r="B41" s="26" t="s">
        <v>14</v>
      </c>
      <c r="C41" s="25">
        <v>4.19</v>
      </c>
    </row>
    <row r="42" spans="1:3" ht="15.75">
      <c r="A42" s="22">
        <v>2262</v>
      </c>
      <c r="B42" s="26" t="s">
        <v>15</v>
      </c>
      <c r="C42" s="25">
        <v>5.86</v>
      </c>
    </row>
    <row r="43" spans="1:3" ht="15.75">
      <c r="A43" s="22">
        <v>2263</v>
      </c>
      <c r="B43" s="26" t="s">
        <v>16</v>
      </c>
      <c r="C43" s="25">
        <v>13.39</v>
      </c>
    </row>
    <row r="44" spans="1:3" ht="15.75" hidden="1">
      <c r="A44" s="23">
        <v>2264</v>
      </c>
      <c r="B44" s="26" t="s">
        <v>17</v>
      </c>
      <c r="C44" s="25"/>
    </row>
    <row r="45" spans="1:3" ht="15.75">
      <c r="A45" s="23">
        <v>2279</v>
      </c>
      <c r="B45" s="26" t="s">
        <v>18</v>
      </c>
      <c r="C45" s="25">
        <v>23.11</v>
      </c>
    </row>
    <row r="46" spans="1:3" ht="15.75">
      <c r="A46" s="23">
        <v>2311</v>
      </c>
      <c r="B46" s="26" t="s">
        <v>19</v>
      </c>
      <c r="C46" s="25">
        <v>2.37</v>
      </c>
    </row>
    <row r="47" spans="1:3" ht="15.75">
      <c r="A47" s="23">
        <v>2312</v>
      </c>
      <c r="B47" s="26" t="s">
        <v>20</v>
      </c>
      <c r="C47" s="25">
        <v>4.14</v>
      </c>
    </row>
    <row r="48" spans="1:3" ht="15.75">
      <c r="A48" s="23">
        <v>2321</v>
      </c>
      <c r="B48" s="26" t="s">
        <v>21</v>
      </c>
      <c r="C48" s="25">
        <v>19.41</v>
      </c>
    </row>
    <row r="49" spans="1:3" ht="15.75">
      <c r="A49" s="23">
        <v>2322</v>
      </c>
      <c r="B49" s="26" t="s">
        <v>22</v>
      </c>
      <c r="C49" s="25">
        <v>9.47</v>
      </c>
    </row>
    <row r="50" spans="1:3" ht="15.75">
      <c r="A50" s="23">
        <v>2341</v>
      </c>
      <c r="B50" s="26" t="s">
        <v>23</v>
      </c>
      <c r="C50" s="25">
        <v>5.02</v>
      </c>
    </row>
    <row r="51" spans="1:3" ht="15.75" hidden="1">
      <c r="A51" s="23">
        <v>2344</v>
      </c>
      <c r="B51" s="26" t="s">
        <v>24</v>
      </c>
      <c r="C51" s="25"/>
    </row>
    <row r="52" spans="1:3" ht="15.75">
      <c r="A52" s="23">
        <v>2350</v>
      </c>
      <c r="B52" s="26" t="s">
        <v>25</v>
      </c>
      <c r="C52" s="25">
        <v>12.56</v>
      </c>
    </row>
    <row r="53" spans="1:3" ht="15.75">
      <c r="A53" s="23">
        <v>2361</v>
      </c>
      <c r="B53" s="26" t="s">
        <v>26</v>
      </c>
      <c r="C53" s="25">
        <v>10.46</v>
      </c>
    </row>
    <row r="54" spans="1:3" ht="15.75" hidden="1">
      <c r="A54" s="23">
        <v>2362</v>
      </c>
      <c r="B54" s="26" t="s">
        <v>27</v>
      </c>
      <c r="C54" s="25"/>
    </row>
    <row r="55" spans="1:3" ht="15.75" hidden="1">
      <c r="A55" s="23">
        <v>2363</v>
      </c>
      <c r="B55" s="26" t="s">
        <v>28</v>
      </c>
      <c r="C55" s="25"/>
    </row>
    <row r="56" spans="1:3" ht="15.75" hidden="1">
      <c r="A56" s="23">
        <v>2370</v>
      </c>
      <c r="B56" s="26" t="s">
        <v>29</v>
      </c>
      <c r="C56" s="25"/>
    </row>
    <row r="57" spans="1:3" ht="15.75">
      <c r="A57" s="23">
        <v>2400</v>
      </c>
      <c r="B57" s="26" t="s">
        <v>43</v>
      </c>
      <c r="C57" s="25">
        <v>1.76</v>
      </c>
    </row>
    <row r="58" spans="1:3" ht="15.75" hidden="1">
      <c r="A58" s="23">
        <v>2512</v>
      </c>
      <c r="B58" s="26" t="s">
        <v>30</v>
      </c>
      <c r="C58" s="25"/>
    </row>
    <row r="59" spans="1:3" ht="15.75">
      <c r="A59" s="23">
        <v>2513</v>
      </c>
      <c r="B59" s="26" t="s">
        <v>31</v>
      </c>
      <c r="C59" s="25">
        <v>12.56</v>
      </c>
    </row>
    <row r="60" spans="1:3" ht="15.75">
      <c r="A60" s="23">
        <v>2515</v>
      </c>
      <c r="B60" s="26" t="s">
        <v>64</v>
      </c>
      <c r="C60" s="25">
        <v>2.51</v>
      </c>
    </row>
    <row r="61" spans="1:3" ht="15.75">
      <c r="A61" s="23">
        <v>2519</v>
      </c>
      <c r="B61" s="26" t="s">
        <v>34</v>
      </c>
      <c r="C61" s="25">
        <v>4.66</v>
      </c>
    </row>
    <row r="62" spans="1:3" ht="15.75" hidden="1">
      <c r="A62" s="23">
        <v>6240</v>
      </c>
      <c r="B62" s="26"/>
      <c r="C62" s="25"/>
    </row>
    <row r="63" spans="1:3" ht="15.75" hidden="1">
      <c r="A63" s="23">
        <v>6290</v>
      </c>
      <c r="B63" s="26"/>
      <c r="C63" s="25"/>
    </row>
    <row r="64" spans="1:3" ht="15.75">
      <c r="A64" s="23">
        <v>5121</v>
      </c>
      <c r="B64" s="26" t="s">
        <v>32</v>
      </c>
      <c r="C64" s="25">
        <v>0.15</v>
      </c>
    </row>
    <row r="65" spans="1:3" ht="15.75">
      <c r="A65" s="23">
        <v>5232</v>
      </c>
      <c r="B65" s="26" t="s">
        <v>33</v>
      </c>
      <c r="C65" s="25">
        <v>1.58</v>
      </c>
    </row>
    <row r="66" spans="1:3" ht="15.75">
      <c r="A66" s="23">
        <v>5238</v>
      </c>
      <c r="B66" s="26" t="s">
        <v>35</v>
      </c>
      <c r="C66" s="25">
        <v>0.85</v>
      </c>
    </row>
    <row r="67" spans="1:3" ht="15.75" hidden="1">
      <c r="A67" s="23">
        <v>5240</v>
      </c>
      <c r="B67" s="26" t="s">
        <v>36</v>
      </c>
      <c r="C67" s="25"/>
    </row>
    <row r="68" spans="1:3" ht="15.75">
      <c r="A68" s="22">
        <v>5250</v>
      </c>
      <c r="B68" s="26" t="s">
        <v>37</v>
      </c>
      <c r="C68" s="25">
        <v>2.15</v>
      </c>
    </row>
    <row r="69" spans="1:3" ht="15.75">
      <c r="A69" s="33"/>
      <c r="B69" s="34" t="s">
        <v>65</v>
      </c>
      <c r="C69" s="28">
        <f>SUM(C26:C68)</f>
        <v>632.8399999999999</v>
      </c>
    </row>
    <row r="70" spans="1:3" ht="15.75">
      <c r="A70" s="33"/>
      <c r="B70" s="34" t="s">
        <v>66</v>
      </c>
      <c r="C70" s="28">
        <f>C69+C24</f>
        <v>2455</v>
      </c>
    </row>
    <row r="71" spans="1:3" ht="15.75">
      <c r="A71" s="9"/>
      <c r="B71" s="14"/>
      <c r="C71" s="62"/>
    </row>
    <row r="72" spans="1:3" ht="15.75">
      <c r="A72" s="212" t="s">
        <v>45</v>
      </c>
      <c r="B72" s="213"/>
      <c r="C72" s="160">
        <v>250</v>
      </c>
    </row>
    <row r="73" spans="1:3" ht="15.75">
      <c r="A73" s="212" t="s">
        <v>54</v>
      </c>
      <c r="B73" s="213"/>
      <c r="C73" s="164">
        <f>ROUND(C70/C72,2)</f>
        <v>9.82</v>
      </c>
    </row>
    <row r="74" spans="1:3" ht="15.75">
      <c r="A74" s="50"/>
      <c r="B74" s="43"/>
      <c r="C74" s="51"/>
    </row>
    <row r="75" spans="1:3" ht="15.75">
      <c r="A75" s="214" t="s">
        <v>46</v>
      </c>
      <c r="B75" s="215"/>
      <c r="C75" s="44"/>
    </row>
    <row r="76" spans="1:3" ht="15.75">
      <c r="A76" s="214" t="s">
        <v>56</v>
      </c>
      <c r="B76" s="215"/>
      <c r="C76" s="44"/>
    </row>
    <row r="77" spans="1:3" ht="15.75">
      <c r="A77" s="38" t="s">
        <v>47</v>
      </c>
      <c r="B77" s="38"/>
      <c r="C77" s="38"/>
    </row>
    <row r="78" spans="1:3" ht="15.75">
      <c r="A78" s="38"/>
      <c r="B78" s="38"/>
      <c r="C78" s="38"/>
    </row>
    <row r="79" spans="1:3" ht="15.75">
      <c r="A79" s="38"/>
      <c r="B79" s="39"/>
      <c r="C79" s="38"/>
    </row>
    <row r="80" spans="1:3" ht="15.75">
      <c r="A80" s="38"/>
      <c r="B80" s="101"/>
      <c r="C80" s="38"/>
    </row>
    <row r="81" spans="1:3" ht="15">
      <c r="A81" s="4"/>
      <c r="B81" s="61"/>
      <c r="C81" s="6"/>
    </row>
  </sheetData>
  <sheetProtection/>
  <mergeCells count="7">
    <mergeCell ref="A73:B73"/>
    <mergeCell ref="A75:B75"/>
    <mergeCell ref="A76:B76"/>
    <mergeCell ref="A2:C2"/>
    <mergeCell ref="A3:B3"/>
    <mergeCell ref="A4:B4"/>
    <mergeCell ref="A72:B72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view="pageLayout" workbookViewId="0" topLeftCell="A60">
      <selection activeCell="B18" sqref="B18"/>
    </sheetView>
  </sheetViews>
  <sheetFormatPr defaultColWidth="9.140625" defaultRowHeight="12.75"/>
  <cols>
    <col min="1" max="1" width="11.7109375" style="1" customWidth="1"/>
    <col min="2" max="2" width="94.28125" style="1" customWidth="1"/>
    <col min="3" max="3" width="31.8515625" style="4" customWidth="1"/>
  </cols>
  <sheetData>
    <row r="1" spans="1:3" ht="15.75">
      <c r="A1" s="4"/>
      <c r="B1" s="75"/>
      <c r="C1" s="9"/>
    </row>
    <row r="2" spans="1:3" ht="18.75">
      <c r="A2" s="193" t="s">
        <v>6</v>
      </c>
      <c r="B2" s="193"/>
      <c r="C2" s="193"/>
    </row>
    <row r="3" spans="1:3" ht="15.75">
      <c r="A3" s="195" t="s">
        <v>1</v>
      </c>
      <c r="B3" s="195"/>
      <c r="C3" s="14"/>
    </row>
    <row r="4" spans="1:3" ht="15.75">
      <c r="A4" s="195" t="s">
        <v>0</v>
      </c>
      <c r="B4" s="195"/>
      <c r="C4" s="14"/>
    </row>
    <row r="5" spans="1:3" ht="15.75">
      <c r="A5" s="8"/>
      <c r="B5" s="8" t="s">
        <v>44</v>
      </c>
      <c r="C5" s="14"/>
    </row>
    <row r="6" spans="1:3" ht="15.75">
      <c r="A6" s="8"/>
      <c r="B6" s="8" t="s">
        <v>112</v>
      </c>
      <c r="C6" s="14"/>
    </row>
    <row r="7" spans="1:3" ht="15.75">
      <c r="A7" s="8"/>
      <c r="B7" s="8" t="s">
        <v>215</v>
      </c>
      <c r="C7" s="14"/>
    </row>
    <row r="8" spans="1:3" ht="15.75">
      <c r="A8" s="8"/>
      <c r="B8" s="8" t="s">
        <v>217</v>
      </c>
      <c r="C8" s="14"/>
    </row>
    <row r="9" spans="1:3" ht="15.75">
      <c r="A9" s="8" t="s">
        <v>2</v>
      </c>
      <c r="B9" s="8" t="s">
        <v>205</v>
      </c>
      <c r="C9" s="14"/>
    </row>
    <row r="10" spans="1:3" ht="15.75" hidden="1">
      <c r="A10" s="15"/>
      <c r="B10" s="16"/>
      <c r="C10" s="14"/>
    </row>
    <row r="11" spans="1:3" ht="47.25">
      <c r="A11" s="59" t="s">
        <v>3</v>
      </c>
      <c r="B11" s="59" t="s">
        <v>4</v>
      </c>
      <c r="C11" s="59" t="s">
        <v>5</v>
      </c>
    </row>
    <row r="12" spans="1:3" ht="15.75">
      <c r="A12" s="18">
        <v>1</v>
      </c>
      <c r="B12" s="19">
        <v>2</v>
      </c>
      <c r="C12" s="19">
        <v>3</v>
      </c>
    </row>
    <row r="13" spans="1:3" ht="15.75">
      <c r="A13" s="172"/>
      <c r="B13" s="21" t="s">
        <v>68</v>
      </c>
      <c r="C13" s="173"/>
    </row>
    <row r="14" spans="1:3" ht="15.75">
      <c r="A14" s="23">
        <v>1100</v>
      </c>
      <c r="B14" s="24" t="s">
        <v>59</v>
      </c>
      <c r="C14" s="25">
        <f>519.77+250*0.3</f>
        <v>594.77</v>
      </c>
    </row>
    <row r="15" spans="1:3" ht="15.75" customHeight="1">
      <c r="A15" s="23">
        <v>1200</v>
      </c>
      <c r="B15" s="26" t="s">
        <v>60</v>
      </c>
      <c r="C15" s="25">
        <f>125.21+250*0.07</f>
        <v>142.70999999999998</v>
      </c>
    </row>
    <row r="16" spans="1:3" ht="15.75">
      <c r="A16" s="23">
        <v>2222</v>
      </c>
      <c r="B16" s="26" t="s">
        <v>39</v>
      </c>
      <c r="C16" s="25">
        <v>2.35</v>
      </c>
    </row>
    <row r="17" spans="1:3" ht="15.75">
      <c r="A17" s="31">
        <v>2341</v>
      </c>
      <c r="B17" s="26" t="s">
        <v>23</v>
      </c>
      <c r="C17" s="25">
        <v>362.5</v>
      </c>
    </row>
    <row r="18" spans="1:3" ht="15.75">
      <c r="A18" s="23">
        <v>2223</v>
      </c>
      <c r="B18" s="26" t="s">
        <v>40</v>
      </c>
      <c r="C18" s="25">
        <v>5.83</v>
      </c>
    </row>
    <row r="19" spans="1:3" ht="15.75">
      <c r="A19" s="23">
        <v>2321</v>
      </c>
      <c r="B19" s="26" t="s">
        <v>21</v>
      </c>
      <c r="C19" s="25">
        <v>7.08</v>
      </c>
    </row>
    <row r="20" spans="1:3" ht="15.75">
      <c r="A20" s="23">
        <v>2243</v>
      </c>
      <c r="B20" s="26" t="s">
        <v>11</v>
      </c>
      <c r="C20" s="25">
        <v>10</v>
      </c>
    </row>
    <row r="21" spans="1:3" ht="15.75">
      <c r="A21" s="23">
        <v>5232</v>
      </c>
      <c r="B21" s="26" t="s">
        <v>33</v>
      </c>
      <c r="C21" s="25">
        <v>25</v>
      </c>
    </row>
    <row r="22" spans="1:3" ht="15.75">
      <c r="A22" s="23">
        <v>2312</v>
      </c>
      <c r="B22" s="26" t="s">
        <v>20</v>
      </c>
      <c r="C22" s="25">
        <v>17.5</v>
      </c>
    </row>
    <row r="23" spans="1:3" ht="15.75">
      <c r="A23" s="23">
        <v>2311</v>
      </c>
      <c r="B23" s="26" t="s">
        <v>19</v>
      </c>
      <c r="C23" s="25">
        <v>2.5</v>
      </c>
    </row>
    <row r="24" spans="1:3" ht="15.75">
      <c r="A24" s="22"/>
      <c r="B24" s="27" t="s">
        <v>67</v>
      </c>
      <c r="C24" s="28">
        <f>SUM(C14:C23)</f>
        <v>1170.2399999999998</v>
      </c>
    </row>
    <row r="25" spans="1:3" ht="15.75">
      <c r="A25" s="29"/>
      <c r="B25" s="24" t="s">
        <v>61</v>
      </c>
      <c r="C25" s="28"/>
    </row>
    <row r="26" spans="1:3" ht="15.75">
      <c r="A26" s="23">
        <v>1100</v>
      </c>
      <c r="B26" s="24" t="s">
        <v>59</v>
      </c>
      <c r="C26" s="25">
        <v>202.8</v>
      </c>
    </row>
    <row r="27" spans="1:3" ht="15.75" customHeight="1">
      <c r="A27" s="23">
        <v>1200</v>
      </c>
      <c r="B27" s="26" t="s">
        <v>60</v>
      </c>
      <c r="C27" s="25">
        <v>48.85</v>
      </c>
    </row>
    <row r="28" spans="1:3" ht="15.75">
      <c r="A28" s="31">
        <v>2210</v>
      </c>
      <c r="B28" s="26" t="s">
        <v>38</v>
      </c>
      <c r="C28" s="25">
        <v>2.8</v>
      </c>
    </row>
    <row r="29" spans="1:3" ht="15.75">
      <c r="A29" s="23">
        <v>2222</v>
      </c>
      <c r="B29" s="26" t="s">
        <v>39</v>
      </c>
      <c r="C29" s="25">
        <v>5.56</v>
      </c>
    </row>
    <row r="30" spans="1:3" ht="15.75">
      <c r="A30" s="23">
        <v>2223</v>
      </c>
      <c r="B30" s="26" t="s">
        <v>40</v>
      </c>
      <c r="C30" s="25">
        <v>8.2</v>
      </c>
    </row>
    <row r="31" spans="1:3" ht="15.75">
      <c r="A31" s="23">
        <v>2230</v>
      </c>
      <c r="B31" s="26" t="s">
        <v>41</v>
      </c>
      <c r="C31" s="25">
        <v>3.44</v>
      </c>
    </row>
    <row r="32" spans="1:3" ht="15.75">
      <c r="A32" s="23">
        <v>2241</v>
      </c>
      <c r="B32" s="26" t="s">
        <v>9</v>
      </c>
      <c r="C32" s="25">
        <v>6.2</v>
      </c>
    </row>
    <row r="33" spans="1:3" ht="15.75">
      <c r="A33" s="23">
        <v>2242</v>
      </c>
      <c r="B33" s="26" t="s">
        <v>10</v>
      </c>
      <c r="C33" s="25">
        <v>2.54</v>
      </c>
    </row>
    <row r="34" spans="1:3" ht="15.75">
      <c r="A34" s="23">
        <v>2243</v>
      </c>
      <c r="B34" s="26" t="s">
        <v>11</v>
      </c>
      <c r="C34" s="25">
        <v>6.38</v>
      </c>
    </row>
    <row r="35" spans="1:3" ht="15.75">
      <c r="A35" s="22">
        <v>2244</v>
      </c>
      <c r="B35" s="26" t="s">
        <v>12</v>
      </c>
      <c r="C35" s="25">
        <f>10.97+250*0.05</f>
        <v>23.47</v>
      </c>
    </row>
    <row r="36" spans="1:3" ht="15.75">
      <c r="A36" s="22">
        <v>2247</v>
      </c>
      <c r="B36" s="21" t="s">
        <v>62</v>
      </c>
      <c r="C36" s="25">
        <v>2.38</v>
      </c>
    </row>
    <row r="37" spans="1:3" ht="15.75">
      <c r="A37" s="22">
        <v>2249</v>
      </c>
      <c r="B37" s="26" t="s">
        <v>13</v>
      </c>
      <c r="C37" s="25">
        <v>5.53</v>
      </c>
    </row>
    <row r="38" spans="1:3" ht="15.75">
      <c r="A38" s="22">
        <v>2251</v>
      </c>
      <c r="B38" s="26" t="s">
        <v>63</v>
      </c>
      <c r="C38" s="25">
        <v>3.71</v>
      </c>
    </row>
    <row r="39" spans="1:3" ht="15.75" hidden="1">
      <c r="A39" s="22">
        <v>2252</v>
      </c>
      <c r="B39" s="26" t="s">
        <v>7</v>
      </c>
      <c r="C39" s="25"/>
    </row>
    <row r="40" spans="1:3" ht="15.75" hidden="1">
      <c r="A40" s="22">
        <v>2259</v>
      </c>
      <c r="B40" s="26" t="s">
        <v>8</v>
      </c>
      <c r="C40" s="25"/>
    </row>
    <row r="41" spans="1:3" ht="15.75">
      <c r="A41" s="22">
        <v>2261</v>
      </c>
      <c r="B41" s="26" t="s">
        <v>14</v>
      </c>
      <c r="C41" s="25">
        <v>2.6</v>
      </c>
    </row>
    <row r="42" spans="1:3" ht="15.75">
      <c r="A42" s="22">
        <v>2262</v>
      </c>
      <c r="B42" s="26" t="s">
        <v>15</v>
      </c>
      <c r="C42" s="25">
        <v>3.63</v>
      </c>
    </row>
    <row r="43" spans="1:3" ht="15.75">
      <c r="A43" s="22">
        <v>2263</v>
      </c>
      <c r="B43" s="26" t="s">
        <v>16</v>
      </c>
      <c r="C43" s="25">
        <v>6.3</v>
      </c>
    </row>
    <row r="44" spans="1:3" ht="15.75" hidden="1">
      <c r="A44" s="23">
        <v>2264</v>
      </c>
      <c r="B44" s="26" t="s">
        <v>17</v>
      </c>
      <c r="C44" s="25"/>
    </row>
    <row r="45" spans="1:3" ht="15.75">
      <c r="A45" s="23">
        <v>2279</v>
      </c>
      <c r="B45" s="26" t="s">
        <v>18</v>
      </c>
      <c r="C45" s="25">
        <v>14.33</v>
      </c>
    </row>
    <row r="46" spans="1:3" ht="15.75">
      <c r="A46" s="23">
        <v>2311</v>
      </c>
      <c r="B46" s="26" t="s">
        <v>19</v>
      </c>
      <c r="C46" s="25">
        <v>1.47</v>
      </c>
    </row>
    <row r="47" spans="1:3" ht="15.75">
      <c r="A47" s="23">
        <v>2312</v>
      </c>
      <c r="B47" s="26" t="s">
        <v>20</v>
      </c>
      <c r="C47" s="25">
        <v>2.57</v>
      </c>
    </row>
    <row r="48" spans="1:3" ht="15.75">
      <c r="A48" s="23">
        <v>2321</v>
      </c>
      <c r="B48" s="26" t="s">
        <v>21</v>
      </c>
      <c r="C48" s="25">
        <v>10.03</v>
      </c>
    </row>
    <row r="49" spans="1:3" ht="15.75">
      <c r="A49" s="23">
        <v>2322</v>
      </c>
      <c r="B49" s="26" t="s">
        <v>22</v>
      </c>
      <c r="C49" s="25">
        <v>5.87</v>
      </c>
    </row>
    <row r="50" spans="1:3" ht="15.75">
      <c r="A50" s="23">
        <v>2341</v>
      </c>
      <c r="B50" s="26" t="s">
        <v>23</v>
      </c>
      <c r="C50" s="25">
        <v>3.11</v>
      </c>
    </row>
    <row r="51" spans="1:3" ht="15.75" hidden="1">
      <c r="A51" s="23">
        <v>2344</v>
      </c>
      <c r="B51" s="26" t="s">
        <v>24</v>
      </c>
      <c r="C51" s="25"/>
    </row>
    <row r="52" spans="1:3" ht="15.75">
      <c r="A52" s="23">
        <v>2350</v>
      </c>
      <c r="B52" s="26" t="s">
        <v>25</v>
      </c>
      <c r="C52" s="25">
        <v>5.79</v>
      </c>
    </row>
    <row r="53" spans="1:3" ht="15.75">
      <c r="A53" s="23">
        <v>2361</v>
      </c>
      <c r="B53" s="26" t="s">
        <v>26</v>
      </c>
      <c r="C53" s="25">
        <v>5.49</v>
      </c>
    </row>
    <row r="54" spans="1:3" ht="15.75" hidden="1">
      <c r="A54" s="23">
        <v>2362</v>
      </c>
      <c r="B54" s="26" t="s">
        <v>27</v>
      </c>
      <c r="C54" s="25"/>
    </row>
    <row r="55" spans="1:3" ht="15.75" hidden="1">
      <c r="A55" s="23">
        <v>2363</v>
      </c>
      <c r="B55" s="26" t="s">
        <v>28</v>
      </c>
      <c r="C55" s="25"/>
    </row>
    <row r="56" spans="1:3" ht="15.75" hidden="1">
      <c r="A56" s="23">
        <v>2370</v>
      </c>
      <c r="B56" s="26" t="s">
        <v>29</v>
      </c>
      <c r="C56" s="25"/>
    </row>
    <row r="57" spans="1:3" ht="15.75">
      <c r="A57" s="23">
        <v>2400</v>
      </c>
      <c r="B57" s="26" t="s">
        <v>43</v>
      </c>
      <c r="C57" s="25">
        <v>1.09</v>
      </c>
    </row>
    <row r="58" spans="1:3" ht="15.75" hidden="1">
      <c r="A58" s="23">
        <v>2512</v>
      </c>
      <c r="B58" s="26" t="s">
        <v>30</v>
      </c>
      <c r="C58" s="25"/>
    </row>
    <row r="59" spans="1:3" ht="15.75">
      <c r="A59" s="23">
        <v>2513</v>
      </c>
      <c r="B59" s="26" t="s">
        <v>31</v>
      </c>
      <c r="C59" s="25">
        <v>5.79</v>
      </c>
    </row>
    <row r="60" spans="1:3" ht="15.75">
      <c r="A60" s="23">
        <v>2515</v>
      </c>
      <c r="B60" s="26" t="s">
        <v>64</v>
      </c>
      <c r="C60" s="25">
        <v>1.56</v>
      </c>
    </row>
    <row r="61" spans="1:3" ht="15.75">
      <c r="A61" s="23">
        <v>2519</v>
      </c>
      <c r="B61" s="26" t="s">
        <v>34</v>
      </c>
      <c r="C61" s="25">
        <v>2.49</v>
      </c>
    </row>
    <row r="62" spans="1:3" ht="15.75" hidden="1">
      <c r="A62" s="23">
        <v>6240</v>
      </c>
      <c r="B62" s="26"/>
      <c r="C62" s="25"/>
    </row>
    <row r="63" spans="1:3" ht="15.75" hidden="1">
      <c r="A63" s="23">
        <v>6290</v>
      </c>
      <c r="B63" s="26"/>
      <c r="C63" s="25"/>
    </row>
    <row r="64" spans="1:3" ht="15.75">
      <c r="A64" s="23">
        <v>5121</v>
      </c>
      <c r="B64" s="26" t="s">
        <v>32</v>
      </c>
      <c r="C64" s="25">
        <v>0.53</v>
      </c>
    </row>
    <row r="65" spans="1:3" ht="15.75">
      <c r="A65" s="23">
        <v>5232</v>
      </c>
      <c r="B65" s="26" t="s">
        <v>33</v>
      </c>
      <c r="C65" s="25">
        <v>0.98</v>
      </c>
    </row>
    <row r="66" spans="1:3" ht="15.75">
      <c r="A66" s="23">
        <v>5238</v>
      </c>
      <c r="B66" s="26" t="s">
        <v>35</v>
      </c>
      <c r="C66" s="25">
        <v>0.63</v>
      </c>
    </row>
    <row r="67" spans="1:3" ht="15.75" hidden="1">
      <c r="A67" s="23">
        <v>5240</v>
      </c>
      <c r="B67" s="26" t="s">
        <v>36</v>
      </c>
      <c r="C67" s="25">
        <v>0</v>
      </c>
    </row>
    <row r="68" spans="1:3" ht="15.75">
      <c r="A68" s="22">
        <v>5250</v>
      </c>
      <c r="B68" s="26" t="s">
        <v>37</v>
      </c>
      <c r="C68" s="25">
        <v>1.14</v>
      </c>
    </row>
    <row r="69" spans="1:3" ht="15.75">
      <c r="A69" s="33"/>
      <c r="B69" s="34" t="s">
        <v>65</v>
      </c>
      <c r="C69" s="28">
        <f>SUM(C26:C68)</f>
        <v>397.26</v>
      </c>
    </row>
    <row r="70" spans="1:3" ht="15.75">
      <c r="A70" s="33"/>
      <c r="B70" s="34" t="s">
        <v>66</v>
      </c>
      <c r="C70" s="28">
        <f>C24+C69</f>
        <v>1567.4999999999998</v>
      </c>
    </row>
    <row r="71" spans="1:3" ht="15.75">
      <c r="A71" s="9"/>
      <c r="B71" s="14"/>
      <c r="C71" s="62"/>
    </row>
    <row r="72" spans="1:3" ht="15.75">
      <c r="A72" s="212" t="s">
        <v>45</v>
      </c>
      <c r="B72" s="213"/>
      <c r="C72" s="17">
        <v>250</v>
      </c>
    </row>
    <row r="73" spans="1:3" ht="15.75">
      <c r="A73" s="212" t="s">
        <v>54</v>
      </c>
      <c r="B73" s="213"/>
      <c r="C73" s="164">
        <f>ROUND(C70/C72,2)</f>
        <v>6.27</v>
      </c>
    </row>
    <row r="74" spans="1:3" ht="15.75">
      <c r="A74" s="50"/>
      <c r="B74" s="43"/>
      <c r="C74" s="51"/>
    </row>
    <row r="75" spans="1:3" ht="15.75">
      <c r="A75" s="214" t="s">
        <v>46</v>
      </c>
      <c r="B75" s="215"/>
      <c r="C75" s="44"/>
    </row>
    <row r="76" spans="1:3" ht="15.75">
      <c r="A76" s="214" t="s">
        <v>56</v>
      </c>
      <c r="B76" s="215"/>
      <c r="C76" s="44"/>
    </row>
    <row r="77" spans="1:3" ht="15.75">
      <c r="A77" s="38" t="s">
        <v>47</v>
      </c>
      <c r="B77" s="38"/>
      <c r="C77" s="38"/>
    </row>
    <row r="78" spans="1:3" ht="15.75">
      <c r="A78" s="38"/>
      <c r="B78" s="38"/>
      <c r="C78" s="38"/>
    </row>
    <row r="79" spans="1:3" ht="15.75">
      <c r="A79" s="38"/>
      <c r="B79" s="39"/>
      <c r="C79" s="38"/>
    </row>
    <row r="80" spans="1:3" ht="15.75">
      <c r="A80" s="38"/>
      <c r="B80" s="101"/>
      <c r="C80" s="38"/>
    </row>
    <row r="81" spans="1:3" ht="15">
      <c r="A81" s="4"/>
      <c r="B81" s="61"/>
      <c r="C81" s="6"/>
    </row>
  </sheetData>
  <sheetProtection/>
  <mergeCells count="7">
    <mergeCell ref="A73:B73"/>
    <mergeCell ref="A75:B75"/>
    <mergeCell ref="A76:B76"/>
    <mergeCell ref="A2:C2"/>
    <mergeCell ref="A3:B3"/>
    <mergeCell ref="A4:B4"/>
    <mergeCell ref="A72:B72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Layout" workbookViewId="0" topLeftCell="A47">
      <selection activeCell="A6" sqref="A6:E6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9.00390625" style="4" hidden="1" customWidth="1"/>
    <col min="4" max="4" width="18.00390625" style="4" hidden="1" customWidth="1"/>
    <col min="5" max="7" width="21.57421875" style="4" hidden="1" customWidth="1"/>
    <col min="8" max="8" width="14.7109375" style="4" hidden="1" customWidth="1"/>
    <col min="9" max="9" width="28.57421875" style="0" customWidth="1"/>
  </cols>
  <sheetData>
    <row r="1" spans="2:9" ht="15.75">
      <c r="B1" s="12"/>
      <c r="C1" s="76"/>
      <c r="D1" s="12"/>
      <c r="E1" s="76"/>
      <c r="F1" s="76"/>
      <c r="G1" s="76"/>
      <c r="H1" s="9" t="s">
        <v>204</v>
      </c>
      <c r="I1" s="13"/>
    </row>
    <row r="2" spans="3:5" ht="15">
      <c r="C2" s="64"/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" customHeight="1">
      <c r="A5" s="195" t="s">
        <v>1</v>
      </c>
      <c r="B5" s="195"/>
      <c r="C5" s="195"/>
      <c r="D5" s="195"/>
      <c r="E5" s="195"/>
      <c r="F5" s="15"/>
      <c r="G5" s="15"/>
      <c r="H5" s="15"/>
    </row>
    <row r="6" spans="1:8" ht="15" customHeight="1">
      <c r="A6" s="195" t="s">
        <v>0</v>
      </c>
      <c r="B6" s="195"/>
      <c r="C6" s="195"/>
      <c r="D6" s="195"/>
      <c r="E6" s="195"/>
      <c r="F6" s="15"/>
      <c r="G6" s="15"/>
      <c r="H6" s="15"/>
    </row>
    <row r="7" spans="1:8" ht="15.75">
      <c r="A7" s="8"/>
      <c r="B7" s="195" t="s">
        <v>44</v>
      </c>
      <c r="C7" s="195"/>
      <c r="D7" s="195"/>
      <c r="E7" s="195"/>
      <c r="F7" s="25"/>
      <c r="G7" s="85"/>
      <c r="H7" s="15"/>
    </row>
    <row r="8" spans="1:8" ht="15.75">
      <c r="A8" s="8"/>
      <c r="B8" s="195" t="s">
        <v>87</v>
      </c>
      <c r="C8" s="195"/>
      <c r="D8" s="195"/>
      <c r="E8" s="195"/>
      <c r="F8" s="25"/>
      <c r="G8" s="15"/>
      <c r="H8" s="15"/>
    </row>
    <row r="9" spans="1:8" ht="15.75">
      <c r="A9" s="8"/>
      <c r="B9" s="195" t="s">
        <v>88</v>
      </c>
      <c r="C9" s="195"/>
      <c r="D9" s="195"/>
      <c r="E9" s="195"/>
      <c r="F9" s="85"/>
      <c r="G9" s="15"/>
      <c r="H9" s="15"/>
    </row>
    <row r="10" spans="1:8" ht="15.75">
      <c r="A10" s="8" t="s">
        <v>2</v>
      </c>
      <c r="B10" s="8" t="s">
        <v>205</v>
      </c>
      <c r="C10" s="8"/>
      <c r="D10" s="8"/>
      <c r="E10" s="8"/>
      <c r="F10" s="15"/>
      <c r="G10" s="85"/>
      <c r="H10" s="15"/>
    </row>
    <row r="11" spans="1:8" ht="15.75" hidden="1">
      <c r="A11" s="15"/>
      <c r="B11" s="16"/>
      <c r="C11" s="77"/>
      <c r="D11" s="16"/>
      <c r="E11" s="77"/>
      <c r="F11" s="15"/>
      <c r="G11" s="15"/>
      <c r="H11" s="15"/>
    </row>
    <row r="12" spans="1:9" ht="79.5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  <c r="I12" s="59" t="s">
        <v>5</v>
      </c>
    </row>
    <row r="13" spans="1:9" ht="15.75">
      <c r="A13" s="18">
        <v>1</v>
      </c>
      <c r="B13" s="19">
        <v>2</v>
      </c>
      <c r="C13" s="18">
        <v>3</v>
      </c>
      <c r="D13" s="19"/>
      <c r="E13" s="18">
        <v>3</v>
      </c>
      <c r="F13" s="19">
        <v>4</v>
      </c>
      <c r="G13" s="19"/>
      <c r="H13" s="19"/>
      <c r="I13" s="19">
        <v>3</v>
      </c>
    </row>
    <row r="14" spans="1:9" ht="15.75">
      <c r="A14" s="20"/>
      <c r="B14" s="45" t="s">
        <v>71</v>
      </c>
      <c r="C14" s="97"/>
      <c r="D14" s="45"/>
      <c r="E14" s="97"/>
      <c r="F14" s="23"/>
      <c r="G14" s="23"/>
      <c r="H14" s="23"/>
      <c r="I14" s="81"/>
    </row>
    <row r="15" spans="1:9" ht="15.75">
      <c r="A15" s="23">
        <v>1100</v>
      </c>
      <c r="B15" s="23" t="s">
        <v>72</v>
      </c>
      <c r="C15" s="25">
        <v>8714.55</v>
      </c>
      <c r="D15" s="68">
        <f>ROUND(C15/0.702804,2)</f>
        <v>12399.69</v>
      </c>
      <c r="E15" s="25">
        <f>ROUND(D15/4570*350,2)</f>
        <v>949.65</v>
      </c>
      <c r="F15" s="25">
        <v>987.64</v>
      </c>
      <c r="G15" s="25">
        <v>1254.3</v>
      </c>
      <c r="H15" s="25">
        <f>G15/350*120+120*0.18</f>
        <v>451.6457142857143</v>
      </c>
      <c r="I15" s="80">
        <f>H15/120*720</f>
        <v>2709.8742857142856</v>
      </c>
    </row>
    <row r="16" spans="1:9" ht="15.75">
      <c r="A16" s="23">
        <v>1200</v>
      </c>
      <c r="B16" s="32" t="s">
        <v>73</v>
      </c>
      <c r="C16" s="47">
        <v>2055.76</v>
      </c>
      <c r="D16" s="68">
        <f>ROUND(C16/0.702804,2)</f>
        <v>2925.08</v>
      </c>
      <c r="E16" s="25">
        <f>ROUND(D16/4570*350,2)</f>
        <v>224.02</v>
      </c>
      <c r="F16" s="25">
        <v>232.98</v>
      </c>
      <c r="G16" s="25">
        <v>302.16</v>
      </c>
      <c r="H16" s="25">
        <f>G16/350*120+120*0.04</f>
        <v>108.3977142857143</v>
      </c>
      <c r="I16" s="80">
        <f aca="true" t="shared" si="0" ref="I16:I64">H16/120*720</f>
        <v>650.3862857142858</v>
      </c>
    </row>
    <row r="17" spans="1:9" ht="15.75">
      <c r="A17" s="31">
        <v>2341</v>
      </c>
      <c r="B17" s="32" t="s">
        <v>23</v>
      </c>
      <c r="C17" s="25">
        <v>190.92</v>
      </c>
      <c r="D17" s="68">
        <f>ROUND(C17/0.702804,2)</f>
        <v>271.65</v>
      </c>
      <c r="E17" s="25">
        <f>ROUND(D17/4570*350,2)</f>
        <v>20.8</v>
      </c>
      <c r="F17" s="25">
        <f>E17</f>
        <v>20.8</v>
      </c>
      <c r="G17" s="25">
        <f>F17</f>
        <v>20.8</v>
      </c>
      <c r="H17" s="25">
        <f>G17/350*120</f>
        <v>7.131428571428572</v>
      </c>
      <c r="I17" s="80">
        <f t="shared" si="0"/>
        <v>42.78857142857143</v>
      </c>
    </row>
    <row r="18" spans="1:9" ht="15.75">
      <c r="A18" s="23">
        <v>2249</v>
      </c>
      <c r="B18" s="32" t="s">
        <v>13</v>
      </c>
      <c r="C18" s="25">
        <v>892.15</v>
      </c>
      <c r="D18" s="68">
        <f>ROUND(C18/0.702804,2)</f>
        <v>1269.42</v>
      </c>
      <c r="E18" s="25">
        <f>ROUND(D18/4570*350,2)</f>
        <v>97.22</v>
      </c>
      <c r="F18" s="25">
        <f>E18</f>
        <v>97.22</v>
      </c>
      <c r="G18" s="25">
        <f>F18</f>
        <v>97.22</v>
      </c>
      <c r="H18" s="25">
        <f>G18/350*120</f>
        <v>33.33257142857143</v>
      </c>
      <c r="I18" s="80">
        <f t="shared" si="0"/>
        <v>199.99542857142856</v>
      </c>
    </row>
    <row r="19" spans="1:9" ht="15.75" hidden="1">
      <c r="A19" s="23"/>
      <c r="B19" s="23"/>
      <c r="C19" s="25"/>
      <c r="D19" s="23"/>
      <c r="E19" s="25"/>
      <c r="F19" s="23"/>
      <c r="G19" s="23"/>
      <c r="H19" s="68">
        <f>E19-F19</f>
        <v>0</v>
      </c>
      <c r="I19" s="80">
        <f t="shared" si="0"/>
        <v>0</v>
      </c>
    </row>
    <row r="20" spans="1:9" ht="15.75">
      <c r="A20" s="23"/>
      <c r="B20" s="46" t="s">
        <v>74</v>
      </c>
      <c r="C20" s="28">
        <f aca="true" t="shared" si="1" ref="C20:I20">SUM(C15:C19)</f>
        <v>11853.38</v>
      </c>
      <c r="D20" s="28">
        <f t="shared" si="1"/>
        <v>16865.84</v>
      </c>
      <c r="E20" s="28">
        <f t="shared" si="1"/>
        <v>1291.69</v>
      </c>
      <c r="F20" s="28">
        <f t="shared" si="1"/>
        <v>1338.6399999999999</v>
      </c>
      <c r="G20" s="28">
        <f t="shared" si="1"/>
        <v>1674.48</v>
      </c>
      <c r="H20" s="28">
        <f t="shared" si="1"/>
        <v>600.5074285714287</v>
      </c>
      <c r="I20" s="28">
        <f t="shared" si="1"/>
        <v>3603.044571428571</v>
      </c>
    </row>
    <row r="21" spans="1:9" ht="15.75">
      <c r="A21" s="29"/>
      <c r="B21" s="23" t="s">
        <v>75</v>
      </c>
      <c r="C21" s="25"/>
      <c r="D21" s="23"/>
      <c r="E21" s="25"/>
      <c r="F21" s="23"/>
      <c r="G21" s="23"/>
      <c r="H21" s="68"/>
      <c r="I21" s="80"/>
    </row>
    <row r="22" spans="1:9" ht="15.75">
      <c r="A22" s="23">
        <v>1100</v>
      </c>
      <c r="B22" s="23" t="s">
        <v>72</v>
      </c>
      <c r="C22" s="25">
        <v>4801.36</v>
      </c>
      <c r="D22" s="68">
        <f aca="true" t="shared" si="2" ref="D22:D64">ROUND(C22/0.702804,2)</f>
        <v>6831.72</v>
      </c>
      <c r="E22" s="25">
        <f aca="true" t="shared" si="3" ref="E22:E62">ROUND(D22/4570*350,2)</f>
        <v>523.22</v>
      </c>
      <c r="F22" s="25">
        <v>539.51</v>
      </c>
      <c r="G22" s="25">
        <v>537.34</v>
      </c>
      <c r="H22" s="25">
        <f aca="true" t="shared" si="4" ref="H22:H65">G22/350*120</f>
        <v>184.23085714285713</v>
      </c>
      <c r="I22" s="80">
        <f t="shared" si="0"/>
        <v>1105.385142857143</v>
      </c>
    </row>
    <row r="23" spans="1:9" ht="15.75">
      <c r="A23" s="23">
        <v>1200</v>
      </c>
      <c r="B23" s="32" t="s">
        <v>73</v>
      </c>
      <c r="C23" s="47">
        <v>1132.64</v>
      </c>
      <c r="D23" s="68">
        <f t="shared" si="2"/>
        <v>1611.6</v>
      </c>
      <c r="E23" s="25">
        <f t="shared" si="3"/>
        <v>123.43</v>
      </c>
      <c r="F23" s="25">
        <v>127.27</v>
      </c>
      <c r="G23" s="25">
        <v>129.44</v>
      </c>
      <c r="H23" s="25">
        <f t="shared" si="4"/>
        <v>44.37942857142857</v>
      </c>
      <c r="I23" s="80">
        <f t="shared" si="0"/>
        <v>266.2765714285714</v>
      </c>
    </row>
    <row r="24" spans="1:9" ht="15.75" hidden="1">
      <c r="A24" s="23">
        <v>2100</v>
      </c>
      <c r="B24" s="30" t="s">
        <v>42</v>
      </c>
      <c r="C24" s="25"/>
      <c r="D24" s="68">
        <f t="shared" si="2"/>
        <v>0</v>
      </c>
      <c r="E24" s="25">
        <f t="shared" si="3"/>
        <v>0</v>
      </c>
      <c r="F24" s="25">
        <f aca="true" t="shared" si="5" ref="F24:F64">E24</f>
        <v>0</v>
      </c>
      <c r="G24" s="25">
        <f aca="true" t="shared" si="6" ref="G24:G64">F24</f>
        <v>0</v>
      </c>
      <c r="H24" s="25">
        <f t="shared" si="4"/>
        <v>0</v>
      </c>
      <c r="I24" s="80">
        <f t="shared" si="0"/>
        <v>0</v>
      </c>
    </row>
    <row r="25" spans="1:9" ht="15.75">
      <c r="A25" s="31">
        <v>2210</v>
      </c>
      <c r="B25" s="32" t="s">
        <v>38</v>
      </c>
      <c r="C25" s="25">
        <v>59</v>
      </c>
      <c r="D25" s="68">
        <f t="shared" si="2"/>
        <v>83.95</v>
      </c>
      <c r="E25" s="25">
        <f t="shared" si="3"/>
        <v>6.43</v>
      </c>
      <c r="F25" s="25">
        <f t="shared" si="5"/>
        <v>6.43</v>
      </c>
      <c r="G25" s="25">
        <f t="shared" si="6"/>
        <v>6.43</v>
      </c>
      <c r="H25" s="25">
        <f t="shared" si="4"/>
        <v>2.204571428571428</v>
      </c>
      <c r="I25" s="80">
        <f t="shared" si="0"/>
        <v>13.22742857142857</v>
      </c>
    </row>
    <row r="26" spans="1:9" ht="15.75">
      <c r="A26" s="23">
        <v>2222</v>
      </c>
      <c r="B26" s="32" t="s">
        <v>39</v>
      </c>
      <c r="C26" s="25">
        <v>58</v>
      </c>
      <c r="D26" s="68">
        <f t="shared" si="2"/>
        <v>82.53</v>
      </c>
      <c r="E26" s="25">
        <f t="shared" si="3"/>
        <v>6.32</v>
      </c>
      <c r="F26" s="25">
        <f t="shared" si="5"/>
        <v>6.32</v>
      </c>
      <c r="G26" s="25">
        <f t="shared" si="6"/>
        <v>6.32</v>
      </c>
      <c r="H26" s="25">
        <f t="shared" si="4"/>
        <v>2.166857142857143</v>
      </c>
      <c r="I26" s="80">
        <f t="shared" si="0"/>
        <v>13.001142857142858</v>
      </c>
    </row>
    <row r="27" spans="1:9" ht="15.75">
      <c r="A27" s="23">
        <v>2223</v>
      </c>
      <c r="B27" s="32" t="s">
        <v>40</v>
      </c>
      <c r="C27" s="25">
        <v>36</v>
      </c>
      <c r="D27" s="68">
        <f t="shared" si="2"/>
        <v>51.22</v>
      </c>
      <c r="E27" s="25">
        <f t="shared" si="3"/>
        <v>3.92</v>
      </c>
      <c r="F27" s="25">
        <f t="shared" si="5"/>
        <v>3.92</v>
      </c>
      <c r="G27" s="25">
        <f t="shared" si="6"/>
        <v>3.92</v>
      </c>
      <c r="H27" s="25">
        <f t="shared" si="4"/>
        <v>1.344</v>
      </c>
      <c r="I27" s="80">
        <f t="shared" si="0"/>
        <v>8.064</v>
      </c>
    </row>
    <row r="28" spans="1:9" ht="15.75">
      <c r="A28" s="23">
        <v>2230</v>
      </c>
      <c r="B28" s="32" t="s">
        <v>41</v>
      </c>
      <c r="C28" s="25">
        <v>37</v>
      </c>
      <c r="D28" s="68">
        <f t="shared" si="2"/>
        <v>52.65</v>
      </c>
      <c r="E28" s="25">
        <f t="shared" si="3"/>
        <v>4.03</v>
      </c>
      <c r="F28" s="25">
        <f t="shared" si="5"/>
        <v>4.03</v>
      </c>
      <c r="G28" s="25">
        <f t="shared" si="6"/>
        <v>4.03</v>
      </c>
      <c r="H28" s="25">
        <f t="shared" si="4"/>
        <v>1.3817142857142857</v>
      </c>
      <c r="I28" s="80">
        <f t="shared" si="0"/>
        <v>8.290285714285714</v>
      </c>
    </row>
    <row r="29" spans="1:9" ht="15.75" hidden="1">
      <c r="A29" s="23">
        <v>2241</v>
      </c>
      <c r="B29" s="32" t="s">
        <v>9</v>
      </c>
      <c r="C29" s="25"/>
      <c r="D29" s="68">
        <f t="shared" si="2"/>
        <v>0</v>
      </c>
      <c r="E29" s="25">
        <f t="shared" si="3"/>
        <v>0</v>
      </c>
      <c r="F29" s="25">
        <f t="shared" si="5"/>
        <v>0</v>
      </c>
      <c r="G29" s="25">
        <f t="shared" si="6"/>
        <v>0</v>
      </c>
      <c r="H29" s="25">
        <f t="shared" si="4"/>
        <v>0</v>
      </c>
      <c r="I29" s="80">
        <f t="shared" si="0"/>
        <v>0</v>
      </c>
    </row>
    <row r="30" spans="1:9" ht="15.75">
      <c r="A30" s="23">
        <v>2242</v>
      </c>
      <c r="B30" s="32" t="s">
        <v>10</v>
      </c>
      <c r="C30" s="25">
        <v>27</v>
      </c>
      <c r="D30" s="68">
        <f t="shared" si="2"/>
        <v>38.42</v>
      </c>
      <c r="E30" s="25">
        <f t="shared" si="3"/>
        <v>2.94</v>
      </c>
      <c r="F30" s="25">
        <f t="shared" si="5"/>
        <v>2.94</v>
      </c>
      <c r="G30" s="25">
        <f t="shared" si="6"/>
        <v>2.94</v>
      </c>
      <c r="H30" s="25">
        <f t="shared" si="4"/>
        <v>1.008</v>
      </c>
      <c r="I30" s="80">
        <f t="shared" si="0"/>
        <v>6.048</v>
      </c>
    </row>
    <row r="31" spans="1:9" ht="15.75">
      <c r="A31" s="23">
        <v>2243</v>
      </c>
      <c r="B31" s="32" t="s">
        <v>11</v>
      </c>
      <c r="C31" s="25">
        <v>91</v>
      </c>
      <c r="D31" s="68">
        <f t="shared" si="2"/>
        <v>129.48</v>
      </c>
      <c r="E31" s="25">
        <f t="shared" si="3"/>
        <v>9.92</v>
      </c>
      <c r="F31" s="25">
        <f t="shared" si="5"/>
        <v>9.92</v>
      </c>
      <c r="G31" s="25">
        <f t="shared" si="6"/>
        <v>9.92</v>
      </c>
      <c r="H31" s="25">
        <f t="shared" si="4"/>
        <v>3.4011428571428572</v>
      </c>
      <c r="I31" s="80">
        <f t="shared" si="0"/>
        <v>20.406857142857145</v>
      </c>
    </row>
    <row r="32" spans="1:9" ht="15.75">
      <c r="A32" s="23">
        <v>2244</v>
      </c>
      <c r="B32" s="32" t="s">
        <v>12</v>
      </c>
      <c r="C32" s="25">
        <v>1340.22</v>
      </c>
      <c r="D32" s="68">
        <f t="shared" si="2"/>
        <v>1906.96</v>
      </c>
      <c r="E32" s="25">
        <f t="shared" si="3"/>
        <v>146.05</v>
      </c>
      <c r="F32" s="25">
        <f t="shared" si="5"/>
        <v>146.05</v>
      </c>
      <c r="G32" s="25">
        <f t="shared" si="6"/>
        <v>146.05</v>
      </c>
      <c r="H32" s="25">
        <f>G32/350*120+120*0.03</f>
        <v>53.674285714285716</v>
      </c>
      <c r="I32" s="80">
        <f t="shared" si="0"/>
        <v>322.04571428571427</v>
      </c>
    </row>
    <row r="33" spans="1:9" ht="15.75">
      <c r="A33" s="23">
        <v>2247</v>
      </c>
      <c r="B33" s="45" t="s">
        <v>76</v>
      </c>
      <c r="C33" s="25">
        <v>7</v>
      </c>
      <c r="D33" s="68">
        <f t="shared" si="2"/>
        <v>9.96</v>
      </c>
      <c r="E33" s="25">
        <f t="shared" si="3"/>
        <v>0.76</v>
      </c>
      <c r="F33" s="25">
        <f t="shared" si="5"/>
        <v>0.76</v>
      </c>
      <c r="G33" s="25">
        <f t="shared" si="6"/>
        <v>0.76</v>
      </c>
      <c r="H33" s="25">
        <f t="shared" si="4"/>
        <v>0.26057142857142856</v>
      </c>
      <c r="I33" s="80">
        <f t="shared" si="0"/>
        <v>1.5634285714285716</v>
      </c>
    </row>
    <row r="34" spans="1:9" ht="15.75">
      <c r="A34" s="23">
        <v>2249</v>
      </c>
      <c r="B34" s="32" t="s">
        <v>13</v>
      </c>
      <c r="C34" s="25">
        <v>33</v>
      </c>
      <c r="D34" s="68">
        <f t="shared" si="2"/>
        <v>46.95</v>
      </c>
      <c r="E34" s="25">
        <f t="shared" si="3"/>
        <v>3.6</v>
      </c>
      <c r="F34" s="25">
        <f t="shared" si="5"/>
        <v>3.6</v>
      </c>
      <c r="G34" s="25">
        <f t="shared" si="6"/>
        <v>3.6</v>
      </c>
      <c r="H34" s="25">
        <f t="shared" si="4"/>
        <v>1.2342857142857142</v>
      </c>
      <c r="I34" s="80">
        <f t="shared" si="0"/>
        <v>7.405714285714286</v>
      </c>
    </row>
    <row r="35" spans="1:9" ht="15.75">
      <c r="A35" s="23">
        <v>2251</v>
      </c>
      <c r="B35" s="32" t="s">
        <v>77</v>
      </c>
      <c r="C35" s="25">
        <v>100</v>
      </c>
      <c r="D35" s="68">
        <f t="shared" si="2"/>
        <v>142.29</v>
      </c>
      <c r="E35" s="25">
        <f t="shared" si="3"/>
        <v>10.9</v>
      </c>
      <c r="F35" s="25">
        <f t="shared" si="5"/>
        <v>10.9</v>
      </c>
      <c r="G35" s="25">
        <f t="shared" si="6"/>
        <v>10.9</v>
      </c>
      <c r="H35" s="25">
        <f t="shared" si="4"/>
        <v>3.737142857142857</v>
      </c>
      <c r="I35" s="80">
        <f t="shared" si="0"/>
        <v>22.422857142857143</v>
      </c>
    </row>
    <row r="36" spans="1:9" ht="15.75" hidden="1">
      <c r="A36" s="23">
        <v>2252</v>
      </c>
      <c r="B36" s="32" t="s">
        <v>7</v>
      </c>
      <c r="C36" s="25"/>
      <c r="D36" s="68">
        <f t="shared" si="2"/>
        <v>0</v>
      </c>
      <c r="E36" s="25">
        <f t="shared" si="3"/>
        <v>0</v>
      </c>
      <c r="F36" s="25">
        <f t="shared" si="5"/>
        <v>0</v>
      </c>
      <c r="G36" s="25">
        <f t="shared" si="6"/>
        <v>0</v>
      </c>
      <c r="H36" s="25">
        <f t="shared" si="4"/>
        <v>0</v>
      </c>
      <c r="I36" s="80">
        <f t="shared" si="0"/>
        <v>0</v>
      </c>
    </row>
    <row r="37" spans="1:9" ht="15.75" hidden="1">
      <c r="A37" s="23">
        <v>2259</v>
      </c>
      <c r="B37" s="32" t="s">
        <v>8</v>
      </c>
      <c r="C37" s="25"/>
      <c r="D37" s="68">
        <f t="shared" si="2"/>
        <v>0</v>
      </c>
      <c r="E37" s="25">
        <f t="shared" si="3"/>
        <v>0</v>
      </c>
      <c r="F37" s="25">
        <f t="shared" si="5"/>
        <v>0</v>
      </c>
      <c r="G37" s="25">
        <f t="shared" si="6"/>
        <v>0</v>
      </c>
      <c r="H37" s="25">
        <f t="shared" si="4"/>
        <v>0</v>
      </c>
      <c r="I37" s="80">
        <f t="shared" si="0"/>
        <v>0</v>
      </c>
    </row>
    <row r="38" spans="1:9" ht="15.75">
      <c r="A38" s="23">
        <v>2261</v>
      </c>
      <c r="B38" s="32" t="s">
        <v>14</v>
      </c>
      <c r="C38" s="25">
        <v>18</v>
      </c>
      <c r="D38" s="68">
        <f t="shared" si="2"/>
        <v>25.61</v>
      </c>
      <c r="E38" s="25">
        <f t="shared" si="3"/>
        <v>1.96</v>
      </c>
      <c r="F38" s="25">
        <f t="shared" si="5"/>
        <v>1.96</v>
      </c>
      <c r="G38" s="25">
        <f t="shared" si="6"/>
        <v>1.96</v>
      </c>
      <c r="H38" s="25">
        <f t="shared" si="4"/>
        <v>0.672</v>
      </c>
      <c r="I38" s="80">
        <f t="shared" si="0"/>
        <v>4.032</v>
      </c>
    </row>
    <row r="39" spans="1:9" ht="15.75">
      <c r="A39" s="23">
        <v>2262</v>
      </c>
      <c r="B39" s="32" t="s">
        <v>15</v>
      </c>
      <c r="C39" s="25">
        <v>79</v>
      </c>
      <c r="D39" s="68">
        <f t="shared" si="2"/>
        <v>112.41</v>
      </c>
      <c r="E39" s="25">
        <f t="shared" si="3"/>
        <v>8.61</v>
      </c>
      <c r="F39" s="25">
        <f t="shared" si="5"/>
        <v>8.61</v>
      </c>
      <c r="G39" s="25">
        <f t="shared" si="6"/>
        <v>8.61</v>
      </c>
      <c r="H39" s="25">
        <f t="shared" si="4"/>
        <v>2.9519999999999995</v>
      </c>
      <c r="I39" s="80">
        <f t="shared" si="0"/>
        <v>17.711999999999996</v>
      </c>
    </row>
    <row r="40" spans="1:9" ht="15.75">
      <c r="A40" s="22">
        <v>2263</v>
      </c>
      <c r="B40" s="26" t="s">
        <v>16</v>
      </c>
      <c r="C40" s="80">
        <v>292</v>
      </c>
      <c r="D40" s="68">
        <f t="shared" si="2"/>
        <v>415.48</v>
      </c>
      <c r="E40" s="25">
        <f t="shared" si="3"/>
        <v>31.82</v>
      </c>
      <c r="F40" s="25">
        <f t="shared" si="5"/>
        <v>31.82</v>
      </c>
      <c r="G40" s="25">
        <f t="shared" si="6"/>
        <v>31.82</v>
      </c>
      <c r="H40" s="25">
        <f t="shared" si="4"/>
        <v>10.909714285714285</v>
      </c>
      <c r="I40" s="80">
        <f t="shared" si="0"/>
        <v>65.45828571428571</v>
      </c>
    </row>
    <row r="41" spans="1:9" ht="15.75">
      <c r="A41" s="22">
        <v>2264</v>
      </c>
      <c r="B41" s="26" t="s">
        <v>17</v>
      </c>
      <c r="C41" s="80">
        <v>1</v>
      </c>
      <c r="D41" s="68">
        <f t="shared" si="2"/>
        <v>1.42</v>
      </c>
      <c r="E41" s="25">
        <f t="shared" si="3"/>
        <v>0.11</v>
      </c>
      <c r="F41" s="25">
        <f t="shared" si="5"/>
        <v>0.11</v>
      </c>
      <c r="G41" s="25">
        <f t="shared" si="6"/>
        <v>0.11</v>
      </c>
      <c r="H41" s="25">
        <f t="shared" si="4"/>
        <v>0.037714285714285714</v>
      </c>
      <c r="I41" s="80">
        <f t="shared" si="0"/>
        <v>0.22628571428571428</v>
      </c>
    </row>
    <row r="42" spans="1:9" ht="15.75">
      <c r="A42" s="22">
        <v>2279</v>
      </c>
      <c r="B42" s="26" t="s">
        <v>18</v>
      </c>
      <c r="C42" s="80">
        <v>335</v>
      </c>
      <c r="D42" s="68">
        <f t="shared" si="2"/>
        <v>476.66</v>
      </c>
      <c r="E42" s="25">
        <f t="shared" si="3"/>
        <v>36.51</v>
      </c>
      <c r="F42" s="25">
        <f t="shared" si="5"/>
        <v>36.51</v>
      </c>
      <c r="G42" s="25">
        <f t="shared" si="6"/>
        <v>36.51</v>
      </c>
      <c r="H42" s="25">
        <f t="shared" si="4"/>
        <v>12.517714285714284</v>
      </c>
      <c r="I42" s="80">
        <f t="shared" si="0"/>
        <v>75.1062857142857</v>
      </c>
    </row>
    <row r="43" spans="1:9" ht="15.75">
      <c r="A43" s="22">
        <v>2311</v>
      </c>
      <c r="B43" s="26" t="s">
        <v>19</v>
      </c>
      <c r="C43" s="80">
        <v>30</v>
      </c>
      <c r="D43" s="68">
        <f t="shared" si="2"/>
        <v>42.69</v>
      </c>
      <c r="E43" s="25">
        <f t="shared" si="3"/>
        <v>3.27</v>
      </c>
      <c r="F43" s="25">
        <f t="shared" si="5"/>
        <v>3.27</v>
      </c>
      <c r="G43" s="25">
        <f t="shared" si="6"/>
        <v>3.27</v>
      </c>
      <c r="H43" s="25">
        <f t="shared" si="4"/>
        <v>1.121142857142857</v>
      </c>
      <c r="I43" s="80">
        <f t="shared" si="0"/>
        <v>6.726857142857143</v>
      </c>
    </row>
    <row r="44" spans="1:9" ht="15.75">
      <c r="A44" s="22">
        <v>2312</v>
      </c>
      <c r="B44" s="26" t="s">
        <v>20</v>
      </c>
      <c r="C44" s="80">
        <v>57</v>
      </c>
      <c r="D44" s="68">
        <f t="shared" si="2"/>
        <v>81.1</v>
      </c>
      <c r="E44" s="25">
        <f t="shared" si="3"/>
        <v>6.21</v>
      </c>
      <c r="F44" s="25">
        <f t="shared" si="5"/>
        <v>6.21</v>
      </c>
      <c r="G44" s="25">
        <f t="shared" si="6"/>
        <v>6.21</v>
      </c>
      <c r="H44" s="25">
        <f t="shared" si="4"/>
        <v>2.129142857142857</v>
      </c>
      <c r="I44" s="80">
        <f t="shared" si="0"/>
        <v>12.77485714285714</v>
      </c>
    </row>
    <row r="45" spans="1:9" ht="15.75">
      <c r="A45" s="22">
        <v>2321</v>
      </c>
      <c r="B45" s="26" t="s">
        <v>21</v>
      </c>
      <c r="C45" s="80">
        <v>106</v>
      </c>
      <c r="D45" s="68">
        <f t="shared" si="2"/>
        <v>150.82</v>
      </c>
      <c r="E45" s="25">
        <f t="shared" si="3"/>
        <v>11.55</v>
      </c>
      <c r="F45" s="25">
        <f t="shared" si="5"/>
        <v>11.55</v>
      </c>
      <c r="G45" s="25">
        <f t="shared" si="6"/>
        <v>11.55</v>
      </c>
      <c r="H45" s="25">
        <f t="shared" si="4"/>
        <v>3.96</v>
      </c>
      <c r="I45" s="80">
        <f t="shared" si="0"/>
        <v>23.76</v>
      </c>
    </row>
    <row r="46" spans="1:9" ht="15.75">
      <c r="A46" s="23">
        <v>2322</v>
      </c>
      <c r="B46" s="32" t="s">
        <v>22</v>
      </c>
      <c r="C46" s="25">
        <v>106</v>
      </c>
      <c r="D46" s="68">
        <f t="shared" si="2"/>
        <v>150.82</v>
      </c>
      <c r="E46" s="25">
        <f t="shared" si="3"/>
        <v>11.55</v>
      </c>
      <c r="F46" s="25">
        <v>10.97</v>
      </c>
      <c r="G46" s="25">
        <f t="shared" si="6"/>
        <v>10.97</v>
      </c>
      <c r="H46" s="25">
        <f t="shared" si="4"/>
        <v>3.7611428571428576</v>
      </c>
      <c r="I46" s="80">
        <f t="shared" si="0"/>
        <v>22.566857142857145</v>
      </c>
    </row>
    <row r="47" spans="1:9" ht="15.75">
      <c r="A47" s="23">
        <v>2341</v>
      </c>
      <c r="B47" s="32" t="s">
        <v>23</v>
      </c>
      <c r="C47" s="25">
        <v>42</v>
      </c>
      <c r="D47" s="68">
        <f t="shared" si="2"/>
        <v>59.76</v>
      </c>
      <c r="E47" s="25">
        <f t="shared" si="3"/>
        <v>4.58</v>
      </c>
      <c r="F47" s="25">
        <f t="shared" si="5"/>
        <v>4.58</v>
      </c>
      <c r="G47" s="25">
        <f t="shared" si="6"/>
        <v>4.58</v>
      </c>
      <c r="H47" s="25">
        <f t="shared" si="4"/>
        <v>1.5702857142857143</v>
      </c>
      <c r="I47" s="80">
        <f t="shared" si="0"/>
        <v>9.421714285714286</v>
      </c>
    </row>
    <row r="48" spans="1:9" ht="15.75">
      <c r="A48" s="23">
        <v>2344</v>
      </c>
      <c r="B48" s="32" t="s">
        <v>24</v>
      </c>
      <c r="C48" s="25">
        <v>1</v>
      </c>
      <c r="D48" s="68">
        <f t="shared" si="2"/>
        <v>1.42</v>
      </c>
      <c r="E48" s="25">
        <f t="shared" si="3"/>
        <v>0.11</v>
      </c>
      <c r="F48" s="25">
        <f t="shared" si="5"/>
        <v>0.11</v>
      </c>
      <c r="G48" s="25">
        <f t="shared" si="6"/>
        <v>0.11</v>
      </c>
      <c r="H48" s="25">
        <f t="shared" si="4"/>
        <v>0.037714285714285714</v>
      </c>
      <c r="I48" s="80">
        <f t="shared" si="0"/>
        <v>0.22628571428571428</v>
      </c>
    </row>
    <row r="49" spans="1:9" ht="15.75">
      <c r="A49" s="23">
        <v>2350</v>
      </c>
      <c r="B49" s="32" t="s">
        <v>25</v>
      </c>
      <c r="C49" s="25">
        <v>260</v>
      </c>
      <c r="D49" s="68">
        <f t="shared" si="2"/>
        <v>369.95</v>
      </c>
      <c r="E49" s="25">
        <f t="shared" si="3"/>
        <v>28.33</v>
      </c>
      <c r="F49" s="25">
        <f t="shared" si="5"/>
        <v>28.33</v>
      </c>
      <c r="G49" s="25">
        <f t="shared" si="6"/>
        <v>28.33</v>
      </c>
      <c r="H49" s="25">
        <f t="shared" si="4"/>
        <v>9.713142857142856</v>
      </c>
      <c r="I49" s="80">
        <f t="shared" si="0"/>
        <v>58.278857142857134</v>
      </c>
    </row>
    <row r="50" spans="1:9" ht="15.75">
      <c r="A50" s="23">
        <v>2361</v>
      </c>
      <c r="B50" s="32" t="s">
        <v>26</v>
      </c>
      <c r="C50" s="25">
        <v>159</v>
      </c>
      <c r="D50" s="68">
        <f t="shared" si="2"/>
        <v>226.24</v>
      </c>
      <c r="E50" s="25">
        <f t="shared" si="3"/>
        <v>17.33</v>
      </c>
      <c r="F50" s="25">
        <f t="shared" si="5"/>
        <v>17.33</v>
      </c>
      <c r="G50" s="25">
        <f t="shared" si="6"/>
        <v>17.33</v>
      </c>
      <c r="H50" s="25">
        <f t="shared" si="4"/>
        <v>5.941714285714285</v>
      </c>
      <c r="I50" s="80">
        <f t="shared" si="0"/>
        <v>35.650285714285715</v>
      </c>
    </row>
    <row r="51" spans="1:9" ht="15.75" hidden="1">
      <c r="A51" s="23">
        <v>2362</v>
      </c>
      <c r="B51" s="32" t="s">
        <v>27</v>
      </c>
      <c r="C51" s="25"/>
      <c r="D51" s="68">
        <f t="shared" si="2"/>
        <v>0</v>
      </c>
      <c r="E51" s="25">
        <f t="shared" si="3"/>
        <v>0</v>
      </c>
      <c r="F51" s="25">
        <f t="shared" si="5"/>
        <v>0</v>
      </c>
      <c r="G51" s="25">
        <f t="shared" si="6"/>
        <v>0</v>
      </c>
      <c r="H51" s="25">
        <f t="shared" si="4"/>
        <v>0</v>
      </c>
      <c r="I51" s="80">
        <f t="shared" si="0"/>
        <v>0</v>
      </c>
    </row>
    <row r="52" spans="1:9" ht="15.75" hidden="1">
      <c r="A52" s="23">
        <v>2363</v>
      </c>
      <c r="B52" s="32" t="s">
        <v>28</v>
      </c>
      <c r="C52" s="25"/>
      <c r="D52" s="68">
        <f t="shared" si="2"/>
        <v>0</v>
      </c>
      <c r="E52" s="25">
        <f t="shared" si="3"/>
        <v>0</v>
      </c>
      <c r="F52" s="25">
        <f t="shared" si="5"/>
        <v>0</v>
      </c>
      <c r="G52" s="25">
        <f t="shared" si="6"/>
        <v>0</v>
      </c>
      <c r="H52" s="25">
        <f t="shared" si="4"/>
        <v>0</v>
      </c>
      <c r="I52" s="80">
        <f t="shared" si="0"/>
        <v>0</v>
      </c>
    </row>
    <row r="53" spans="1:9" ht="15.75" hidden="1">
      <c r="A53" s="23">
        <v>2370</v>
      </c>
      <c r="B53" s="32" t="s">
        <v>29</v>
      </c>
      <c r="C53" s="25"/>
      <c r="D53" s="68">
        <f t="shared" si="2"/>
        <v>0</v>
      </c>
      <c r="E53" s="25">
        <f t="shared" si="3"/>
        <v>0</v>
      </c>
      <c r="F53" s="25">
        <f t="shared" si="5"/>
        <v>0</v>
      </c>
      <c r="G53" s="25">
        <f t="shared" si="6"/>
        <v>0</v>
      </c>
      <c r="H53" s="25">
        <f t="shared" si="4"/>
        <v>0</v>
      </c>
      <c r="I53" s="80">
        <f t="shared" si="0"/>
        <v>0</v>
      </c>
    </row>
    <row r="54" spans="1:9" ht="15.75">
      <c r="A54" s="23">
        <v>2400</v>
      </c>
      <c r="B54" s="32" t="s">
        <v>43</v>
      </c>
      <c r="C54" s="25">
        <v>12</v>
      </c>
      <c r="D54" s="68">
        <f t="shared" si="2"/>
        <v>17.07</v>
      </c>
      <c r="E54" s="25">
        <f t="shared" si="3"/>
        <v>1.31</v>
      </c>
      <c r="F54" s="25">
        <f t="shared" si="5"/>
        <v>1.31</v>
      </c>
      <c r="G54" s="25">
        <f t="shared" si="6"/>
        <v>1.31</v>
      </c>
      <c r="H54" s="25">
        <f t="shared" si="4"/>
        <v>0.4491428571428571</v>
      </c>
      <c r="I54" s="80">
        <f t="shared" si="0"/>
        <v>2.694857142857143</v>
      </c>
    </row>
    <row r="55" spans="1:9" ht="15.75" hidden="1">
      <c r="A55" s="23">
        <v>2512</v>
      </c>
      <c r="B55" s="32" t="s">
        <v>30</v>
      </c>
      <c r="C55" s="25">
        <v>0</v>
      </c>
      <c r="D55" s="68">
        <f t="shared" si="2"/>
        <v>0</v>
      </c>
      <c r="E55" s="25">
        <f t="shared" si="3"/>
        <v>0</v>
      </c>
      <c r="F55" s="25">
        <f t="shared" si="5"/>
        <v>0</v>
      </c>
      <c r="G55" s="25">
        <f t="shared" si="6"/>
        <v>0</v>
      </c>
      <c r="H55" s="25">
        <f t="shared" si="4"/>
        <v>0</v>
      </c>
      <c r="I55" s="80">
        <f t="shared" si="0"/>
        <v>0</v>
      </c>
    </row>
    <row r="56" spans="1:9" ht="15.75">
      <c r="A56" s="23">
        <v>2513</v>
      </c>
      <c r="B56" s="32" t="s">
        <v>31</v>
      </c>
      <c r="C56" s="25">
        <v>212</v>
      </c>
      <c r="D56" s="68">
        <f t="shared" si="2"/>
        <v>301.65</v>
      </c>
      <c r="E56" s="25">
        <f t="shared" si="3"/>
        <v>23.1</v>
      </c>
      <c r="F56" s="25">
        <f t="shared" si="5"/>
        <v>23.1</v>
      </c>
      <c r="G56" s="25">
        <f t="shared" si="6"/>
        <v>23.1</v>
      </c>
      <c r="H56" s="25">
        <f t="shared" si="4"/>
        <v>7.92</v>
      </c>
      <c r="I56" s="80">
        <f t="shared" si="0"/>
        <v>47.52</v>
      </c>
    </row>
    <row r="57" spans="1:9" ht="15.75">
      <c r="A57" s="23">
        <v>2515</v>
      </c>
      <c r="B57" s="32" t="s">
        <v>78</v>
      </c>
      <c r="C57" s="25">
        <v>8</v>
      </c>
      <c r="D57" s="68">
        <f t="shared" si="2"/>
        <v>11.38</v>
      </c>
      <c r="E57" s="25">
        <f t="shared" si="3"/>
        <v>0.87</v>
      </c>
      <c r="F57" s="25">
        <f t="shared" si="5"/>
        <v>0.87</v>
      </c>
      <c r="G57" s="25">
        <f t="shared" si="6"/>
        <v>0.87</v>
      </c>
      <c r="H57" s="25">
        <f t="shared" si="4"/>
        <v>0.29828571428571427</v>
      </c>
      <c r="I57" s="80">
        <f t="shared" si="0"/>
        <v>1.7897142857142856</v>
      </c>
    </row>
    <row r="58" spans="1:9" ht="15.75">
      <c r="A58" s="23">
        <v>2519</v>
      </c>
      <c r="B58" s="32" t="s">
        <v>34</v>
      </c>
      <c r="C58" s="25">
        <v>52</v>
      </c>
      <c r="D58" s="68">
        <f t="shared" si="2"/>
        <v>73.99</v>
      </c>
      <c r="E58" s="25">
        <f t="shared" si="3"/>
        <v>5.67</v>
      </c>
      <c r="F58" s="25">
        <f t="shared" si="5"/>
        <v>5.67</v>
      </c>
      <c r="G58" s="25">
        <f t="shared" si="6"/>
        <v>5.67</v>
      </c>
      <c r="H58" s="25">
        <f t="shared" si="4"/>
        <v>1.944</v>
      </c>
      <c r="I58" s="80">
        <f t="shared" si="0"/>
        <v>11.664</v>
      </c>
    </row>
    <row r="59" spans="1:9" ht="15.75" hidden="1">
      <c r="A59" s="22">
        <v>6240</v>
      </c>
      <c r="B59" s="26"/>
      <c r="C59" s="80"/>
      <c r="D59" s="68">
        <f t="shared" si="2"/>
        <v>0</v>
      </c>
      <c r="E59" s="25">
        <f t="shared" si="3"/>
        <v>0</v>
      </c>
      <c r="F59" s="25">
        <f t="shared" si="5"/>
        <v>0</v>
      </c>
      <c r="G59" s="25">
        <f t="shared" si="6"/>
        <v>0</v>
      </c>
      <c r="H59" s="25">
        <f t="shared" si="4"/>
        <v>0</v>
      </c>
      <c r="I59" s="80">
        <f t="shared" si="0"/>
        <v>0</v>
      </c>
    </row>
    <row r="60" spans="1:9" ht="15.75" hidden="1">
      <c r="A60" s="22">
        <v>6290</v>
      </c>
      <c r="B60" s="26"/>
      <c r="C60" s="80"/>
      <c r="D60" s="68">
        <f t="shared" si="2"/>
        <v>0</v>
      </c>
      <c r="E60" s="25">
        <f t="shared" si="3"/>
        <v>0</v>
      </c>
      <c r="F60" s="25">
        <f t="shared" si="5"/>
        <v>0</v>
      </c>
      <c r="G60" s="25">
        <f t="shared" si="6"/>
        <v>0</v>
      </c>
      <c r="H60" s="25">
        <f t="shared" si="4"/>
        <v>0</v>
      </c>
      <c r="I60" s="80">
        <f t="shared" si="0"/>
        <v>0</v>
      </c>
    </row>
    <row r="61" spans="1:9" ht="15.75">
      <c r="A61" s="22">
        <v>5121</v>
      </c>
      <c r="B61" s="26" t="s">
        <v>32</v>
      </c>
      <c r="C61" s="80">
        <v>37</v>
      </c>
      <c r="D61" s="68">
        <f t="shared" si="2"/>
        <v>52.65</v>
      </c>
      <c r="E61" s="25">
        <f t="shared" si="3"/>
        <v>4.03</v>
      </c>
      <c r="F61" s="25">
        <f t="shared" si="5"/>
        <v>4.03</v>
      </c>
      <c r="G61" s="25">
        <f t="shared" si="6"/>
        <v>4.03</v>
      </c>
      <c r="H61" s="25">
        <f t="shared" si="4"/>
        <v>1.3817142857142857</v>
      </c>
      <c r="I61" s="80">
        <f t="shared" si="0"/>
        <v>8.290285714285714</v>
      </c>
    </row>
    <row r="62" spans="1:9" ht="15.75">
      <c r="A62" s="22">
        <v>5232</v>
      </c>
      <c r="B62" s="26" t="s">
        <v>33</v>
      </c>
      <c r="C62" s="80">
        <v>4</v>
      </c>
      <c r="D62" s="68">
        <f t="shared" si="2"/>
        <v>5.69</v>
      </c>
      <c r="E62" s="25">
        <f t="shared" si="3"/>
        <v>0.44</v>
      </c>
      <c r="F62" s="25">
        <f t="shared" si="5"/>
        <v>0.44</v>
      </c>
      <c r="G62" s="25">
        <v>0.6</v>
      </c>
      <c r="H62" s="25">
        <f t="shared" si="4"/>
        <v>0.2057142857142857</v>
      </c>
      <c r="I62" s="80">
        <f t="shared" si="0"/>
        <v>1.2342857142857142</v>
      </c>
    </row>
    <row r="63" spans="1:9" ht="15.75" hidden="1">
      <c r="A63" s="22">
        <v>5238</v>
      </c>
      <c r="B63" s="26" t="s">
        <v>35</v>
      </c>
      <c r="C63" s="80">
        <v>0</v>
      </c>
      <c r="D63" s="68">
        <f t="shared" si="2"/>
        <v>0</v>
      </c>
      <c r="E63" s="80">
        <v>0</v>
      </c>
      <c r="F63" s="25">
        <f t="shared" si="5"/>
        <v>0</v>
      </c>
      <c r="G63" s="25">
        <f t="shared" si="6"/>
        <v>0</v>
      </c>
      <c r="H63" s="25">
        <f t="shared" si="4"/>
        <v>0</v>
      </c>
      <c r="I63" s="80">
        <f t="shared" si="0"/>
        <v>0</v>
      </c>
    </row>
    <row r="64" spans="1:9" ht="15.75">
      <c r="A64" s="22">
        <v>5240</v>
      </c>
      <c r="B64" s="26" t="s">
        <v>36</v>
      </c>
      <c r="C64" s="80">
        <v>1</v>
      </c>
      <c r="D64" s="68">
        <f t="shared" si="2"/>
        <v>1.42</v>
      </c>
      <c r="E64" s="25">
        <v>0.43</v>
      </c>
      <c r="F64" s="25">
        <f t="shared" si="5"/>
        <v>0.43</v>
      </c>
      <c r="G64" s="25">
        <f t="shared" si="6"/>
        <v>0.43</v>
      </c>
      <c r="H64" s="25">
        <f t="shared" si="4"/>
        <v>0.1474285714285714</v>
      </c>
      <c r="I64" s="80">
        <f t="shared" si="0"/>
        <v>0.8845714285714285</v>
      </c>
    </row>
    <row r="65" spans="1:8" ht="15.75" hidden="1">
      <c r="A65" s="22">
        <v>5250</v>
      </c>
      <c r="B65" s="26" t="s">
        <v>37</v>
      </c>
      <c r="C65" s="80">
        <v>0</v>
      </c>
      <c r="D65" s="26"/>
      <c r="E65" s="80">
        <v>0</v>
      </c>
      <c r="F65" s="22">
        <v>0</v>
      </c>
      <c r="G65" s="22"/>
      <c r="H65" s="25">
        <f t="shared" si="4"/>
        <v>0</v>
      </c>
    </row>
    <row r="66" spans="1:9" ht="15.75">
      <c r="A66" s="33"/>
      <c r="B66" s="34" t="s">
        <v>79</v>
      </c>
      <c r="C66" s="82">
        <f aca="true" t="shared" si="7" ref="C66:I66">SUM(C22:C65)</f>
        <v>9534.220000000001</v>
      </c>
      <c r="D66" s="82">
        <f t="shared" si="7"/>
        <v>13565.96</v>
      </c>
      <c r="E66" s="82">
        <f t="shared" si="7"/>
        <v>1039.3100000000002</v>
      </c>
      <c r="F66" s="82">
        <f t="shared" si="7"/>
        <v>1058.8600000000001</v>
      </c>
      <c r="G66" s="82">
        <f t="shared" si="7"/>
        <v>1059.02</v>
      </c>
      <c r="H66" s="82">
        <f t="shared" si="7"/>
        <v>366.6925714285715</v>
      </c>
      <c r="I66" s="82">
        <f t="shared" si="7"/>
        <v>2200.1554285714287</v>
      </c>
    </row>
    <row r="67" spans="1:9" ht="15.75">
      <c r="A67" s="33"/>
      <c r="B67" s="34" t="s">
        <v>80</v>
      </c>
      <c r="C67" s="82">
        <f aca="true" t="shared" si="8" ref="C67:I67">C66+C20</f>
        <v>21387.6</v>
      </c>
      <c r="D67" s="82">
        <f t="shared" si="8"/>
        <v>30431.8</v>
      </c>
      <c r="E67" s="82">
        <f t="shared" si="8"/>
        <v>2331</v>
      </c>
      <c r="F67" s="82">
        <f t="shared" si="8"/>
        <v>2397.5</v>
      </c>
      <c r="G67" s="82">
        <f t="shared" si="8"/>
        <v>2733.5</v>
      </c>
      <c r="H67" s="82">
        <f t="shared" si="8"/>
        <v>967.2000000000003</v>
      </c>
      <c r="I67" s="82">
        <f t="shared" si="8"/>
        <v>5803.2</v>
      </c>
    </row>
    <row r="68" spans="1:8" ht="15.75">
      <c r="A68" s="9"/>
      <c r="B68" s="14"/>
      <c r="C68" s="35"/>
      <c r="D68" s="35"/>
      <c r="E68" s="35"/>
      <c r="F68" s="35"/>
      <c r="G68" s="35"/>
      <c r="H68" s="35"/>
    </row>
    <row r="69" spans="1:9" ht="15.75">
      <c r="A69" s="212" t="s">
        <v>45</v>
      </c>
      <c r="B69" s="213"/>
      <c r="C69" s="36">
        <v>4570</v>
      </c>
      <c r="D69" s="36">
        <v>4570</v>
      </c>
      <c r="E69" s="42">
        <v>350</v>
      </c>
      <c r="F69" s="42">
        <v>350</v>
      </c>
      <c r="G69" s="42">
        <v>350</v>
      </c>
      <c r="H69" s="162">
        <v>120</v>
      </c>
      <c r="I69" s="162">
        <v>720</v>
      </c>
    </row>
    <row r="70" spans="1:9" ht="15.75">
      <c r="A70" s="212" t="s">
        <v>91</v>
      </c>
      <c r="B70" s="213"/>
      <c r="C70" s="98">
        <f>C67/C69</f>
        <v>4.68</v>
      </c>
      <c r="D70" s="99">
        <f>ROUND(D67/D69,2)</f>
        <v>6.66</v>
      </c>
      <c r="E70" s="28">
        <f>ROUND(E67/E69,2)</f>
        <v>6.66</v>
      </c>
      <c r="F70" s="28">
        <f>F67/F69</f>
        <v>6.85</v>
      </c>
      <c r="G70" s="28">
        <f>G67/G69</f>
        <v>7.81</v>
      </c>
      <c r="H70" s="164">
        <f>H67/H69</f>
        <v>8.060000000000002</v>
      </c>
      <c r="I70" s="164">
        <f>I67/I69</f>
        <v>8.06</v>
      </c>
    </row>
    <row r="71" spans="1:8" ht="15" customHeight="1">
      <c r="A71" s="14"/>
      <c r="B71" s="11"/>
      <c r="C71" s="11"/>
      <c r="D71" s="11"/>
      <c r="E71" s="11"/>
      <c r="F71" s="15"/>
      <c r="G71" s="15"/>
      <c r="H71" s="15"/>
    </row>
    <row r="72" spans="1:9" ht="15" customHeight="1">
      <c r="A72" s="212" t="s">
        <v>46</v>
      </c>
      <c r="B72" s="213"/>
      <c r="C72" s="37"/>
      <c r="D72" s="72"/>
      <c r="E72" s="37"/>
      <c r="F72" s="37"/>
      <c r="G72" s="37"/>
      <c r="H72" s="37"/>
      <c r="I72" s="37"/>
    </row>
    <row r="73" spans="1:9" ht="15.75">
      <c r="A73" s="212" t="s">
        <v>55</v>
      </c>
      <c r="B73" s="213"/>
      <c r="C73" s="37"/>
      <c r="D73" s="72"/>
      <c r="E73" s="37"/>
      <c r="F73" s="37"/>
      <c r="G73" s="37"/>
      <c r="H73" s="37"/>
      <c r="I73" s="37"/>
    </row>
    <row r="74" spans="1:8" ht="15" customHeight="1">
      <c r="A74" s="38"/>
      <c r="B74" s="38"/>
      <c r="C74" s="38"/>
      <c r="D74" s="38"/>
      <c r="E74" s="38"/>
      <c r="F74" s="38"/>
      <c r="G74" s="38"/>
      <c r="H74" s="38"/>
    </row>
    <row r="75" spans="1:8" ht="15" customHeight="1">
      <c r="A75" s="38" t="s">
        <v>47</v>
      </c>
      <c r="B75" s="38"/>
      <c r="C75" s="38"/>
      <c r="D75" s="38"/>
      <c r="E75" s="38"/>
      <c r="F75" s="38"/>
      <c r="G75" s="38"/>
      <c r="H75" s="38"/>
    </row>
    <row r="76" spans="1:8" ht="15.75">
      <c r="A76" s="38"/>
      <c r="B76" s="38"/>
      <c r="C76" s="38"/>
      <c r="D76" s="38"/>
      <c r="E76" s="38"/>
      <c r="F76" s="38"/>
      <c r="G76" s="38"/>
      <c r="H76" s="38"/>
    </row>
    <row r="77" spans="1:8" ht="15.75">
      <c r="A77" s="38"/>
      <c r="B77" s="39"/>
      <c r="C77" s="38"/>
      <c r="D77" s="39"/>
      <c r="E77" s="38"/>
      <c r="F77" s="38"/>
      <c r="G77" s="38"/>
      <c r="H77" s="38"/>
    </row>
    <row r="78" spans="1:8" ht="15.75">
      <c r="A78" s="38"/>
      <c r="B78" s="40"/>
      <c r="C78" s="38"/>
      <c r="D78" s="40"/>
      <c r="E78" s="38"/>
      <c r="F78" s="38"/>
      <c r="G78" s="38"/>
      <c r="H78" s="38"/>
    </row>
    <row r="79" spans="2:8" ht="15">
      <c r="B79" s="220"/>
      <c r="C79" s="220"/>
      <c r="D79" s="220"/>
      <c r="E79" s="220"/>
      <c r="F79" s="67"/>
      <c r="G79" s="67"/>
      <c r="H79" s="67"/>
    </row>
    <row r="80" spans="6:8" ht="15">
      <c r="F80" s="67"/>
      <c r="G80" s="67"/>
      <c r="H80" s="67"/>
    </row>
    <row r="81" ht="15">
      <c r="H81" s="67"/>
    </row>
    <row r="82" ht="15">
      <c r="H82" s="67"/>
    </row>
  </sheetData>
  <sheetProtection/>
  <mergeCells count="12">
    <mergeCell ref="A69:B69"/>
    <mergeCell ref="A72:B72"/>
    <mergeCell ref="A70:B70"/>
    <mergeCell ref="A73:B73"/>
    <mergeCell ref="A3:H3"/>
    <mergeCell ref="B4:E4"/>
    <mergeCell ref="B79:E79"/>
    <mergeCell ref="A5:E5"/>
    <mergeCell ref="A6:E6"/>
    <mergeCell ref="B7:E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Layout" workbookViewId="0" topLeftCell="A42">
      <selection activeCell="B78" sqref="B78"/>
    </sheetView>
  </sheetViews>
  <sheetFormatPr defaultColWidth="9.140625" defaultRowHeight="12.75"/>
  <cols>
    <col min="1" max="1" width="13.140625" style="4" customWidth="1"/>
    <col min="2" max="2" width="99.7109375" style="4" customWidth="1"/>
    <col min="3" max="3" width="13.57421875" style="4" hidden="1" customWidth="1"/>
    <col min="4" max="4" width="12.421875" style="4" hidden="1" customWidth="1"/>
    <col min="5" max="7" width="21.57421875" style="4" hidden="1" customWidth="1"/>
    <col min="8" max="8" width="21.140625" style="4" hidden="1" customWidth="1"/>
    <col min="9" max="9" width="26.00390625" style="0" customWidth="1"/>
  </cols>
  <sheetData>
    <row r="1" spans="2:9" ht="15.75">
      <c r="B1" s="12"/>
      <c r="C1" s="12"/>
      <c r="D1" s="12"/>
      <c r="E1" s="76"/>
      <c r="F1" s="76"/>
      <c r="G1" s="76"/>
      <c r="H1" s="9" t="s">
        <v>204</v>
      </c>
      <c r="I1" s="13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25"/>
      <c r="G5" s="85"/>
      <c r="H5" s="15"/>
    </row>
    <row r="6" spans="1:8" ht="15.75">
      <c r="A6" s="195" t="s">
        <v>0</v>
      </c>
      <c r="B6" s="195"/>
      <c r="C6" s="195"/>
      <c r="D6" s="195"/>
      <c r="E6" s="195"/>
      <c r="F6" s="25"/>
      <c r="G6" s="15"/>
      <c r="H6" s="15"/>
    </row>
    <row r="7" spans="1:8" ht="15.75">
      <c r="A7" s="8"/>
      <c r="B7" s="195" t="s">
        <v>44</v>
      </c>
      <c r="C7" s="195"/>
      <c r="D7" s="195"/>
      <c r="E7" s="195"/>
      <c r="F7" s="85"/>
      <c r="G7" s="15"/>
      <c r="H7" s="15"/>
    </row>
    <row r="8" spans="1:8" ht="15.75">
      <c r="A8" s="8"/>
      <c r="B8" s="195" t="s">
        <v>87</v>
      </c>
      <c r="C8" s="195"/>
      <c r="D8" s="195"/>
      <c r="E8" s="195"/>
      <c r="F8" s="15"/>
      <c r="G8" s="85"/>
      <c r="H8" s="15"/>
    </row>
    <row r="9" spans="1:8" ht="15.75">
      <c r="A9" s="8"/>
      <c r="B9" s="195" t="s">
        <v>92</v>
      </c>
      <c r="C9" s="195"/>
      <c r="D9" s="195"/>
      <c r="E9" s="195"/>
      <c r="F9" s="15"/>
      <c r="G9" s="15"/>
      <c r="H9" s="15"/>
    </row>
    <row r="10" spans="1:8" ht="15.75">
      <c r="A10" s="8" t="s">
        <v>2</v>
      </c>
      <c r="B10" s="8" t="s">
        <v>205</v>
      </c>
      <c r="C10" s="8"/>
      <c r="D10" s="8"/>
      <c r="E10" s="8"/>
      <c r="F10" s="15"/>
      <c r="G10" s="15"/>
      <c r="H10" s="15"/>
    </row>
    <row r="11" spans="1:8" ht="15.75" hidden="1">
      <c r="A11" s="15"/>
      <c r="B11" s="16"/>
      <c r="C11" s="77"/>
      <c r="D11" s="16"/>
      <c r="E11" s="77"/>
      <c r="F11" s="15"/>
      <c r="G11" s="15"/>
      <c r="H11" s="15"/>
    </row>
    <row r="12" spans="1:9" ht="117.75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  <c r="I12" s="59" t="s">
        <v>5</v>
      </c>
    </row>
    <row r="13" spans="1:9" ht="15.75">
      <c r="A13" s="18">
        <v>1</v>
      </c>
      <c r="B13" s="19">
        <v>2</v>
      </c>
      <c r="C13" s="18">
        <v>3</v>
      </c>
      <c r="D13" s="19"/>
      <c r="E13" s="18">
        <v>3</v>
      </c>
      <c r="F13" s="19">
        <v>4</v>
      </c>
      <c r="G13" s="19"/>
      <c r="H13" s="19"/>
      <c r="I13" s="19">
        <v>3</v>
      </c>
    </row>
    <row r="14" spans="1:9" ht="15.75">
      <c r="A14" s="20"/>
      <c r="B14" s="45" t="s">
        <v>71</v>
      </c>
      <c r="C14" s="97"/>
      <c r="D14" s="45"/>
      <c r="E14" s="97"/>
      <c r="F14" s="23"/>
      <c r="G14" s="23"/>
      <c r="H14" s="23"/>
      <c r="I14" s="81"/>
    </row>
    <row r="15" spans="1:9" ht="15.75">
      <c r="A15" s="23">
        <v>1100</v>
      </c>
      <c r="B15" s="23" t="s">
        <v>72</v>
      </c>
      <c r="C15" s="25">
        <v>643.58</v>
      </c>
      <c r="D15" s="68">
        <f>ROUND(C15/0.702804,2)</f>
        <v>915.73</v>
      </c>
      <c r="E15" s="25">
        <f>ROUND(D15/225*125,2)</f>
        <v>508.74</v>
      </c>
      <c r="F15" s="25">
        <v>529.09</v>
      </c>
      <c r="G15" s="25">
        <v>671.94</v>
      </c>
      <c r="H15" s="25">
        <f>G15/125*100+100*0.25</f>
        <v>562.552</v>
      </c>
      <c r="I15" s="80">
        <f>H15/100*700</f>
        <v>3937.864</v>
      </c>
    </row>
    <row r="16" spans="1:9" ht="15.75">
      <c r="A16" s="23">
        <v>1200</v>
      </c>
      <c r="B16" s="32" t="s">
        <v>73</v>
      </c>
      <c r="C16" s="47">
        <v>151.82</v>
      </c>
      <c r="D16" s="68">
        <f>ROUND(C16/0.702804,2)</f>
        <v>216.02</v>
      </c>
      <c r="E16" s="25">
        <f>ROUND(D16/225*125,2)</f>
        <v>120.01</v>
      </c>
      <c r="F16" s="25">
        <v>124.81</v>
      </c>
      <c r="G16" s="25">
        <v>161.87</v>
      </c>
      <c r="H16" s="25">
        <f>G16/125*100+100*0.06</f>
        <v>135.496</v>
      </c>
      <c r="I16" s="80">
        <f>H16/100*700</f>
        <v>948.4720000000001</v>
      </c>
    </row>
    <row r="17" spans="1:9" ht="15.75">
      <c r="A17" s="31">
        <v>2341</v>
      </c>
      <c r="B17" s="32" t="s">
        <v>23</v>
      </c>
      <c r="C17" s="25">
        <v>15.57</v>
      </c>
      <c r="D17" s="68">
        <f>ROUND(C17/0.702804,2)</f>
        <v>22.15</v>
      </c>
      <c r="E17" s="25">
        <f>ROUND(D17/225*125,2)</f>
        <v>12.31</v>
      </c>
      <c r="F17" s="25">
        <f>E17</f>
        <v>12.31</v>
      </c>
      <c r="G17" s="25">
        <f>F17</f>
        <v>12.31</v>
      </c>
      <c r="H17" s="25">
        <f>G17/125*100</f>
        <v>9.847999999999999</v>
      </c>
      <c r="I17" s="80">
        <f>H17/100*700</f>
        <v>68.93599999999999</v>
      </c>
    </row>
    <row r="18" spans="1:9" ht="15.75">
      <c r="A18" s="23">
        <v>2249</v>
      </c>
      <c r="B18" s="32" t="s">
        <v>13</v>
      </c>
      <c r="C18" s="25">
        <v>43.92</v>
      </c>
      <c r="D18" s="68">
        <f>ROUND(C18/0.702804,2)</f>
        <v>62.49</v>
      </c>
      <c r="E18" s="25">
        <f>ROUND(D18/225*125,2)</f>
        <v>34.72</v>
      </c>
      <c r="F18" s="25">
        <f>E18</f>
        <v>34.72</v>
      </c>
      <c r="G18" s="25">
        <f>F18</f>
        <v>34.72</v>
      </c>
      <c r="H18" s="25">
        <f>G18/125*100</f>
        <v>27.776</v>
      </c>
      <c r="I18" s="80">
        <f>H18/100*700</f>
        <v>194.43200000000002</v>
      </c>
    </row>
    <row r="19" spans="1:9" ht="15.75" hidden="1">
      <c r="A19" s="23"/>
      <c r="B19" s="23"/>
      <c r="C19" s="25"/>
      <c r="D19" s="23"/>
      <c r="E19" s="25"/>
      <c r="F19" s="23"/>
      <c r="G19" s="23"/>
      <c r="H19" s="68"/>
      <c r="I19" s="81"/>
    </row>
    <row r="20" spans="1:9" ht="15.75">
      <c r="A20" s="23"/>
      <c r="B20" s="46" t="s">
        <v>74</v>
      </c>
      <c r="C20" s="28">
        <f aca="true" t="shared" si="0" ref="C20:I20">SUM(C15:C19)</f>
        <v>854.8900000000001</v>
      </c>
      <c r="D20" s="28">
        <f t="shared" si="0"/>
        <v>1216.39</v>
      </c>
      <c r="E20" s="28">
        <f t="shared" si="0"/>
        <v>675.78</v>
      </c>
      <c r="F20" s="28">
        <f t="shared" si="0"/>
        <v>700.9300000000001</v>
      </c>
      <c r="G20" s="28">
        <f t="shared" si="0"/>
        <v>880.84</v>
      </c>
      <c r="H20" s="28">
        <f t="shared" si="0"/>
        <v>735.6719999999999</v>
      </c>
      <c r="I20" s="28">
        <f t="shared" si="0"/>
        <v>5149.704</v>
      </c>
    </row>
    <row r="21" spans="1:9" ht="15.75">
      <c r="A21" s="29"/>
      <c r="B21" s="23" t="s">
        <v>75</v>
      </c>
      <c r="C21" s="25"/>
      <c r="D21" s="23"/>
      <c r="E21" s="25"/>
      <c r="F21" s="23"/>
      <c r="G21" s="23"/>
      <c r="H21" s="68"/>
      <c r="I21" s="81"/>
    </row>
    <row r="22" spans="1:9" ht="15.75">
      <c r="A22" s="23">
        <v>1100</v>
      </c>
      <c r="B22" s="23" t="s">
        <v>72</v>
      </c>
      <c r="C22" s="25">
        <v>472.5</v>
      </c>
      <c r="D22" s="68">
        <f aca="true" t="shared" si="1" ref="D22:D65">ROUND(C22/0.702804,2)</f>
        <v>672.31</v>
      </c>
      <c r="E22" s="25">
        <f aca="true" t="shared" si="2" ref="E22:E65">ROUND(D22/225*125,2)</f>
        <v>373.51</v>
      </c>
      <c r="F22" s="25">
        <v>376.12</v>
      </c>
      <c r="G22" s="25">
        <f aca="true" t="shared" si="3" ref="G22:G65">F22</f>
        <v>376.12</v>
      </c>
      <c r="H22" s="25">
        <f aca="true" t="shared" si="4" ref="H22:H65">G22/125*100</f>
        <v>300.896</v>
      </c>
      <c r="I22" s="80">
        <f>H22/100*700</f>
        <v>2106.272</v>
      </c>
    </row>
    <row r="23" spans="1:9" ht="15.75">
      <c r="A23" s="23">
        <v>1200</v>
      </c>
      <c r="B23" s="32" t="s">
        <v>73</v>
      </c>
      <c r="C23" s="47">
        <v>111.5</v>
      </c>
      <c r="D23" s="68">
        <f t="shared" si="1"/>
        <v>158.65</v>
      </c>
      <c r="E23" s="25">
        <f t="shared" si="2"/>
        <v>88.14</v>
      </c>
      <c r="F23" s="25">
        <v>90.61</v>
      </c>
      <c r="G23" s="25">
        <f t="shared" si="3"/>
        <v>90.61</v>
      </c>
      <c r="H23" s="25">
        <f t="shared" si="4"/>
        <v>72.488</v>
      </c>
      <c r="I23" s="80">
        <f aca="true" t="shared" si="5" ref="I23:I65">H23/100*700</f>
        <v>507.416</v>
      </c>
    </row>
    <row r="24" spans="1:9" ht="15.75" hidden="1">
      <c r="A24" s="23">
        <v>2100</v>
      </c>
      <c r="B24" s="30" t="s">
        <v>42</v>
      </c>
      <c r="C24" s="25"/>
      <c r="D24" s="68">
        <f t="shared" si="1"/>
        <v>0</v>
      </c>
      <c r="E24" s="25">
        <f t="shared" si="2"/>
        <v>0</v>
      </c>
      <c r="F24" s="25">
        <f aca="true" t="shared" si="6" ref="F24:F65">E24</f>
        <v>0</v>
      </c>
      <c r="G24" s="25">
        <f t="shared" si="3"/>
        <v>0</v>
      </c>
      <c r="H24" s="25">
        <f t="shared" si="4"/>
        <v>0</v>
      </c>
      <c r="I24" s="80">
        <f t="shared" si="5"/>
        <v>0</v>
      </c>
    </row>
    <row r="25" spans="1:9" ht="15.75">
      <c r="A25" s="31">
        <v>2210</v>
      </c>
      <c r="B25" s="32" t="s">
        <v>38</v>
      </c>
      <c r="C25" s="25">
        <v>6</v>
      </c>
      <c r="D25" s="68">
        <f t="shared" si="1"/>
        <v>8.54</v>
      </c>
      <c r="E25" s="25">
        <f t="shared" si="2"/>
        <v>4.74</v>
      </c>
      <c r="F25" s="25">
        <f t="shared" si="6"/>
        <v>4.74</v>
      </c>
      <c r="G25" s="25">
        <f t="shared" si="3"/>
        <v>4.74</v>
      </c>
      <c r="H25" s="25">
        <f t="shared" si="4"/>
        <v>3.7920000000000003</v>
      </c>
      <c r="I25" s="80">
        <f t="shared" si="5"/>
        <v>26.544</v>
      </c>
    </row>
    <row r="26" spans="1:9" ht="15.75">
      <c r="A26" s="23">
        <v>2222</v>
      </c>
      <c r="B26" s="32" t="s">
        <v>39</v>
      </c>
      <c r="C26" s="25">
        <v>6</v>
      </c>
      <c r="D26" s="68">
        <f t="shared" si="1"/>
        <v>8.54</v>
      </c>
      <c r="E26" s="25">
        <f t="shared" si="2"/>
        <v>4.74</v>
      </c>
      <c r="F26" s="25">
        <f t="shared" si="6"/>
        <v>4.74</v>
      </c>
      <c r="G26" s="25">
        <f t="shared" si="3"/>
        <v>4.74</v>
      </c>
      <c r="H26" s="25">
        <f t="shared" si="4"/>
        <v>3.7920000000000003</v>
      </c>
      <c r="I26" s="80">
        <f t="shared" si="5"/>
        <v>26.544</v>
      </c>
    </row>
    <row r="27" spans="1:9" ht="15.75">
      <c r="A27" s="23">
        <v>2223</v>
      </c>
      <c r="B27" s="32" t="s">
        <v>40</v>
      </c>
      <c r="C27" s="25">
        <v>4</v>
      </c>
      <c r="D27" s="68">
        <f t="shared" si="1"/>
        <v>5.69</v>
      </c>
      <c r="E27" s="25">
        <f t="shared" si="2"/>
        <v>3.16</v>
      </c>
      <c r="F27" s="25">
        <f t="shared" si="6"/>
        <v>3.16</v>
      </c>
      <c r="G27" s="25">
        <f t="shared" si="3"/>
        <v>3.16</v>
      </c>
      <c r="H27" s="25">
        <f t="shared" si="4"/>
        <v>2.528</v>
      </c>
      <c r="I27" s="80">
        <f t="shared" si="5"/>
        <v>17.696</v>
      </c>
    </row>
    <row r="28" spans="1:9" ht="15.75">
      <c r="A28" s="23">
        <v>2230</v>
      </c>
      <c r="B28" s="32" t="s">
        <v>41</v>
      </c>
      <c r="C28" s="25">
        <v>3</v>
      </c>
      <c r="D28" s="68">
        <f t="shared" si="1"/>
        <v>4.27</v>
      </c>
      <c r="E28" s="25">
        <f t="shared" si="2"/>
        <v>2.37</v>
      </c>
      <c r="F28" s="25">
        <f t="shared" si="6"/>
        <v>2.37</v>
      </c>
      <c r="G28" s="25">
        <f t="shared" si="3"/>
        <v>2.37</v>
      </c>
      <c r="H28" s="25">
        <f t="shared" si="4"/>
        <v>1.8960000000000001</v>
      </c>
      <c r="I28" s="80">
        <f t="shared" si="5"/>
        <v>13.272</v>
      </c>
    </row>
    <row r="29" spans="1:9" ht="15.75" hidden="1">
      <c r="A29" s="22">
        <v>2241</v>
      </c>
      <c r="B29" s="26" t="s">
        <v>9</v>
      </c>
      <c r="C29" s="80"/>
      <c r="D29" s="68">
        <f t="shared" si="1"/>
        <v>0</v>
      </c>
      <c r="E29" s="25">
        <f t="shared" si="2"/>
        <v>0</v>
      </c>
      <c r="F29" s="25">
        <f t="shared" si="6"/>
        <v>0</v>
      </c>
      <c r="G29" s="25">
        <f t="shared" si="3"/>
        <v>0</v>
      </c>
      <c r="H29" s="25">
        <f t="shared" si="4"/>
        <v>0</v>
      </c>
      <c r="I29" s="80">
        <f t="shared" si="5"/>
        <v>0</v>
      </c>
    </row>
    <row r="30" spans="1:9" ht="15.75">
      <c r="A30" s="22">
        <v>2242</v>
      </c>
      <c r="B30" s="26" t="s">
        <v>10</v>
      </c>
      <c r="C30" s="80">
        <v>3</v>
      </c>
      <c r="D30" s="68">
        <f t="shared" si="1"/>
        <v>4.27</v>
      </c>
      <c r="E30" s="25">
        <f t="shared" si="2"/>
        <v>2.37</v>
      </c>
      <c r="F30" s="25">
        <f t="shared" si="6"/>
        <v>2.37</v>
      </c>
      <c r="G30" s="25">
        <f t="shared" si="3"/>
        <v>2.37</v>
      </c>
      <c r="H30" s="25">
        <f t="shared" si="4"/>
        <v>1.8960000000000001</v>
      </c>
      <c r="I30" s="80">
        <f t="shared" si="5"/>
        <v>13.272</v>
      </c>
    </row>
    <row r="31" spans="1:9" ht="15.75">
      <c r="A31" s="22">
        <v>2243</v>
      </c>
      <c r="B31" s="26" t="s">
        <v>11</v>
      </c>
      <c r="C31" s="80">
        <v>9</v>
      </c>
      <c r="D31" s="68">
        <f t="shared" si="1"/>
        <v>12.81</v>
      </c>
      <c r="E31" s="25">
        <f t="shared" si="2"/>
        <v>7.12</v>
      </c>
      <c r="F31" s="25">
        <f t="shared" si="6"/>
        <v>7.12</v>
      </c>
      <c r="G31" s="25">
        <f t="shared" si="3"/>
        <v>7.12</v>
      </c>
      <c r="H31" s="25">
        <f t="shared" si="4"/>
        <v>5.696000000000001</v>
      </c>
      <c r="I31" s="80">
        <f t="shared" si="5"/>
        <v>39.872</v>
      </c>
    </row>
    <row r="32" spans="1:9" ht="15.75">
      <c r="A32" s="22">
        <v>2244</v>
      </c>
      <c r="B32" s="26" t="s">
        <v>12</v>
      </c>
      <c r="C32" s="80">
        <v>131.16</v>
      </c>
      <c r="D32" s="68">
        <f t="shared" si="1"/>
        <v>186.62</v>
      </c>
      <c r="E32" s="25">
        <f t="shared" si="2"/>
        <v>103.68</v>
      </c>
      <c r="F32" s="25">
        <f t="shared" si="6"/>
        <v>103.68</v>
      </c>
      <c r="G32" s="25">
        <f t="shared" si="3"/>
        <v>103.68</v>
      </c>
      <c r="H32" s="25">
        <f>G32/125*100+100*0.03</f>
        <v>85.944</v>
      </c>
      <c r="I32" s="80">
        <f t="shared" si="5"/>
        <v>601.608</v>
      </c>
    </row>
    <row r="33" spans="1:9" ht="15.75">
      <c r="A33" s="22">
        <v>2247</v>
      </c>
      <c r="B33" s="21" t="s">
        <v>76</v>
      </c>
      <c r="C33" s="80">
        <v>1</v>
      </c>
      <c r="D33" s="68">
        <f t="shared" si="1"/>
        <v>1.42</v>
      </c>
      <c r="E33" s="25">
        <f t="shared" si="2"/>
        <v>0.79</v>
      </c>
      <c r="F33" s="25">
        <f t="shared" si="6"/>
        <v>0.79</v>
      </c>
      <c r="G33" s="25">
        <f t="shared" si="3"/>
        <v>0.79</v>
      </c>
      <c r="H33" s="25">
        <f t="shared" si="4"/>
        <v>0.632</v>
      </c>
      <c r="I33" s="80">
        <f t="shared" si="5"/>
        <v>4.424</v>
      </c>
    </row>
    <row r="34" spans="1:9" ht="15.75">
      <c r="A34" s="22">
        <v>2249</v>
      </c>
      <c r="B34" s="26" t="s">
        <v>13</v>
      </c>
      <c r="C34" s="80">
        <v>3</v>
      </c>
      <c r="D34" s="68">
        <f t="shared" si="1"/>
        <v>4.27</v>
      </c>
      <c r="E34" s="25">
        <f t="shared" si="2"/>
        <v>2.37</v>
      </c>
      <c r="F34" s="25">
        <f t="shared" si="6"/>
        <v>2.37</v>
      </c>
      <c r="G34" s="25">
        <f t="shared" si="3"/>
        <v>2.37</v>
      </c>
      <c r="H34" s="25">
        <f t="shared" si="4"/>
        <v>1.8960000000000001</v>
      </c>
      <c r="I34" s="80">
        <f t="shared" si="5"/>
        <v>13.272</v>
      </c>
    </row>
    <row r="35" spans="1:9" ht="15.75">
      <c r="A35" s="22">
        <v>2251</v>
      </c>
      <c r="B35" s="26" t="s">
        <v>77</v>
      </c>
      <c r="C35" s="80">
        <v>10</v>
      </c>
      <c r="D35" s="68">
        <f t="shared" si="1"/>
        <v>14.23</v>
      </c>
      <c r="E35" s="25">
        <f t="shared" si="2"/>
        <v>7.91</v>
      </c>
      <c r="F35" s="25">
        <f t="shared" si="6"/>
        <v>7.91</v>
      </c>
      <c r="G35" s="25">
        <f t="shared" si="3"/>
        <v>7.91</v>
      </c>
      <c r="H35" s="25">
        <f t="shared" si="4"/>
        <v>6.328</v>
      </c>
      <c r="I35" s="80">
        <f t="shared" si="5"/>
        <v>44.296</v>
      </c>
    </row>
    <row r="36" spans="1:9" ht="15.75" hidden="1">
      <c r="A36" s="22">
        <v>2252</v>
      </c>
      <c r="B36" s="26" t="s">
        <v>7</v>
      </c>
      <c r="C36" s="80"/>
      <c r="D36" s="68">
        <f t="shared" si="1"/>
        <v>0</v>
      </c>
      <c r="E36" s="25">
        <f t="shared" si="2"/>
        <v>0</v>
      </c>
      <c r="F36" s="25">
        <f t="shared" si="6"/>
        <v>0</v>
      </c>
      <c r="G36" s="25">
        <f t="shared" si="3"/>
        <v>0</v>
      </c>
      <c r="H36" s="25">
        <f t="shared" si="4"/>
        <v>0</v>
      </c>
      <c r="I36" s="80">
        <f t="shared" si="5"/>
        <v>0</v>
      </c>
    </row>
    <row r="37" spans="1:9" ht="15.75" hidden="1">
      <c r="A37" s="22">
        <v>2259</v>
      </c>
      <c r="B37" s="26" t="s">
        <v>8</v>
      </c>
      <c r="C37" s="80"/>
      <c r="D37" s="68">
        <f t="shared" si="1"/>
        <v>0</v>
      </c>
      <c r="E37" s="25">
        <f t="shared" si="2"/>
        <v>0</v>
      </c>
      <c r="F37" s="25">
        <f t="shared" si="6"/>
        <v>0</v>
      </c>
      <c r="G37" s="25">
        <f t="shared" si="3"/>
        <v>0</v>
      </c>
      <c r="H37" s="25">
        <f t="shared" si="4"/>
        <v>0</v>
      </c>
      <c r="I37" s="80">
        <f t="shared" si="5"/>
        <v>0</v>
      </c>
    </row>
    <row r="38" spans="1:9" ht="15.75">
      <c r="A38" s="22">
        <v>2261</v>
      </c>
      <c r="B38" s="26" t="s">
        <v>14</v>
      </c>
      <c r="C38" s="80">
        <v>2</v>
      </c>
      <c r="D38" s="68">
        <f t="shared" si="1"/>
        <v>2.85</v>
      </c>
      <c r="E38" s="25">
        <f t="shared" si="2"/>
        <v>1.58</v>
      </c>
      <c r="F38" s="25">
        <f t="shared" si="6"/>
        <v>1.58</v>
      </c>
      <c r="G38" s="25">
        <f t="shared" si="3"/>
        <v>1.58</v>
      </c>
      <c r="H38" s="25">
        <f t="shared" si="4"/>
        <v>1.264</v>
      </c>
      <c r="I38" s="80">
        <f t="shared" si="5"/>
        <v>8.848</v>
      </c>
    </row>
    <row r="39" spans="1:9" ht="15.75">
      <c r="A39" s="22">
        <v>2262</v>
      </c>
      <c r="B39" s="26" t="s">
        <v>15</v>
      </c>
      <c r="C39" s="80">
        <v>8</v>
      </c>
      <c r="D39" s="68">
        <f t="shared" si="1"/>
        <v>11.38</v>
      </c>
      <c r="E39" s="25">
        <f t="shared" si="2"/>
        <v>6.32</v>
      </c>
      <c r="F39" s="25">
        <f t="shared" si="6"/>
        <v>6.32</v>
      </c>
      <c r="G39" s="25">
        <f t="shared" si="3"/>
        <v>6.32</v>
      </c>
      <c r="H39" s="25">
        <f t="shared" si="4"/>
        <v>5.056</v>
      </c>
      <c r="I39" s="80">
        <f t="shared" si="5"/>
        <v>35.392</v>
      </c>
    </row>
    <row r="40" spans="1:9" ht="15.75">
      <c r="A40" s="22">
        <v>2263</v>
      </c>
      <c r="B40" s="26" t="s">
        <v>16</v>
      </c>
      <c r="C40" s="80">
        <v>29</v>
      </c>
      <c r="D40" s="68">
        <f t="shared" si="1"/>
        <v>41.26</v>
      </c>
      <c r="E40" s="25">
        <f t="shared" si="2"/>
        <v>22.92</v>
      </c>
      <c r="F40" s="25">
        <f t="shared" si="6"/>
        <v>22.92</v>
      </c>
      <c r="G40" s="25">
        <f t="shared" si="3"/>
        <v>22.92</v>
      </c>
      <c r="H40" s="25">
        <f t="shared" si="4"/>
        <v>18.336000000000002</v>
      </c>
      <c r="I40" s="80">
        <f t="shared" si="5"/>
        <v>128.352</v>
      </c>
    </row>
    <row r="41" spans="1:9" ht="15.75" hidden="1">
      <c r="A41" s="22">
        <v>2264</v>
      </c>
      <c r="B41" s="26" t="s">
        <v>17</v>
      </c>
      <c r="C41" s="80">
        <v>0</v>
      </c>
      <c r="D41" s="68">
        <f t="shared" si="1"/>
        <v>0</v>
      </c>
      <c r="E41" s="25">
        <f t="shared" si="2"/>
        <v>0</v>
      </c>
      <c r="F41" s="25">
        <f t="shared" si="6"/>
        <v>0</v>
      </c>
      <c r="G41" s="25">
        <f t="shared" si="3"/>
        <v>0</v>
      </c>
      <c r="H41" s="25">
        <f t="shared" si="4"/>
        <v>0</v>
      </c>
      <c r="I41" s="80">
        <f t="shared" si="5"/>
        <v>0</v>
      </c>
    </row>
    <row r="42" spans="1:9" ht="15.75">
      <c r="A42" s="22">
        <v>2279</v>
      </c>
      <c r="B42" s="26" t="s">
        <v>18</v>
      </c>
      <c r="C42" s="80">
        <v>32.2</v>
      </c>
      <c r="D42" s="68">
        <f t="shared" si="1"/>
        <v>45.82</v>
      </c>
      <c r="E42" s="25">
        <f t="shared" si="2"/>
        <v>25.46</v>
      </c>
      <c r="F42" s="25">
        <f t="shared" si="6"/>
        <v>25.46</v>
      </c>
      <c r="G42" s="25">
        <f t="shared" si="3"/>
        <v>25.46</v>
      </c>
      <c r="H42" s="25">
        <f t="shared" si="4"/>
        <v>20.368</v>
      </c>
      <c r="I42" s="80">
        <f t="shared" si="5"/>
        <v>142.576</v>
      </c>
    </row>
    <row r="43" spans="1:9" ht="15.75">
      <c r="A43" s="22">
        <v>2311</v>
      </c>
      <c r="B43" s="26" t="s">
        <v>19</v>
      </c>
      <c r="C43" s="80">
        <v>3</v>
      </c>
      <c r="D43" s="68">
        <f t="shared" si="1"/>
        <v>4.27</v>
      </c>
      <c r="E43" s="25">
        <f t="shared" si="2"/>
        <v>2.37</v>
      </c>
      <c r="F43" s="25">
        <f t="shared" si="6"/>
        <v>2.37</v>
      </c>
      <c r="G43" s="25">
        <f t="shared" si="3"/>
        <v>2.37</v>
      </c>
      <c r="H43" s="25">
        <f t="shared" si="4"/>
        <v>1.8960000000000001</v>
      </c>
      <c r="I43" s="80">
        <f t="shared" si="5"/>
        <v>13.272</v>
      </c>
    </row>
    <row r="44" spans="1:9" ht="15.75">
      <c r="A44" s="22">
        <v>2312</v>
      </c>
      <c r="B44" s="26" t="s">
        <v>20</v>
      </c>
      <c r="C44" s="80">
        <v>6</v>
      </c>
      <c r="D44" s="68">
        <f t="shared" si="1"/>
        <v>8.54</v>
      </c>
      <c r="E44" s="25">
        <f t="shared" si="2"/>
        <v>4.74</v>
      </c>
      <c r="F44" s="25">
        <f t="shared" si="6"/>
        <v>4.74</v>
      </c>
      <c r="G44" s="25">
        <f t="shared" si="3"/>
        <v>4.74</v>
      </c>
      <c r="H44" s="25">
        <f t="shared" si="4"/>
        <v>3.7920000000000003</v>
      </c>
      <c r="I44" s="80">
        <f t="shared" si="5"/>
        <v>26.544</v>
      </c>
    </row>
    <row r="45" spans="1:9" ht="15.75">
      <c r="A45" s="22">
        <v>2321</v>
      </c>
      <c r="B45" s="26" t="s">
        <v>21</v>
      </c>
      <c r="C45" s="80">
        <v>11</v>
      </c>
      <c r="D45" s="68">
        <f t="shared" si="1"/>
        <v>15.65</v>
      </c>
      <c r="E45" s="25">
        <v>8.7</v>
      </c>
      <c r="F45" s="25">
        <f t="shared" si="6"/>
        <v>8.7</v>
      </c>
      <c r="G45" s="25">
        <f t="shared" si="3"/>
        <v>8.7</v>
      </c>
      <c r="H45" s="25">
        <f t="shared" si="4"/>
        <v>6.959999999999999</v>
      </c>
      <c r="I45" s="80">
        <f t="shared" si="5"/>
        <v>48.72</v>
      </c>
    </row>
    <row r="46" spans="1:9" ht="15.75">
      <c r="A46" s="22">
        <v>2322</v>
      </c>
      <c r="B46" s="26" t="s">
        <v>22</v>
      </c>
      <c r="C46" s="80">
        <v>10</v>
      </c>
      <c r="D46" s="68">
        <v>14.16</v>
      </c>
      <c r="E46" s="25">
        <f t="shared" si="2"/>
        <v>7.87</v>
      </c>
      <c r="F46" s="25">
        <v>7.64</v>
      </c>
      <c r="G46" s="25">
        <f t="shared" si="3"/>
        <v>7.64</v>
      </c>
      <c r="H46" s="25">
        <f t="shared" si="4"/>
        <v>6.112</v>
      </c>
      <c r="I46" s="80">
        <f t="shared" si="5"/>
        <v>42.784</v>
      </c>
    </row>
    <row r="47" spans="1:9" ht="15.75">
      <c r="A47" s="22">
        <v>2341</v>
      </c>
      <c r="B47" s="26" t="s">
        <v>23</v>
      </c>
      <c r="C47" s="80">
        <v>4</v>
      </c>
      <c r="D47" s="68">
        <f t="shared" si="1"/>
        <v>5.69</v>
      </c>
      <c r="E47" s="25">
        <f t="shared" si="2"/>
        <v>3.16</v>
      </c>
      <c r="F47" s="25">
        <f t="shared" si="6"/>
        <v>3.16</v>
      </c>
      <c r="G47" s="25">
        <f t="shared" si="3"/>
        <v>3.16</v>
      </c>
      <c r="H47" s="25">
        <f t="shared" si="4"/>
        <v>2.528</v>
      </c>
      <c r="I47" s="80">
        <f t="shared" si="5"/>
        <v>17.696</v>
      </c>
    </row>
    <row r="48" spans="1:9" ht="15.75" hidden="1">
      <c r="A48" s="22">
        <v>2344</v>
      </c>
      <c r="B48" s="26" t="s">
        <v>24</v>
      </c>
      <c r="C48" s="80">
        <v>0</v>
      </c>
      <c r="D48" s="68">
        <f t="shared" si="1"/>
        <v>0</v>
      </c>
      <c r="E48" s="25">
        <f t="shared" si="2"/>
        <v>0</v>
      </c>
      <c r="F48" s="25">
        <f t="shared" si="6"/>
        <v>0</v>
      </c>
      <c r="G48" s="25">
        <f t="shared" si="3"/>
        <v>0</v>
      </c>
      <c r="H48" s="25">
        <f t="shared" si="4"/>
        <v>0</v>
      </c>
      <c r="I48" s="80">
        <f t="shared" si="5"/>
        <v>0</v>
      </c>
    </row>
    <row r="49" spans="1:9" ht="15.75">
      <c r="A49" s="22">
        <v>2350</v>
      </c>
      <c r="B49" s="26" t="s">
        <v>25</v>
      </c>
      <c r="C49" s="80">
        <v>26</v>
      </c>
      <c r="D49" s="68">
        <f t="shared" si="1"/>
        <v>36.99</v>
      </c>
      <c r="E49" s="25">
        <f t="shared" si="2"/>
        <v>20.55</v>
      </c>
      <c r="F49" s="25">
        <f t="shared" si="6"/>
        <v>20.55</v>
      </c>
      <c r="G49" s="25">
        <f t="shared" si="3"/>
        <v>20.55</v>
      </c>
      <c r="H49" s="25">
        <f t="shared" si="4"/>
        <v>16.44</v>
      </c>
      <c r="I49" s="80">
        <f t="shared" si="5"/>
        <v>115.08000000000001</v>
      </c>
    </row>
    <row r="50" spans="1:9" ht="15.75">
      <c r="A50" s="22">
        <v>2361</v>
      </c>
      <c r="B50" s="26" t="s">
        <v>26</v>
      </c>
      <c r="C50" s="80">
        <v>16</v>
      </c>
      <c r="D50" s="68">
        <f t="shared" si="1"/>
        <v>22.77</v>
      </c>
      <c r="E50" s="25">
        <f t="shared" si="2"/>
        <v>12.65</v>
      </c>
      <c r="F50" s="25">
        <f t="shared" si="6"/>
        <v>12.65</v>
      </c>
      <c r="G50" s="25">
        <f t="shared" si="3"/>
        <v>12.65</v>
      </c>
      <c r="H50" s="25">
        <f t="shared" si="4"/>
        <v>10.12</v>
      </c>
      <c r="I50" s="80">
        <f t="shared" si="5"/>
        <v>70.84</v>
      </c>
    </row>
    <row r="51" spans="1:9" ht="15.75" hidden="1">
      <c r="A51" s="22">
        <v>2362</v>
      </c>
      <c r="B51" s="26" t="s">
        <v>27</v>
      </c>
      <c r="C51" s="80"/>
      <c r="D51" s="68">
        <f t="shared" si="1"/>
        <v>0</v>
      </c>
      <c r="E51" s="25">
        <f t="shared" si="2"/>
        <v>0</v>
      </c>
      <c r="F51" s="25">
        <f t="shared" si="6"/>
        <v>0</v>
      </c>
      <c r="G51" s="25">
        <f t="shared" si="3"/>
        <v>0</v>
      </c>
      <c r="H51" s="25">
        <f t="shared" si="4"/>
        <v>0</v>
      </c>
      <c r="I51" s="80">
        <f t="shared" si="5"/>
        <v>0</v>
      </c>
    </row>
    <row r="52" spans="1:9" ht="15.75" hidden="1">
      <c r="A52" s="22">
        <v>2363</v>
      </c>
      <c r="B52" s="26" t="s">
        <v>28</v>
      </c>
      <c r="C52" s="80"/>
      <c r="D52" s="68">
        <f t="shared" si="1"/>
        <v>0</v>
      </c>
      <c r="E52" s="25">
        <f t="shared" si="2"/>
        <v>0</v>
      </c>
      <c r="F52" s="25">
        <f t="shared" si="6"/>
        <v>0</v>
      </c>
      <c r="G52" s="25">
        <f t="shared" si="3"/>
        <v>0</v>
      </c>
      <c r="H52" s="25">
        <f t="shared" si="4"/>
        <v>0</v>
      </c>
      <c r="I52" s="80">
        <f t="shared" si="5"/>
        <v>0</v>
      </c>
    </row>
    <row r="53" spans="1:9" ht="15.75" hidden="1">
      <c r="A53" s="22">
        <v>2370</v>
      </c>
      <c r="B53" s="26" t="s">
        <v>29</v>
      </c>
      <c r="C53" s="80"/>
      <c r="D53" s="68">
        <f t="shared" si="1"/>
        <v>0</v>
      </c>
      <c r="E53" s="25">
        <f t="shared" si="2"/>
        <v>0</v>
      </c>
      <c r="F53" s="25">
        <f t="shared" si="6"/>
        <v>0</v>
      </c>
      <c r="G53" s="25">
        <f t="shared" si="3"/>
        <v>0</v>
      </c>
      <c r="H53" s="25">
        <f t="shared" si="4"/>
        <v>0</v>
      </c>
      <c r="I53" s="80">
        <f t="shared" si="5"/>
        <v>0</v>
      </c>
    </row>
    <row r="54" spans="1:9" ht="15.75">
      <c r="A54" s="22">
        <v>2400</v>
      </c>
      <c r="B54" s="26" t="s">
        <v>43</v>
      </c>
      <c r="C54" s="80">
        <v>1</v>
      </c>
      <c r="D54" s="68">
        <f t="shared" si="1"/>
        <v>1.42</v>
      </c>
      <c r="E54" s="25">
        <f t="shared" si="2"/>
        <v>0.79</v>
      </c>
      <c r="F54" s="25">
        <f t="shared" si="6"/>
        <v>0.79</v>
      </c>
      <c r="G54" s="25">
        <f t="shared" si="3"/>
        <v>0.79</v>
      </c>
      <c r="H54" s="25">
        <f t="shared" si="4"/>
        <v>0.632</v>
      </c>
      <c r="I54" s="80">
        <f t="shared" si="5"/>
        <v>4.424</v>
      </c>
    </row>
    <row r="55" spans="1:9" ht="15.75" hidden="1">
      <c r="A55" s="22">
        <v>2512</v>
      </c>
      <c r="B55" s="26" t="s">
        <v>30</v>
      </c>
      <c r="C55" s="80">
        <v>0</v>
      </c>
      <c r="D55" s="68">
        <f t="shared" si="1"/>
        <v>0</v>
      </c>
      <c r="E55" s="25">
        <f t="shared" si="2"/>
        <v>0</v>
      </c>
      <c r="F55" s="25">
        <f t="shared" si="6"/>
        <v>0</v>
      </c>
      <c r="G55" s="25">
        <f t="shared" si="3"/>
        <v>0</v>
      </c>
      <c r="H55" s="25">
        <f t="shared" si="4"/>
        <v>0</v>
      </c>
      <c r="I55" s="80">
        <f t="shared" si="5"/>
        <v>0</v>
      </c>
    </row>
    <row r="56" spans="1:9" ht="15.75">
      <c r="A56" s="23">
        <v>2513</v>
      </c>
      <c r="B56" s="32" t="s">
        <v>31</v>
      </c>
      <c r="C56" s="25">
        <v>16</v>
      </c>
      <c r="D56" s="68">
        <f t="shared" si="1"/>
        <v>22.77</v>
      </c>
      <c r="E56" s="25">
        <f t="shared" si="2"/>
        <v>12.65</v>
      </c>
      <c r="F56" s="25">
        <f t="shared" si="6"/>
        <v>12.65</v>
      </c>
      <c r="G56" s="25">
        <f t="shared" si="3"/>
        <v>12.65</v>
      </c>
      <c r="H56" s="25">
        <f t="shared" si="4"/>
        <v>10.12</v>
      </c>
      <c r="I56" s="80">
        <f t="shared" si="5"/>
        <v>70.84</v>
      </c>
    </row>
    <row r="57" spans="1:9" ht="15.75">
      <c r="A57" s="23">
        <v>2515</v>
      </c>
      <c r="B57" s="32" t="s">
        <v>78</v>
      </c>
      <c r="C57" s="25">
        <v>2</v>
      </c>
      <c r="D57" s="68">
        <f t="shared" si="1"/>
        <v>2.85</v>
      </c>
      <c r="E57" s="25">
        <f t="shared" si="2"/>
        <v>1.58</v>
      </c>
      <c r="F57" s="25">
        <f t="shared" si="6"/>
        <v>1.58</v>
      </c>
      <c r="G57" s="25">
        <f t="shared" si="3"/>
        <v>1.58</v>
      </c>
      <c r="H57" s="25">
        <f t="shared" si="4"/>
        <v>1.264</v>
      </c>
      <c r="I57" s="80">
        <f t="shared" si="5"/>
        <v>8.848</v>
      </c>
    </row>
    <row r="58" spans="1:9" ht="15.75">
      <c r="A58" s="23">
        <v>2519</v>
      </c>
      <c r="B58" s="32" t="s">
        <v>34</v>
      </c>
      <c r="C58" s="25">
        <v>8</v>
      </c>
      <c r="D58" s="68">
        <f t="shared" si="1"/>
        <v>11.38</v>
      </c>
      <c r="E58" s="25">
        <f t="shared" si="2"/>
        <v>6.32</v>
      </c>
      <c r="F58" s="25">
        <f t="shared" si="6"/>
        <v>6.32</v>
      </c>
      <c r="G58" s="25">
        <f t="shared" si="3"/>
        <v>6.32</v>
      </c>
      <c r="H58" s="25">
        <f t="shared" si="4"/>
        <v>5.056</v>
      </c>
      <c r="I58" s="80">
        <f t="shared" si="5"/>
        <v>35.392</v>
      </c>
    </row>
    <row r="59" spans="1:9" ht="15.75" hidden="1">
      <c r="A59" s="23">
        <v>6240</v>
      </c>
      <c r="B59" s="32"/>
      <c r="C59" s="25"/>
      <c r="D59" s="68">
        <f t="shared" si="1"/>
        <v>0</v>
      </c>
      <c r="E59" s="25">
        <f t="shared" si="2"/>
        <v>0</v>
      </c>
      <c r="F59" s="25">
        <f t="shared" si="6"/>
        <v>0</v>
      </c>
      <c r="G59" s="25">
        <f t="shared" si="3"/>
        <v>0</v>
      </c>
      <c r="H59" s="25">
        <f t="shared" si="4"/>
        <v>0</v>
      </c>
      <c r="I59" s="80">
        <f t="shared" si="5"/>
        <v>0</v>
      </c>
    </row>
    <row r="60" spans="1:9" ht="15.75" hidden="1">
      <c r="A60" s="23">
        <v>6290</v>
      </c>
      <c r="B60" s="32"/>
      <c r="C60" s="25"/>
      <c r="D60" s="68">
        <f t="shared" si="1"/>
        <v>0</v>
      </c>
      <c r="E60" s="25">
        <f t="shared" si="2"/>
        <v>0</v>
      </c>
      <c r="F60" s="25">
        <f t="shared" si="6"/>
        <v>0</v>
      </c>
      <c r="G60" s="25">
        <f t="shared" si="3"/>
        <v>0</v>
      </c>
      <c r="H60" s="25">
        <f t="shared" si="4"/>
        <v>0</v>
      </c>
      <c r="I60" s="80">
        <f t="shared" si="5"/>
        <v>0</v>
      </c>
    </row>
    <row r="61" spans="1:9" ht="15.75">
      <c r="A61" s="23">
        <v>5121</v>
      </c>
      <c r="B61" s="32" t="s">
        <v>32</v>
      </c>
      <c r="C61" s="25">
        <v>4</v>
      </c>
      <c r="D61" s="68">
        <f t="shared" si="1"/>
        <v>5.69</v>
      </c>
      <c r="E61" s="25">
        <f t="shared" si="2"/>
        <v>3.16</v>
      </c>
      <c r="F61" s="25">
        <f t="shared" si="6"/>
        <v>3.16</v>
      </c>
      <c r="G61" s="25">
        <f t="shared" si="3"/>
        <v>3.16</v>
      </c>
      <c r="H61" s="25">
        <v>2.6</v>
      </c>
      <c r="I61" s="80">
        <f t="shared" si="5"/>
        <v>18.200000000000003</v>
      </c>
    </row>
    <row r="62" spans="1:9" ht="15.75" hidden="1">
      <c r="A62" s="23">
        <v>5232</v>
      </c>
      <c r="B62" s="32" t="s">
        <v>33</v>
      </c>
      <c r="C62" s="25">
        <v>0</v>
      </c>
      <c r="D62" s="68">
        <f t="shared" si="1"/>
        <v>0</v>
      </c>
      <c r="E62" s="25">
        <f t="shared" si="2"/>
        <v>0</v>
      </c>
      <c r="F62" s="25">
        <f t="shared" si="6"/>
        <v>0</v>
      </c>
      <c r="G62" s="25">
        <f t="shared" si="3"/>
        <v>0</v>
      </c>
      <c r="H62" s="25">
        <f t="shared" si="4"/>
        <v>0</v>
      </c>
      <c r="I62">
        <f t="shared" si="5"/>
        <v>0</v>
      </c>
    </row>
    <row r="63" spans="1:9" ht="15.75" hidden="1">
      <c r="A63" s="23">
        <v>5238</v>
      </c>
      <c r="B63" s="32" t="s">
        <v>35</v>
      </c>
      <c r="C63" s="25">
        <v>0</v>
      </c>
      <c r="D63" s="68">
        <f t="shared" si="1"/>
        <v>0</v>
      </c>
      <c r="E63" s="25">
        <f t="shared" si="2"/>
        <v>0</v>
      </c>
      <c r="F63" s="25">
        <f t="shared" si="6"/>
        <v>0</v>
      </c>
      <c r="G63" s="25">
        <f t="shared" si="3"/>
        <v>0</v>
      </c>
      <c r="H63" s="25">
        <f t="shared" si="4"/>
        <v>0</v>
      </c>
      <c r="I63">
        <f t="shared" si="5"/>
        <v>0</v>
      </c>
    </row>
    <row r="64" spans="1:9" ht="15.75" hidden="1">
      <c r="A64" s="23">
        <v>5240</v>
      </c>
      <c r="B64" s="32" t="s">
        <v>36</v>
      </c>
      <c r="C64" s="25">
        <v>0</v>
      </c>
      <c r="D64" s="68">
        <f t="shared" si="1"/>
        <v>0</v>
      </c>
      <c r="E64" s="25">
        <f t="shared" si="2"/>
        <v>0</v>
      </c>
      <c r="F64" s="25">
        <f t="shared" si="6"/>
        <v>0</v>
      </c>
      <c r="G64" s="25">
        <f t="shared" si="3"/>
        <v>0</v>
      </c>
      <c r="H64" s="25">
        <f t="shared" si="4"/>
        <v>0</v>
      </c>
      <c r="I64">
        <f t="shared" si="5"/>
        <v>0</v>
      </c>
    </row>
    <row r="65" spans="1:9" ht="15.75" hidden="1">
      <c r="A65" s="23">
        <v>5250</v>
      </c>
      <c r="B65" s="32" t="s">
        <v>37</v>
      </c>
      <c r="C65" s="25">
        <v>0</v>
      </c>
      <c r="D65" s="68">
        <f t="shared" si="1"/>
        <v>0</v>
      </c>
      <c r="E65" s="25">
        <f t="shared" si="2"/>
        <v>0</v>
      </c>
      <c r="F65" s="25">
        <f t="shared" si="6"/>
        <v>0</v>
      </c>
      <c r="G65" s="25">
        <f t="shared" si="3"/>
        <v>0</v>
      </c>
      <c r="H65" s="25">
        <f t="shared" si="4"/>
        <v>0</v>
      </c>
      <c r="I65">
        <f t="shared" si="5"/>
        <v>0</v>
      </c>
    </row>
    <row r="66" spans="1:9" ht="15.75">
      <c r="A66" s="29"/>
      <c r="B66" s="48" t="s">
        <v>79</v>
      </c>
      <c r="C66" s="28">
        <f aca="true" t="shared" si="7" ref="C66:I66">SUM(C22:C65)</f>
        <v>938.36</v>
      </c>
      <c r="D66" s="28">
        <f t="shared" si="7"/>
        <v>1335.1100000000001</v>
      </c>
      <c r="E66" s="28">
        <f t="shared" si="7"/>
        <v>741.72</v>
      </c>
      <c r="F66" s="28">
        <f t="shared" si="7"/>
        <v>746.57</v>
      </c>
      <c r="G66" s="28">
        <f t="shared" si="7"/>
        <v>746.57</v>
      </c>
      <c r="H66" s="28">
        <f t="shared" si="7"/>
        <v>600.3280000000002</v>
      </c>
      <c r="I66" s="28">
        <f t="shared" si="7"/>
        <v>4202.295999999998</v>
      </c>
    </row>
    <row r="67" spans="1:9" ht="15.75">
      <c r="A67" s="29"/>
      <c r="B67" s="48" t="s">
        <v>80</v>
      </c>
      <c r="C67" s="28">
        <f aca="true" t="shared" si="8" ref="C67:I67">C66+C20</f>
        <v>1793.25</v>
      </c>
      <c r="D67" s="28">
        <f t="shared" si="8"/>
        <v>2551.5</v>
      </c>
      <c r="E67" s="28">
        <f t="shared" si="8"/>
        <v>1417.5</v>
      </c>
      <c r="F67" s="28">
        <f t="shared" si="8"/>
        <v>1447.5</v>
      </c>
      <c r="G67" s="28">
        <f t="shared" si="8"/>
        <v>1627.41</v>
      </c>
      <c r="H67" s="28">
        <f t="shared" si="8"/>
        <v>1336</v>
      </c>
      <c r="I67" s="28">
        <f t="shared" si="8"/>
        <v>9351.999999999996</v>
      </c>
    </row>
    <row r="68" spans="1:8" ht="15.75">
      <c r="A68" s="9"/>
      <c r="B68" s="14"/>
      <c r="C68" s="35"/>
      <c r="D68" s="35"/>
      <c r="E68" s="35"/>
      <c r="F68" s="35"/>
      <c r="G68" s="35"/>
      <c r="H68" s="35"/>
    </row>
    <row r="69" spans="1:9" ht="15.75">
      <c r="A69" s="212" t="s">
        <v>45</v>
      </c>
      <c r="B69" s="213"/>
      <c r="C69" s="36">
        <v>225</v>
      </c>
      <c r="D69" s="36">
        <v>225</v>
      </c>
      <c r="E69" s="42">
        <v>125</v>
      </c>
      <c r="F69" s="42">
        <v>125</v>
      </c>
      <c r="G69" s="42">
        <v>125</v>
      </c>
      <c r="H69" s="162">
        <v>100</v>
      </c>
      <c r="I69" s="162">
        <v>700</v>
      </c>
    </row>
    <row r="70" spans="1:9" ht="15.75">
      <c r="A70" s="212" t="s">
        <v>91</v>
      </c>
      <c r="B70" s="213"/>
      <c r="C70" s="100">
        <f>C67/C69</f>
        <v>7.97</v>
      </c>
      <c r="D70" s="99">
        <f aca="true" t="shared" si="9" ref="D70:I70">ROUND(D67/D69,2)</f>
        <v>11.34</v>
      </c>
      <c r="E70" s="28">
        <f t="shared" si="9"/>
        <v>11.34</v>
      </c>
      <c r="F70" s="28">
        <f t="shared" si="9"/>
        <v>11.58</v>
      </c>
      <c r="G70" s="28">
        <f t="shared" si="9"/>
        <v>13.02</v>
      </c>
      <c r="H70" s="164">
        <f t="shared" si="9"/>
        <v>13.36</v>
      </c>
      <c r="I70" s="164">
        <f t="shared" si="9"/>
        <v>13.36</v>
      </c>
    </row>
    <row r="71" spans="1:8" ht="15.75">
      <c r="A71" s="14"/>
      <c r="B71" s="11"/>
      <c r="C71" s="11"/>
      <c r="D71" s="11"/>
      <c r="E71" s="11"/>
      <c r="F71" s="15"/>
      <c r="G71" s="15"/>
      <c r="H71" s="15"/>
    </row>
    <row r="72" spans="1:9" ht="15.75">
      <c r="A72" s="212" t="s">
        <v>46</v>
      </c>
      <c r="B72" s="213"/>
      <c r="C72" s="72"/>
      <c r="D72" s="72"/>
      <c r="E72" s="37"/>
      <c r="F72" s="37"/>
      <c r="G72" s="37"/>
      <c r="H72" s="37"/>
      <c r="I72" s="37"/>
    </row>
    <row r="73" spans="1:9" ht="15.75">
      <c r="A73" s="212" t="s">
        <v>55</v>
      </c>
      <c r="B73" s="213"/>
      <c r="C73" s="72"/>
      <c r="D73" s="72"/>
      <c r="E73" s="37"/>
      <c r="F73" s="37"/>
      <c r="G73" s="37"/>
      <c r="H73" s="37"/>
      <c r="I73" s="37"/>
    </row>
    <row r="74" spans="1:8" ht="15.75">
      <c r="A74" s="38"/>
      <c r="B74" s="38"/>
      <c r="C74" s="38"/>
      <c r="D74" s="38"/>
      <c r="E74" s="38"/>
      <c r="F74" s="38"/>
      <c r="G74" s="38"/>
      <c r="H74" s="38"/>
    </row>
    <row r="75" spans="1:8" ht="15.75">
      <c r="A75" s="38" t="s">
        <v>47</v>
      </c>
      <c r="B75" s="38"/>
      <c r="C75" s="38"/>
      <c r="D75" s="38"/>
      <c r="E75" s="38"/>
      <c r="F75" s="38"/>
      <c r="G75" s="38"/>
      <c r="H75" s="38"/>
    </row>
    <row r="76" spans="1:8" ht="15.75">
      <c r="A76" s="38"/>
      <c r="B76" s="38"/>
      <c r="C76" s="38"/>
      <c r="D76" s="38"/>
      <c r="E76" s="38"/>
      <c r="F76" s="38"/>
      <c r="G76" s="38"/>
      <c r="H76" s="38"/>
    </row>
    <row r="77" spans="1:8" ht="15.75">
      <c r="A77" s="38"/>
      <c r="B77" s="39"/>
      <c r="C77" s="38"/>
      <c r="D77" s="39"/>
      <c r="E77" s="38"/>
      <c r="F77" s="38"/>
      <c r="G77" s="38"/>
      <c r="H77" s="38"/>
    </row>
    <row r="78" spans="1:8" ht="15.75">
      <c r="A78" s="38"/>
      <c r="B78" s="40"/>
      <c r="C78" s="40"/>
      <c r="D78" s="40"/>
      <c r="E78" s="38"/>
      <c r="F78" s="38"/>
      <c r="G78" s="38"/>
      <c r="H78" s="38"/>
    </row>
    <row r="79" spans="2:5" ht="15">
      <c r="B79" s="220"/>
      <c r="C79" s="220"/>
      <c r="D79" s="220"/>
      <c r="E79" s="220"/>
    </row>
  </sheetData>
  <sheetProtection/>
  <mergeCells count="12">
    <mergeCell ref="A73:B73"/>
    <mergeCell ref="B79:E79"/>
    <mergeCell ref="B7:E7"/>
    <mergeCell ref="B8:E8"/>
    <mergeCell ref="B9:E9"/>
    <mergeCell ref="A69:B69"/>
    <mergeCell ref="A70:B70"/>
    <mergeCell ref="A72:B72"/>
    <mergeCell ref="A3:H3"/>
    <mergeCell ref="B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Layout" workbookViewId="0" topLeftCell="A1">
      <selection activeCell="B16" sqref="B16"/>
    </sheetView>
  </sheetViews>
  <sheetFormatPr defaultColWidth="9.140625" defaultRowHeight="12.75"/>
  <cols>
    <col min="1" max="1" width="12.7109375" style="4" customWidth="1"/>
    <col min="2" max="2" width="99.7109375" style="4" customWidth="1"/>
    <col min="3" max="4" width="19.00390625" style="4" hidden="1" customWidth="1"/>
    <col min="5" max="7" width="21.57421875" style="4" hidden="1" customWidth="1"/>
    <col min="8" max="8" width="33.57421875" style="4" customWidth="1"/>
  </cols>
  <sheetData>
    <row r="1" spans="2:8" ht="15.75">
      <c r="B1" s="12"/>
      <c r="C1" s="76"/>
      <c r="D1" s="76"/>
      <c r="E1" s="76"/>
      <c r="F1" s="76"/>
      <c r="G1" s="76"/>
      <c r="H1" s="13"/>
    </row>
    <row r="2" spans="3:5" ht="15">
      <c r="C2" s="64"/>
      <c r="D2" s="64"/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7" ht="15.75">
      <c r="B4" s="218"/>
      <c r="C4" s="218"/>
      <c r="D4" s="218"/>
      <c r="E4" s="218"/>
      <c r="F4" s="25"/>
      <c r="G4" s="85"/>
    </row>
    <row r="5" spans="1:8" ht="15.75">
      <c r="A5" s="195" t="s">
        <v>1</v>
      </c>
      <c r="B5" s="195"/>
      <c r="C5" s="195"/>
      <c r="D5" s="195"/>
      <c r="E5" s="195"/>
      <c r="F5" s="25"/>
      <c r="G5" s="15"/>
      <c r="H5" s="15"/>
    </row>
    <row r="6" spans="1:8" ht="15.75">
      <c r="A6" s="195" t="s">
        <v>0</v>
      </c>
      <c r="B6" s="195"/>
      <c r="C6" s="195"/>
      <c r="D6" s="195"/>
      <c r="E6" s="195"/>
      <c r="F6" s="85"/>
      <c r="G6" s="15"/>
      <c r="H6" s="8"/>
    </row>
    <row r="7" spans="1:8" ht="15.75">
      <c r="A7" s="8"/>
      <c r="B7" s="195" t="s">
        <v>44</v>
      </c>
      <c r="C7" s="195"/>
      <c r="D7" s="195"/>
      <c r="E7" s="195"/>
      <c r="F7" s="15"/>
      <c r="G7" s="85"/>
      <c r="H7" s="8"/>
    </row>
    <row r="8" spans="1:8" ht="15.75">
      <c r="A8" s="8"/>
      <c r="B8" s="195" t="s">
        <v>87</v>
      </c>
      <c r="C8" s="195"/>
      <c r="D8" s="195"/>
      <c r="E8" s="195"/>
      <c r="F8" s="15"/>
      <c r="G8" s="15"/>
      <c r="H8" s="15"/>
    </row>
    <row r="9" spans="1:8" ht="15.75">
      <c r="A9" s="8"/>
      <c r="B9" s="195" t="s">
        <v>93</v>
      </c>
      <c r="C9" s="195"/>
      <c r="D9" s="195"/>
      <c r="E9" s="195"/>
      <c r="F9" s="15"/>
      <c r="G9" s="15"/>
      <c r="H9" s="15"/>
    </row>
    <row r="10" spans="1:8" ht="15.75">
      <c r="A10" s="8" t="s">
        <v>2</v>
      </c>
      <c r="B10" s="8" t="s">
        <v>205</v>
      </c>
      <c r="C10" s="8"/>
      <c r="D10" s="8"/>
      <c r="E10" s="8"/>
      <c r="F10" s="15"/>
      <c r="G10" s="15"/>
      <c r="H10" s="15"/>
    </row>
    <row r="11" spans="1:8" ht="15.75" hidden="1">
      <c r="A11" s="15"/>
      <c r="B11" s="16"/>
      <c r="C11" s="77"/>
      <c r="D11" s="16"/>
      <c r="E11" s="77"/>
      <c r="F11" s="15"/>
      <c r="G11" s="15"/>
      <c r="H11" s="15"/>
    </row>
    <row r="12" spans="1:8" ht="51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8"/>
      <c r="D13" s="18"/>
      <c r="E13" s="18">
        <v>3</v>
      </c>
      <c r="F13" s="19">
        <v>4</v>
      </c>
      <c r="G13" s="19"/>
      <c r="H13" s="19">
        <v>3</v>
      </c>
    </row>
    <row r="14" spans="1:8" ht="15.75">
      <c r="A14" s="20"/>
      <c r="B14" s="45" t="s">
        <v>71</v>
      </c>
      <c r="C14" s="97"/>
      <c r="D14" s="97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6535.92</v>
      </c>
      <c r="D15" s="25">
        <f>ROUND(C15/0.702804,2)</f>
        <v>9299.78</v>
      </c>
      <c r="E15" s="25">
        <f>ROUND(D15/4570*25,2)</f>
        <v>50.87</v>
      </c>
      <c r="F15" s="25">
        <v>52.9</v>
      </c>
      <c r="G15" s="25">
        <v>67.18</v>
      </c>
      <c r="H15" s="25">
        <f>G15/25*20+20*0.18</f>
        <v>57.34400000000001</v>
      </c>
    </row>
    <row r="16" spans="1:8" ht="15.75">
      <c r="A16" s="23">
        <v>1200</v>
      </c>
      <c r="B16" s="32" t="s">
        <v>73</v>
      </c>
      <c r="C16" s="47">
        <v>1541.82</v>
      </c>
      <c r="D16" s="25">
        <f>ROUND(C16/0.702804,2)</f>
        <v>2193.81</v>
      </c>
      <c r="E16" s="25">
        <f>ROUND(D16/4570*25,2)</f>
        <v>12</v>
      </c>
      <c r="F16" s="25">
        <v>12.48</v>
      </c>
      <c r="G16" s="25">
        <v>16.18</v>
      </c>
      <c r="H16" s="25">
        <f>G16/25*20+20*0.04</f>
        <v>13.744</v>
      </c>
    </row>
    <row r="17" spans="1:8" ht="15.75">
      <c r="A17" s="31">
        <v>2341</v>
      </c>
      <c r="B17" s="32" t="s">
        <v>23</v>
      </c>
      <c r="C17" s="25">
        <v>159.59</v>
      </c>
      <c r="D17" s="25">
        <f>ROUND(C17/0.702804,2)</f>
        <v>227.08</v>
      </c>
      <c r="E17" s="25">
        <f>ROUND(D17/4570*25,2)</f>
        <v>1.24</v>
      </c>
      <c r="F17" s="25">
        <f>E17</f>
        <v>1.24</v>
      </c>
      <c r="G17" s="25">
        <f>F17</f>
        <v>1.24</v>
      </c>
      <c r="H17" s="25">
        <f>G17/25*20</f>
        <v>0.992</v>
      </c>
    </row>
    <row r="18" spans="1:8" ht="15.75">
      <c r="A18" s="23">
        <v>2249</v>
      </c>
      <c r="B18" s="32" t="s">
        <v>13</v>
      </c>
      <c r="C18" s="25">
        <v>892.15</v>
      </c>
      <c r="D18" s="25">
        <f>ROUND(C18/0.702804,2)</f>
        <v>1269.42</v>
      </c>
      <c r="E18" s="25">
        <f>ROUND(D18/4570*25,2)</f>
        <v>6.94</v>
      </c>
      <c r="F18" s="25">
        <f>E18</f>
        <v>6.94</v>
      </c>
      <c r="G18" s="25">
        <f>F18</f>
        <v>6.94</v>
      </c>
      <c r="H18" s="25">
        <f>G18/25*20</f>
        <v>5.5520000000000005</v>
      </c>
    </row>
    <row r="19" spans="1:8" ht="15.75" hidden="1">
      <c r="A19" s="23"/>
      <c r="B19" s="23"/>
      <c r="C19" s="25"/>
      <c r="D19" s="25"/>
      <c r="E19" s="25"/>
      <c r="F19" s="23"/>
      <c r="G19" s="23"/>
      <c r="H19" s="68"/>
    </row>
    <row r="20" spans="1:8" ht="15.75">
      <c r="A20" s="23"/>
      <c r="B20" s="46" t="s">
        <v>74</v>
      </c>
      <c r="C20" s="28">
        <f aca="true" t="shared" si="0" ref="C20:H20">SUM(C15:C19)</f>
        <v>9129.48</v>
      </c>
      <c r="D20" s="28">
        <f t="shared" si="0"/>
        <v>12990.09</v>
      </c>
      <c r="E20" s="28">
        <f t="shared" si="0"/>
        <v>71.05</v>
      </c>
      <c r="F20" s="28">
        <f t="shared" si="0"/>
        <v>73.55999999999999</v>
      </c>
      <c r="G20" s="28">
        <f t="shared" si="0"/>
        <v>91.54</v>
      </c>
      <c r="H20" s="28">
        <f t="shared" si="0"/>
        <v>77.63200000000002</v>
      </c>
    </row>
    <row r="21" spans="1:8" ht="15.75">
      <c r="A21" s="29"/>
      <c r="B21" s="23" t="s">
        <v>75</v>
      </c>
      <c r="C21" s="25"/>
      <c r="D21" s="25"/>
      <c r="E21" s="25"/>
      <c r="F21" s="23"/>
      <c r="G21" s="23"/>
      <c r="H21" s="68"/>
    </row>
    <row r="22" spans="1:8" ht="15.75">
      <c r="A22" s="23">
        <v>1100</v>
      </c>
      <c r="B22" s="23" t="s">
        <v>72</v>
      </c>
      <c r="C22" s="25">
        <v>3600.61</v>
      </c>
      <c r="D22" s="25">
        <f aca="true" t="shared" si="1" ref="D22:D63">ROUND(C22/0.702804,2)</f>
        <v>5123.21</v>
      </c>
      <c r="E22" s="25">
        <f aca="true" t="shared" si="2" ref="E22:E63">ROUND(D22/4570*25,2)</f>
        <v>28.03</v>
      </c>
      <c r="F22" s="25">
        <v>28.87</v>
      </c>
      <c r="G22" s="25">
        <v>28.75</v>
      </c>
      <c r="H22" s="25">
        <f aca="true" t="shared" si="3" ref="H22:H64">G22/25*20</f>
        <v>23</v>
      </c>
    </row>
    <row r="23" spans="1:8" ht="15.75">
      <c r="A23" s="23">
        <v>1200</v>
      </c>
      <c r="B23" s="32" t="s">
        <v>73</v>
      </c>
      <c r="C23" s="47">
        <v>849.39</v>
      </c>
      <c r="D23" s="25">
        <f t="shared" si="1"/>
        <v>1208.57</v>
      </c>
      <c r="E23" s="25">
        <f t="shared" si="2"/>
        <v>6.61</v>
      </c>
      <c r="F23" s="25">
        <v>6.81</v>
      </c>
      <c r="G23" s="25">
        <v>6.93</v>
      </c>
      <c r="H23" s="25">
        <f t="shared" si="3"/>
        <v>5.5440000000000005</v>
      </c>
    </row>
    <row r="24" spans="1:8" ht="15.75" hidden="1">
      <c r="A24" s="23">
        <v>2100</v>
      </c>
      <c r="B24" s="30" t="s">
        <v>42</v>
      </c>
      <c r="C24" s="25"/>
      <c r="D24" s="25">
        <f t="shared" si="1"/>
        <v>0</v>
      </c>
      <c r="E24" s="25">
        <f t="shared" si="2"/>
        <v>0</v>
      </c>
      <c r="F24" s="25">
        <f aca="true" t="shared" si="4" ref="F24:F64">E24</f>
        <v>0</v>
      </c>
      <c r="G24" s="25">
        <f aca="true" t="shared" si="5" ref="G24:G65">F24</f>
        <v>0</v>
      </c>
      <c r="H24" s="25">
        <f t="shared" si="3"/>
        <v>0</v>
      </c>
    </row>
    <row r="25" spans="1:8" ht="15.75">
      <c r="A25" s="31">
        <v>2210</v>
      </c>
      <c r="B25" s="32" t="s">
        <v>38</v>
      </c>
      <c r="C25" s="25">
        <v>44</v>
      </c>
      <c r="D25" s="25">
        <f t="shared" si="1"/>
        <v>62.61</v>
      </c>
      <c r="E25" s="25">
        <f t="shared" si="2"/>
        <v>0.34</v>
      </c>
      <c r="F25" s="25">
        <f t="shared" si="4"/>
        <v>0.34</v>
      </c>
      <c r="G25" s="25">
        <f t="shared" si="5"/>
        <v>0.34</v>
      </c>
      <c r="H25" s="25">
        <f t="shared" si="3"/>
        <v>0.272</v>
      </c>
    </row>
    <row r="26" spans="1:8" ht="15.75">
      <c r="A26" s="23">
        <v>2222</v>
      </c>
      <c r="B26" s="32" t="s">
        <v>39</v>
      </c>
      <c r="C26" s="25">
        <v>44</v>
      </c>
      <c r="D26" s="25">
        <f t="shared" si="1"/>
        <v>62.61</v>
      </c>
      <c r="E26" s="25">
        <f t="shared" si="2"/>
        <v>0.34</v>
      </c>
      <c r="F26" s="25">
        <f t="shared" si="4"/>
        <v>0.34</v>
      </c>
      <c r="G26" s="25">
        <f t="shared" si="5"/>
        <v>0.34</v>
      </c>
      <c r="H26" s="25">
        <f t="shared" si="3"/>
        <v>0.272</v>
      </c>
    </row>
    <row r="27" spans="1:8" ht="15.75">
      <c r="A27" s="23">
        <v>2223</v>
      </c>
      <c r="B27" s="32" t="s">
        <v>40</v>
      </c>
      <c r="C27" s="25">
        <v>28</v>
      </c>
      <c r="D27" s="25">
        <f t="shared" si="1"/>
        <v>39.84</v>
      </c>
      <c r="E27" s="25">
        <f t="shared" si="2"/>
        <v>0.22</v>
      </c>
      <c r="F27" s="25">
        <f t="shared" si="4"/>
        <v>0.22</v>
      </c>
      <c r="G27" s="25">
        <f t="shared" si="5"/>
        <v>0.22</v>
      </c>
      <c r="H27" s="25">
        <f t="shared" si="3"/>
        <v>0.17600000000000002</v>
      </c>
    </row>
    <row r="28" spans="1:8" ht="15.75">
      <c r="A28" s="23">
        <v>2230</v>
      </c>
      <c r="B28" s="32" t="s">
        <v>41</v>
      </c>
      <c r="C28" s="25">
        <v>27</v>
      </c>
      <c r="D28" s="25">
        <f t="shared" si="1"/>
        <v>38.42</v>
      </c>
      <c r="E28" s="25">
        <f t="shared" si="2"/>
        <v>0.21</v>
      </c>
      <c r="F28" s="25">
        <f t="shared" si="4"/>
        <v>0.21</v>
      </c>
      <c r="G28" s="25">
        <f t="shared" si="5"/>
        <v>0.21</v>
      </c>
      <c r="H28" s="25">
        <f t="shared" si="3"/>
        <v>0.16799999999999998</v>
      </c>
    </row>
    <row r="29" spans="1:8" ht="15.75" hidden="1">
      <c r="A29" s="23">
        <v>2241</v>
      </c>
      <c r="B29" s="32" t="s">
        <v>9</v>
      </c>
      <c r="C29" s="25"/>
      <c r="D29" s="25">
        <f t="shared" si="1"/>
        <v>0</v>
      </c>
      <c r="E29" s="25">
        <f t="shared" si="2"/>
        <v>0</v>
      </c>
      <c r="F29" s="25">
        <f t="shared" si="4"/>
        <v>0</v>
      </c>
      <c r="G29" s="25">
        <f t="shared" si="5"/>
        <v>0</v>
      </c>
      <c r="H29" s="25">
        <f t="shared" si="3"/>
        <v>0</v>
      </c>
    </row>
    <row r="30" spans="1:8" ht="15.75">
      <c r="A30" s="23">
        <v>2242</v>
      </c>
      <c r="B30" s="32" t="s">
        <v>10</v>
      </c>
      <c r="C30" s="25">
        <v>20</v>
      </c>
      <c r="D30" s="25">
        <f t="shared" si="1"/>
        <v>28.46</v>
      </c>
      <c r="E30" s="25">
        <f t="shared" si="2"/>
        <v>0.16</v>
      </c>
      <c r="F30" s="25">
        <f t="shared" si="4"/>
        <v>0.16</v>
      </c>
      <c r="G30" s="25">
        <f t="shared" si="5"/>
        <v>0.16</v>
      </c>
      <c r="H30" s="25">
        <f t="shared" si="3"/>
        <v>0.128</v>
      </c>
    </row>
    <row r="31" spans="1:8" ht="15.75">
      <c r="A31" s="23">
        <v>2243</v>
      </c>
      <c r="B31" s="32" t="s">
        <v>11</v>
      </c>
      <c r="C31" s="25">
        <v>68</v>
      </c>
      <c r="D31" s="25">
        <f t="shared" si="1"/>
        <v>96.76</v>
      </c>
      <c r="E31" s="25">
        <f t="shared" si="2"/>
        <v>0.53</v>
      </c>
      <c r="F31" s="25">
        <f t="shared" si="4"/>
        <v>0.53</v>
      </c>
      <c r="G31" s="25">
        <f t="shared" si="5"/>
        <v>0.53</v>
      </c>
      <c r="H31" s="25">
        <f t="shared" si="3"/>
        <v>0.424</v>
      </c>
    </row>
    <row r="32" spans="1:8" ht="15.75">
      <c r="A32" s="23">
        <v>2244</v>
      </c>
      <c r="B32" s="32" t="s">
        <v>12</v>
      </c>
      <c r="C32" s="25">
        <v>994.72</v>
      </c>
      <c r="D32" s="25">
        <f t="shared" si="1"/>
        <v>1415.36</v>
      </c>
      <c r="E32" s="25">
        <f t="shared" si="2"/>
        <v>7.74</v>
      </c>
      <c r="F32" s="25">
        <f t="shared" si="4"/>
        <v>7.74</v>
      </c>
      <c r="G32" s="25">
        <f t="shared" si="5"/>
        <v>7.74</v>
      </c>
      <c r="H32" s="25">
        <f>G32/25*20+20*0.03</f>
        <v>6.792</v>
      </c>
    </row>
    <row r="33" spans="1:8" ht="15.75">
      <c r="A33" s="23">
        <v>2247</v>
      </c>
      <c r="B33" s="45" t="s">
        <v>76</v>
      </c>
      <c r="C33" s="25">
        <v>6</v>
      </c>
      <c r="D33" s="25">
        <f t="shared" si="1"/>
        <v>8.54</v>
      </c>
      <c r="E33" s="25">
        <f t="shared" si="2"/>
        <v>0.05</v>
      </c>
      <c r="F33" s="25">
        <f t="shared" si="4"/>
        <v>0.05</v>
      </c>
      <c r="G33" s="25">
        <f t="shared" si="5"/>
        <v>0.05</v>
      </c>
      <c r="H33" s="25">
        <f t="shared" si="3"/>
        <v>0.04</v>
      </c>
    </row>
    <row r="34" spans="1:8" ht="15.75">
      <c r="A34" s="23">
        <v>2249</v>
      </c>
      <c r="B34" s="32" t="s">
        <v>13</v>
      </c>
      <c r="C34" s="25">
        <v>25</v>
      </c>
      <c r="D34" s="25">
        <f t="shared" si="1"/>
        <v>35.57</v>
      </c>
      <c r="E34" s="25">
        <f t="shared" si="2"/>
        <v>0.19</v>
      </c>
      <c r="F34" s="25">
        <f t="shared" si="4"/>
        <v>0.19</v>
      </c>
      <c r="G34" s="25">
        <f t="shared" si="5"/>
        <v>0.19</v>
      </c>
      <c r="H34" s="25">
        <f t="shared" si="3"/>
        <v>0.152</v>
      </c>
    </row>
    <row r="35" spans="1:8" ht="15.75">
      <c r="A35" s="23">
        <v>2251</v>
      </c>
      <c r="B35" s="32" t="s">
        <v>77</v>
      </c>
      <c r="C35" s="25">
        <v>75</v>
      </c>
      <c r="D35" s="25">
        <f t="shared" si="1"/>
        <v>106.72</v>
      </c>
      <c r="E35" s="25">
        <f t="shared" si="2"/>
        <v>0.58</v>
      </c>
      <c r="F35" s="25">
        <f t="shared" si="4"/>
        <v>0.58</v>
      </c>
      <c r="G35" s="25">
        <f t="shared" si="5"/>
        <v>0.58</v>
      </c>
      <c r="H35" s="25">
        <f t="shared" si="3"/>
        <v>0.46399999999999997</v>
      </c>
    </row>
    <row r="36" spans="1:8" ht="15.75" hidden="1">
      <c r="A36" s="23">
        <v>2252</v>
      </c>
      <c r="B36" s="32" t="s">
        <v>7</v>
      </c>
      <c r="C36" s="25"/>
      <c r="D36" s="25">
        <f t="shared" si="1"/>
        <v>0</v>
      </c>
      <c r="E36" s="25">
        <f t="shared" si="2"/>
        <v>0</v>
      </c>
      <c r="F36" s="25">
        <f t="shared" si="4"/>
        <v>0</v>
      </c>
      <c r="G36" s="25">
        <f t="shared" si="5"/>
        <v>0</v>
      </c>
      <c r="H36" s="25">
        <f t="shared" si="3"/>
        <v>0</v>
      </c>
    </row>
    <row r="37" spans="1:8" ht="15.75" hidden="1">
      <c r="A37" s="23">
        <v>2259</v>
      </c>
      <c r="B37" s="32" t="s">
        <v>8</v>
      </c>
      <c r="C37" s="25"/>
      <c r="D37" s="25">
        <f t="shared" si="1"/>
        <v>0</v>
      </c>
      <c r="E37" s="25">
        <f t="shared" si="2"/>
        <v>0</v>
      </c>
      <c r="F37" s="25">
        <f t="shared" si="4"/>
        <v>0</v>
      </c>
      <c r="G37" s="25">
        <f t="shared" si="5"/>
        <v>0</v>
      </c>
      <c r="H37" s="25">
        <f t="shared" si="3"/>
        <v>0</v>
      </c>
    </row>
    <row r="38" spans="1:8" ht="15.75">
      <c r="A38" s="23">
        <v>2261</v>
      </c>
      <c r="B38" s="32" t="s">
        <v>14</v>
      </c>
      <c r="C38" s="25">
        <v>13</v>
      </c>
      <c r="D38" s="25">
        <f t="shared" si="1"/>
        <v>18.5</v>
      </c>
      <c r="E38" s="25">
        <f t="shared" si="2"/>
        <v>0.1</v>
      </c>
      <c r="F38" s="25">
        <f t="shared" si="4"/>
        <v>0.1</v>
      </c>
      <c r="G38" s="25">
        <f t="shared" si="5"/>
        <v>0.1</v>
      </c>
      <c r="H38" s="25">
        <f t="shared" si="3"/>
        <v>0.08</v>
      </c>
    </row>
    <row r="39" spans="1:8" ht="15.75">
      <c r="A39" s="23">
        <v>2262</v>
      </c>
      <c r="B39" s="32" t="s">
        <v>15</v>
      </c>
      <c r="C39" s="25">
        <v>59</v>
      </c>
      <c r="D39" s="25">
        <f t="shared" si="1"/>
        <v>83.95</v>
      </c>
      <c r="E39" s="25">
        <f t="shared" si="2"/>
        <v>0.46</v>
      </c>
      <c r="F39" s="25">
        <f t="shared" si="4"/>
        <v>0.46</v>
      </c>
      <c r="G39" s="25">
        <f t="shared" si="5"/>
        <v>0.46</v>
      </c>
      <c r="H39" s="25">
        <f t="shared" si="3"/>
        <v>0.368</v>
      </c>
    </row>
    <row r="40" spans="1:8" ht="15.75">
      <c r="A40" s="23">
        <v>2263</v>
      </c>
      <c r="B40" s="32" t="s">
        <v>16</v>
      </c>
      <c r="C40" s="25">
        <v>219</v>
      </c>
      <c r="D40" s="25">
        <f t="shared" si="1"/>
        <v>311.61</v>
      </c>
      <c r="E40" s="25">
        <f t="shared" si="2"/>
        <v>1.7</v>
      </c>
      <c r="F40" s="25">
        <f t="shared" si="4"/>
        <v>1.7</v>
      </c>
      <c r="G40" s="25">
        <f t="shared" si="5"/>
        <v>1.7</v>
      </c>
      <c r="H40" s="25">
        <f t="shared" si="3"/>
        <v>1.36</v>
      </c>
    </row>
    <row r="41" spans="1:8" ht="15.75">
      <c r="A41" s="23">
        <v>2264</v>
      </c>
      <c r="B41" s="32" t="s">
        <v>17</v>
      </c>
      <c r="C41" s="25">
        <v>1</v>
      </c>
      <c r="D41" s="25">
        <f t="shared" si="1"/>
        <v>1.42</v>
      </c>
      <c r="E41" s="25">
        <f t="shared" si="2"/>
        <v>0.01</v>
      </c>
      <c r="F41" s="25">
        <f t="shared" si="4"/>
        <v>0.01</v>
      </c>
      <c r="G41" s="25">
        <f t="shared" si="5"/>
        <v>0.01</v>
      </c>
      <c r="H41" s="25">
        <f t="shared" si="3"/>
        <v>0.008</v>
      </c>
    </row>
    <row r="42" spans="1:8" ht="15.75">
      <c r="A42" s="23">
        <v>2279</v>
      </c>
      <c r="B42" s="32" t="s">
        <v>18</v>
      </c>
      <c r="C42" s="25">
        <v>247</v>
      </c>
      <c r="D42" s="25">
        <f t="shared" si="1"/>
        <v>351.45</v>
      </c>
      <c r="E42" s="25">
        <f t="shared" si="2"/>
        <v>1.92</v>
      </c>
      <c r="F42" s="25">
        <f t="shared" si="4"/>
        <v>1.92</v>
      </c>
      <c r="G42" s="25">
        <f t="shared" si="5"/>
        <v>1.92</v>
      </c>
      <c r="H42" s="25">
        <f t="shared" si="3"/>
        <v>1.5359999999999998</v>
      </c>
    </row>
    <row r="43" spans="1:8" ht="15.75">
      <c r="A43" s="23">
        <v>2311</v>
      </c>
      <c r="B43" s="32" t="s">
        <v>19</v>
      </c>
      <c r="C43" s="25">
        <v>23</v>
      </c>
      <c r="D43" s="25">
        <f t="shared" si="1"/>
        <v>32.73</v>
      </c>
      <c r="E43" s="25">
        <f t="shared" si="2"/>
        <v>0.18</v>
      </c>
      <c r="F43" s="25">
        <f t="shared" si="4"/>
        <v>0.18</v>
      </c>
      <c r="G43" s="25">
        <f t="shared" si="5"/>
        <v>0.18</v>
      </c>
      <c r="H43" s="25">
        <f t="shared" si="3"/>
        <v>0.144</v>
      </c>
    </row>
    <row r="44" spans="1:8" ht="15.75">
      <c r="A44" s="23">
        <v>2312</v>
      </c>
      <c r="B44" s="32" t="s">
        <v>20</v>
      </c>
      <c r="C44" s="25">
        <v>43</v>
      </c>
      <c r="D44" s="25">
        <f t="shared" si="1"/>
        <v>61.18</v>
      </c>
      <c r="E44" s="25">
        <f t="shared" si="2"/>
        <v>0.33</v>
      </c>
      <c r="F44" s="25">
        <f t="shared" si="4"/>
        <v>0.33</v>
      </c>
      <c r="G44" s="25">
        <f t="shared" si="5"/>
        <v>0.33</v>
      </c>
      <c r="H44" s="25">
        <f t="shared" si="3"/>
        <v>0.264</v>
      </c>
    </row>
    <row r="45" spans="1:8" ht="15.75">
      <c r="A45" s="23">
        <v>2321</v>
      </c>
      <c r="B45" s="32" t="s">
        <v>21</v>
      </c>
      <c r="C45" s="25">
        <v>80</v>
      </c>
      <c r="D45" s="25">
        <f t="shared" si="1"/>
        <v>113.83</v>
      </c>
      <c r="E45" s="25">
        <f t="shared" si="2"/>
        <v>0.62</v>
      </c>
      <c r="F45" s="25">
        <f t="shared" si="4"/>
        <v>0.62</v>
      </c>
      <c r="G45" s="25">
        <f t="shared" si="5"/>
        <v>0.62</v>
      </c>
      <c r="H45" s="25">
        <f t="shared" si="3"/>
        <v>0.496</v>
      </c>
    </row>
    <row r="46" spans="1:8" ht="15.75">
      <c r="A46" s="23">
        <v>2322</v>
      </c>
      <c r="B46" s="32" t="s">
        <v>22</v>
      </c>
      <c r="C46" s="25">
        <v>79</v>
      </c>
      <c r="D46" s="25">
        <f t="shared" si="1"/>
        <v>112.41</v>
      </c>
      <c r="E46" s="25">
        <f t="shared" si="2"/>
        <v>0.61</v>
      </c>
      <c r="F46" s="25">
        <v>0.56</v>
      </c>
      <c r="G46" s="25">
        <f t="shared" si="5"/>
        <v>0.56</v>
      </c>
      <c r="H46" s="25">
        <f t="shared" si="3"/>
        <v>0.44800000000000006</v>
      </c>
    </row>
    <row r="47" spans="1:8" ht="15.75">
      <c r="A47" s="23">
        <v>2341</v>
      </c>
      <c r="B47" s="32" t="s">
        <v>23</v>
      </c>
      <c r="C47" s="25">
        <v>32</v>
      </c>
      <c r="D47" s="25">
        <f t="shared" si="1"/>
        <v>45.53</v>
      </c>
      <c r="E47" s="25">
        <f t="shared" si="2"/>
        <v>0.25</v>
      </c>
      <c r="F47" s="25">
        <f t="shared" si="4"/>
        <v>0.25</v>
      </c>
      <c r="G47" s="25">
        <f t="shared" si="5"/>
        <v>0.25</v>
      </c>
      <c r="H47" s="25">
        <f t="shared" si="3"/>
        <v>0.2</v>
      </c>
    </row>
    <row r="48" spans="1:8" ht="15.75">
      <c r="A48" s="23">
        <v>2344</v>
      </c>
      <c r="B48" s="32" t="s">
        <v>24</v>
      </c>
      <c r="C48" s="25">
        <v>1</v>
      </c>
      <c r="D48" s="25">
        <f t="shared" si="1"/>
        <v>1.42</v>
      </c>
      <c r="E48" s="25">
        <f t="shared" si="2"/>
        <v>0.01</v>
      </c>
      <c r="F48" s="25">
        <f t="shared" si="4"/>
        <v>0.01</v>
      </c>
      <c r="G48" s="25">
        <f t="shared" si="5"/>
        <v>0.01</v>
      </c>
      <c r="H48" s="25">
        <f t="shared" si="3"/>
        <v>0.008</v>
      </c>
    </row>
    <row r="49" spans="1:8" ht="15.75">
      <c r="A49" s="23">
        <v>2350</v>
      </c>
      <c r="B49" s="32" t="s">
        <v>25</v>
      </c>
      <c r="C49" s="25">
        <v>195</v>
      </c>
      <c r="D49" s="25">
        <f t="shared" si="1"/>
        <v>277.46</v>
      </c>
      <c r="E49" s="25">
        <f t="shared" si="2"/>
        <v>1.52</v>
      </c>
      <c r="F49" s="25">
        <f t="shared" si="4"/>
        <v>1.52</v>
      </c>
      <c r="G49" s="25">
        <f t="shared" si="5"/>
        <v>1.52</v>
      </c>
      <c r="H49" s="25">
        <f t="shared" si="3"/>
        <v>1.216</v>
      </c>
    </row>
    <row r="50" spans="1:8" ht="15.75">
      <c r="A50" s="23">
        <v>2361</v>
      </c>
      <c r="B50" s="32" t="s">
        <v>26</v>
      </c>
      <c r="C50" s="25">
        <v>120</v>
      </c>
      <c r="D50" s="25">
        <f t="shared" si="1"/>
        <v>170.74</v>
      </c>
      <c r="E50" s="25">
        <f t="shared" si="2"/>
        <v>0.93</v>
      </c>
      <c r="F50" s="25">
        <f t="shared" si="4"/>
        <v>0.93</v>
      </c>
      <c r="G50" s="25">
        <f t="shared" si="5"/>
        <v>0.93</v>
      </c>
      <c r="H50" s="25">
        <f t="shared" si="3"/>
        <v>0.7440000000000001</v>
      </c>
    </row>
    <row r="51" spans="1:8" ht="15.75" hidden="1">
      <c r="A51" s="23">
        <v>2362</v>
      </c>
      <c r="B51" s="32" t="s">
        <v>27</v>
      </c>
      <c r="C51" s="25"/>
      <c r="D51" s="25">
        <f t="shared" si="1"/>
        <v>0</v>
      </c>
      <c r="E51" s="25">
        <f t="shared" si="2"/>
        <v>0</v>
      </c>
      <c r="F51" s="25">
        <f t="shared" si="4"/>
        <v>0</v>
      </c>
      <c r="G51" s="25">
        <f t="shared" si="5"/>
        <v>0</v>
      </c>
      <c r="H51" s="25">
        <f t="shared" si="3"/>
        <v>0</v>
      </c>
    </row>
    <row r="52" spans="1:8" ht="15.75" hidden="1">
      <c r="A52" s="23">
        <v>2363</v>
      </c>
      <c r="B52" s="32" t="s">
        <v>28</v>
      </c>
      <c r="C52" s="25"/>
      <c r="D52" s="25">
        <f t="shared" si="1"/>
        <v>0</v>
      </c>
      <c r="E52" s="25">
        <f t="shared" si="2"/>
        <v>0</v>
      </c>
      <c r="F52" s="25">
        <f t="shared" si="4"/>
        <v>0</v>
      </c>
      <c r="G52" s="25">
        <f t="shared" si="5"/>
        <v>0</v>
      </c>
      <c r="H52" s="25">
        <f t="shared" si="3"/>
        <v>0</v>
      </c>
    </row>
    <row r="53" spans="1:8" ht="15.75" hidden="1">
      <c r="A53" s="23">
        <v>2370</v>
      </c>
      <c r="B53" s="32" t="s">
        <v>29</v>
      </c>
      <c r="C53" s="25"/>
      <c r="D53" s="25">
        <f t="shared" si="1"/>
        <v>0</v>
      </c>
      <c r="E53" s="25">
        <f t="shared" si="2"/>
        <v>0</v>
      </c>
      <c r="F53" s="25">
        <f t="shared" si="4"/>
        <v>0</v>
      </c>
      <c r="G53" s="25">
        <f t="shared" si="5"/>
        <v>0</v>
      </c>
      <c r="H53" s="25">
        <f t="shared" si="3"/>
        <v>0</v>
      </c>
    </row>
    <row r="54" spans="1:8" ht="15.75">
      <c r="A54" s="23">
        <v>2400</v>
      </c>
      <c r="B54" s="32" t="s">
        <v>43</v>
      </c>
      <c r="C54" s="25">
        <v>9</v>
      </c>
      <c r="D54" s="25">
        <f t="shared" si="1"/>
        <v>12.81</v>
      </c>
      <c r="E54" s="25">
        <f t="shared" si="2"/>
        <v>0.07</v>
      </c>
      <c r="F54" s="25">
        <f t="shared" si="4"/>
        <v>0.07</v>
      </c>
      <c r="G54" s="25">
        <f t="shared" si="5"/>
        <v>0.07</v>
      </c>
      <c r="H54" s="25">
        <f t="shared" si="3"/>
        <v>0.05600000000000001</v>
      </c>
    </row>
    <row r="55" spans="1:8" ht="15.75" hidden="1">
      <c r="A55" s="23">
        <v>2512</v>
      </c>
      <c r="B55" s="32" t="s">
        <v>30</v>
      </c>
      <c r="C55" s="25">
        <v>0</v>
      </c>
      <c r="D55" s="25">
        <f t="shared" si="1"/>
        <v>0</v>
      </c>
      <c r="E55" s="25">
        <f t="shared" si="2"/>
        <v>0</v>
      </c>
      <c r="F55" s="25">
        <f t="shared" si="4"/>
        <v>0</v>
      </c>
      <c r="G55" s="25">
        <f t="shared" si="5"/>
        <v>0</v>
      </c>
      <c r="H55" s="25">
        <f t="shared" si="3"/>
        <v>0</v>
      </c>
    </row>
    <row r="56" spans="1:8" ht="15.75">
      <c r="A56" s="23">
        <v>2513</v>
      </c>
      <c r="B56" s="32" t="s">
        <v>31</v>
      </c>
      <c r="C56" s="25">
        <v>160</v>
      </c>
      <c r="D56" s="25">
        <f t="shared" si="1"/>
        <v>227.66</v>
      </c>
      <c r="E56" s="25">
        <f t="shared" si="2"/>
        <v>1.25</v>
      </c>
      <c r="F56" s="25">
        <f t="shared" si="4"/>
        <v>1.25</v>
      </c>
      <c r="G56" s="25">
        <f t="shared" si="5"/>
        <v>1.25</v>
      </c>
      <c r="H56" s="25">
        <f t="shared" si="3"/>
        <v>1</v>
      </c>
    </row>
    <row r="57" spans="1:8" ht="15.75">
      <c r="A57" s="23">
        <v>2515</v>
      </c>
      <c r="B57" s="32" t="s">
        <v>78</v>
      </c>
      <c r="C57" s="25">
        <v>6</v>
      </c>
      <c r="D57" s="25">
        <f t="shared" si="1"/>
        <v>8.54</v>
      </c>
      <c r="E57" s="25">
        <f t="shared" si="2"/>
        <v>0.05</v>
      </c>
      <c r="F57" s="25">
        <f t="shared" si="4"/>
        <v>0.05</v>
      </c>
      <c r="G57" s="25">
        <f t="shared" si="5"/>
        <v>0.05</v>
      </c>
      <c r="H57" s="25">
        <f t="shared" si="3"/>
        <v>0.04</v>
      </c>
    </row>
    <row r="58" spans="1:8" ht="15.75">
      <c r="A58" s="23">
        <v>2519</v>
      </c>
      <c r="B58" s="32" t="s">
        <v>34</v>
      </c>
      <c r="C58" s="25">
        <v>39</v>
      </c>
      <c r="D58" s="25">
        <f t="shared" si="1"/>
        <v>55.49</v>
      </c>
      <c r="E58" s="25">
        <f t="shared" si="2"/>
        <v>0.3</v>
      </c>
      <c r="F58" s="25">
        <f t="shared" si="4"/>
        <v>0.3</v>
      </c>
      <c r="G58" s="25">
        <f t="shared" si="5"/>
        <v>0.3</v>
      </c>
      <c r="H58" s="25">
        <f t="shared" si="3"/>
        <v>0.24</v>
      </c>
    </row>
    <row r="59" spans="1:8" ht="15.75" hidden="1">
      <c r="A59" s="23">
        <v>6240</v>
      </c>
      <c r="B59" s="32"/>
      <c r="C59" s="25"/>
      <c r="D59" s="25">
        <f t="shared" si="1"/>
        <v>0</v>
      </c>
      <c r="E59" s="25">
        <f t="shared" si="2"/>
        <v>0</v>
      </c>
      <c r="F59" s="25">
        <f t="shared" si="4"/>
        <v>0</v>
      </c>
      <c r="G59" s="25">
        <f t="shared" si="5"/>
        <v>0</v>
      </c>
      <c r="H59" s="25">
        <f t="shared" si="3"/>
        <v>0</v>
      </c>
    </row>
    <row r="60" spans="1:8" ht="15.75" hidden="1">
      <c r="A60" s="23">
        <v>6290</v>
      </c>
      <c r="B60" s="32"/>
      <c r="C60" s="25"/>
      <c r="D60" s="25">
        <f t="shared" si="1"/>
        <v>0</v>
      </c>
      <c r="E60" s="25">
        <f t="shared" si="2"/>
        <v>0</v>
      </c>
      <c r="F60" s="25">
        <f t="shared" si="4"/>
        <v>0</v>
      </c>
      <c r="G60" s="25">
        <f t="shared" si="5"/>
        <v>0</v>
      </c>
      <c r="H60" s="25">
        <f t="shared" si="3"/>
        <v>0</v>
      </c>
    </row>
    <row r="61" spans="1:8" ht="15.75">
      <c r="A61" s="23">
        <v>5121</v>
      </c>
      <c r="B61" s="32" t="s">
        <v>32</v>
      </c>
      <c r="C61" s="25">
        <v>28</v>
      </c>
      <c r="D61" s="25">
        <f t="shared" si="1"/>
        <v>39.84</v>
      </c>
      <c r="E61" s="25">
        <f t="shared" si="2"/>
        <v>0.22</v>
      </c>
      <c r="F61" s="25">
        <f t="shared" si="4"/>
        <v>0.22</v>
      </c>
      <c r="G61" s="25">
        <f t="shared" si="5"/>
        <v>0.22</v>
      </c>
      <c r="H61" s="25">
        <f t="shared" si="3"/>
        <v>0.17600000000000002</v>
      </c>
    </row>
    <row r="62" spans="1:8" ht="15.75">
      <c r="A62" s="23">
        <v>5232</v>
      </c>
      <c r="B62" s="32" t="s">
        <v>33</v>
      </c>
      <c r="C62" s="25">
        <v>3</v>
      </c>
      <c r="D62" s="25">
        <f t="shared" si="1"/>
        <v>4.27</v>
      </c>
      <c r="E62" s="25">
        <f t="shared" si="2"/>
        <v>0.02</v>
      </c>
      <c r="F62" s="25">
        <f t="shared" si="4"/>
        <v>0.02</v>
      </c>
      <c r="G62" s="25">
        <v>0.04</v>
      </c>
      <c r="H62" s="25">
        <f t="shared" si="3"/>
        <v>0.032</v>
      </c>
    </row>
    <row r="63" spans="1:8" ht="15.75" hidden="1">
      <c r="A63" s="23">
        <v>5238</v>
      </c>
      <c r="B63" s="32" t="s">
        <v>35</v>
      </c>
      <c r="C63" s="25">
        <v>0</v>
      </c>
      <c r="D63" s="25">
        <f t="shared" si="1"/>
        <v>0</v>
      </c>
      <c r="E63" s="25">
        <f t="shared" si="2"/>
        <v>0</v>
      </c>
      <c r="F63" s="25">
        <f t="shared" si="4"/>
        <v>0</v>
      </c>
      <c r="G63" s="25">
        <f t="shared" si="5"/>
        <v>0</v>
      </c>
      <c r="H63" s="25">
        <f t="shared" si="3"/>
        <v>0</v>
      </c>
    </row>
    <row r="64" spans="1:8" ht="15.75">
      <c r="A64" s="23">
        <v>5240</v>
      </c>
      <c r="B64" s="32" t="s">
        <v>36</v>
      </c>
      <c r="C64" s="25">
        <v>1</v>
      </c>
      <c r="D64" s="25">
        <v>22.3</v>
      </c>
      <c r="E64" s="25">
        <v>0.15</v>
      </c>
      <c r="F64" s="25">
        <f t="shared" si="4"/>
        <v>0.15</v>
      </c>
      <c r="G64" s="25">
        <f>F64</f>
        <v>0.15</v>
      </c>
      <c r="H64" s="25">
        <f t="shared" si="3"/>
        <v>0.12</v>
      </c>
    </row>
    <row r="65" spans="1:8" ht="15.75" hidden="1">
      <c r="A65" s="23">
        <v>5250</v>
      </c>
      <c r="B65" s="32" t="s">
        <v>37</v>
      </c>
      <c r="C65" s="25">
        <v>0</v>
      </c>
      <c r="D65" s="25">
        <v>0</v>
      </c>
      <c r="E65" s="25">
        <v>0</v>
      </c>
      <c r="F65" s="25">
        <f>E65/4570*20</f>
        <v>0</v>
      </c>
      <c r="G65" s="25">
        <f t="shared" si="5"/>
        <v>0</v>
      </c>
      <c r="H65" s="25">
        <f>G65/25*20</f>
        <v>0</v>
      </c>
    </row>
    <row r="66" spans="1:8" ht="15.75">
      <c r="A66" s="29"/>
      <c r="B66" s="48" t="s">
        <v>79</v>
      </c>
      <c r="C66" s="28">
        <f aca="true" t="shared" si="6" ref="C66:H66">SUM(C22:C65)</f>
        <v>7139.72</v>
      </c>
      <c r="D66" s="28">
        <f t="shared" si="6"/>
        <v>10179.81</v>
      </c>
      <c r="E66" s="28">
        <f t="shared" si="6"/>
        <v>55.699999999999996</v>
      </c>
      <c r="F66" s="28">
        <f t="shared" si="6"/>
        <v>56.69</v>
      </c>
      <c r="G66" s="28">
        <f t="shared" si="6"/>
        <v>56.709999999999994</v>
      </c>
      <c r="H66" s="28">
        <f t="shared" si="6"/>
        <v>45.968</v>
      </c>
    </row>
    <row r="67" spans="1:8" ht="15.75">
      <c r="A67" s="29"/>
      <c r="B67" s="48" t="s">
        <v>80</v>
      </c>
      <c r="C67" s="28">
        <f aca="true" t="shared" si="7" ref="C67:H67">C66+C20</f>
        <v>16269.2</v>
      </c>
      <c r="D67" s="28">
        <f t="shared" si="7"/>
        <v>23169.9</v>
      </c>
      <c r="E67" s="28">
        <f t="shared" si="7"/>
        <v>126.75</v>
      </c>
      <c r="F67" s="28">
        <f t="shared" si="7"/>
        <v>130.25</v>
      </c>
      <c r="G67" s="28">
        <f t="shared" si="7"/>
        <v>148.25</v>
      </c>
      <c r="H67" s="28">
        <f t="shared" si="7"/>
        <v>123.60000000000002</v>
      </c>
    </row>
    <row r="68" spans="1:8" ht="15.75">
      <c r="A68" s="49"/>
      <c r="B68" s="50"/>
      <c r="C68" s="41"/>
      <c r="D68" s="41"/>
      <c r="E68" s="41"/>
      <c r="F68" s="41"/>
      <c r="G68" s="41"/>
      <c r="H68" s="41"/>
    </row>
    <row r="69" spans="1:8" ht="15.75">
      <c r="A69" s="212" t="s">
        <v>45</v>
      </c>
      <c r="B69" s="213"/>
      <c r="C69" s="36">
        <v>4570</v>
      </c>
      <c r="D69" s="36">
        <v>4570</v>
      </c>
      <c r="E69" s="42">
        <v>25</v>
      </c>
      <c r="F69" s="42">
        <v>25</v>
      </c>
      <c r="G69" s="42">
        <v>25</v>
      </c>
      <c r="H69" s="162">
        <v>20</v>
      </c>
    </row>
    <row r="70" spans="1:8" ht="15.75">
      <c r="A70" s="212" t="s">
        <v>91</v>
      </c>
      <c r="B70" s="213"/>
      <c r="C70" s="83">
        <f>C67/C69</f>
        <v>3.56</v>
      </c>
      <c r="D70" s="99">
        <f>ROUND(D67/D69,2)</f>
        <v>5.07</v>
      </c>
      <c r="E70" s="28">
        <f>ROUND(E67/E69,2)</f>
        <v>5.07</v>
      </c>
      <c r="F70" s="28">
        <f>F67/F69</f>
        <v>5.21</v>
      </c>
      <c r="G70" s="28">
        <f>G67/G69</f>
        <v>5.93</v>
      </c>
      <c r="H70" s="164">
        <f>H67/H69</f>
        <v>6.1800000000000015</v>
      </c>
    </row>
    <row r="71" spans="1:8" ht="15.75">
      <c r="A71" s="14"/>
      <c r="B71" s="11"/>
      <c r="C71" s="11"/>
      <c r="D71" s="11"/>
      <c r="E71" s="11"/>
      <c r="F71" s="100"/>
      <c r="G71" s="100"/>
      <c r="H71" s="100"/>
    </row>
    <row r="72" spans="1:8" ht="15.75">
      <c r="A72" s="212" t="s">
        <v>46</v>
      </c>
      <c r="B72" s="213"/>
      <c r="C72" s="37"/>
      <c r="D72" s="37"/>
      <c r="E72" s="37"/>
      <c r="F72" s="37"/>
      <c r="G72" s="37"/>
      <c r="H72" s="37"/>
    </row>
    <row r="73" spans="1:8" ht="15.75">
      <c r="A73" s="212" t="s">
        <v>55</v>
      </c>
      <c r="B73" s="213"/>
      <c r="C73" s="37"/>
      <c r="D73" s="37"/>
      <c r="E73" s="37"/>
      <c r="F73" s="37"/>
      <c r="G73" s="37"/>
      <c r="H73" s="37"/>
    </row>
    <row r="74" spans="1:8" ht="15.75">
      <c r="A74" s="38"/>
      <c r="B74" s="38"/>
      <c r="C74" s="38"/>
      <c r="D74" s="38"/>
      <c r="E74" s="38"/>
      <c r="F74" s="38"/>
      <c r="G74" s="38"/>
      <c r="H74" s="38"/>
    </row>
    <row r="75" spans="1:8" ht="15.75">
      <c r="A75" s="38" t="s">
        <v>47</v>
      </c>
      <c r="B75" s="38"/>
      <c r="C75" s="38"/>
      <c r="D75" s="38"/>
      <c r="E75" s="38"/>
      <c r="F75" s="38"/>
      <c r="G75" s="38"/>
      <c r="H75" s="38"/>
    </row>
    <row r="76" spans="1:8" ht="15.75">
      <c r="A76" s="38"/>
      <c r="B76" s="38"/>
      <c r="C76" s="38"/>
      <c r="D76" s="38"/>
      <c r="E76" s="38"/>
      <c r="F76" s="38"/>
      <c r="G76" s="38"/>
      <c r="H76" s="38"/>
    </row>
    <row r="77" spans="1:8" ht="15.75">
      <c r="A77" s="38"/>
      <c r="B77" s="39"/>
      <c r="C77" s="38"/>
      <c r="D77" s="38"/>
      <c r="E77" s="38"/>
      <c r="F77" s="38"/>
      <c r="G77" s="38"/>
      <c r="H77" s="38"/>
    </row>
    <row r="78" spans="1:8" ht="15.75">
      <c r="A78" s="38"/>
      <c r="B78" s="40"/>
      <c r="C78" s="38"/>
      <c r="D78" s="38"/>
      <c r="E78" s="38"/>
      <c r="F78" s="38"/>
      <c r="G78" s="38"/>
      <c r="H78" s="38"/>
    </row>
    <row r="79" spans="2:5" ht="15">
      <c r="B79" s="220"/>
      <c r="C79" s="220"/>
      <c r="D79" s="220"/>
      <c r="E79" s="220"/>
    </row>
  </sheetData>
  <sheetProtection/>
  <mergeCells count="12">
    <mergeCell ref="A73:B73"/>
    <mergeCell ref="B79:E79"/>
    <mergeCell ref="B7:E7"/>
    <mergeCell ref="B8:E8"/>
    <mergeCell ref="B9:E9"/>
    <mergeCell ref="A69:B69"/>
    <mergeCell ref="A70:B70"/>
    <mergeCell ref="A72:B72"/>
    <mergeCell ref="A3:H3"/>
    <mergeCell ref="B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view="pageLayout" zoomScale="90" zoomScalePageLayoutView="90" workbookViewId="0" topLeftCell="A55">
      <selection activeCell="A78" sqref="A78"/>
    </sheetView>
  </sheetViews>
  <sheetFormatPr defaultColWidth="9.140625" defaultRowHeight="12.75"/>
  <cols>
    <col min="1" max="1" width="15.7109375" style="7" customWidth="1"/>
    <col min="2" max="2" width="93.8515625" style="7" customWidth="1"/>
    <col min="3" max="3" width="19.00390625" style="7" hidden="1" customWidth="1"/>
    <col min="4" max="5" width="4.57421875" style="15" hidden="1" customWidth="1"/>
    <col min="6" max="6" width="7.57421875" style="15" hidden="1" customWidth="1"/>
    <col min="7" max="7" width="32.28125" style="15" customWidth="1"/>
  </cols>
  <sheetData>
    <row r="1" spans="1:7" ht="15.75">
      <c r="A1" s="15"/>
      <c r="B1" s="13"/>
      <c r="C1" s="77"/>
      <c r="F1" s="13"/>
      <c r="G1" s="9"/>
    </row>
    <row r="2" spans="1:7" ht="15.75">
      <c r="A2" s="15"/>
      <c r="B2" s="12"/>
      <c r="C2" s="76"/>
      <c r="D2" s="76"/>
      <c r="E2" s="76"/>
      <c r="F2" s="75"/>
      <c r="G2" s="9"/>
    </row>
    <row r="3" spans="1:7" ht="15.75">
      <c r="A3" s="15"/>
      <c r="B3" s="15"/>
      <c r="C3" s="77"/>
      <c r="D3" s="14"/>
      <c r="E3" s="14"/>
      <c r="F3" s="14"/>
      <c r="G3" s="14"/>
    </row>
    <row r="4" spans="1:7" ht="15.75">
      <c r="A4" s="208" t="s">
        <v>6</v>
      </c>
      <c r="B4" s="208"/>
      <c r="C4" s="208"/>
      <c r="D4" s="208"/>
      <c r="E4" s="208"/>
      <c r="F4" s="208"/>
      <c r="G4" s="208"/>
    </row>
    <row r="5" spans="1:7" ht="15.75">
      <c r="A5" s="15"/>
      <c r="B5" s="209"/>
      <c r="C5" s="209"/>
      <c r="D5" s="14"/>
      <c r="E5" s="14"/>
      <c r="F5" s="14"/>
      <c r="G5" s="14"/>
    </row>
    <row r="6" spans="1:7" ht="15.75">
      <c r="A6" s="195" t="s">
        <v>1</v>
      </c>
      <c r="B6" s="195"/>
      <c r="C6" s="195"/>
      <c r="D6" s="14"/>
      <c r="E6" s="14"/>
      <c r="F6" s="14"/>
      <c r="G6" s="14"/>
    </row>
    <row r="7" spans="1:7" ht="15.75">
      <c r="A7" s="195" t="s">
        <v>0</v>
      </c>
      <c r="B7" s="195"/>
      <c r="C7" s="195"/>
      <c r="D7" s="14"/>
      <c r="E7" s="14"/>
      <c r="F7" s="14"/>
      <c r="G7" s="14"/>
    </row>
    <row r="8" spans="1:7" ht="15.75">
      <c r="A8" s="8"/>
      <c r="B8" s="195" t="s">
        <v>44</v>
      </c>
      <c r="C8" s="195"/>
      <c r="D8" s="14"/>
      <c r="E8" s="14"/>
      <c r="F8" s="14"/>
      <c r="G8" s="14"/>
    </row>
    <row r="9" spans="1:7" ht="15.75">
      <c r="A9" s="8"/>
      <c r="B9" s="195" t="s">
        <v>57</v>
      </c>
      <c r="C9" s="195"/>
      <c r="D9" s="14"/>
      <c r="E9" s="14"/>
      <c r="F9" s="14"/>
      <c r="G9" s="14"/>
    </row>
    <row r="10" spans="1:7" ht="15.75">
      <c r="A10" s="8"/>
      <c r="B10" s="195" t="s">
        <v>69</v>
      </c>
      <c r="C10" s="195"/>
      <c r="D10" s="14"/>
      <c r="E10" s="14"/>
      <c r="F10" s="14"/>
      <c r="G10" s="14"/>
    </row>
    <row r="11" spans="1:7" ht="15.75">
      <c r="A11" s="8" t="s">
        <v>2</v>
      </c>
      <c r="B11" s="8" t="s">
        <v>205</v>
      </c>
      <c r="C11" s="8"/>
      <c r="D11" s="14"/>
      <c r="E11" s="14"/>
      <c r="F11" s="14"/>
      <c r="G11" s="14"/>
    </row>
    <row r="12" spans="1:7" ht="15.75" hidden="1">
      <c r="A12" s="8"/>
      <c r="B12" s="8"/>
      <c r="C12" s="8"/>
      <c r="D12" s="14"/>
      <c r="E12" s="14"/>
      <c r="F12" s="14"/>
      <c r="G12" s="14"/>
    </row>
    <row r="13" spans="1:7" ht="54" customHeight="1">
      <c r="A13" s="59" t="s">
        <v>3</v>
      </c>
      <c r="B13" s="59" t="s">
        <v>4</v>
      </c>
      <c r="C13" s="17" t="s">
        <v>5</v>
      </c>
      <c r="D13" s="17" t="s">
        <v>70</v>
      </c>
      <c r="E13" s="17"/>
      <c r="F13" s="17"/>
      <c r="G13" s="59" t="s">
        <v>5</v>
      </c>
    </row>
    <row r="14" spans="1:7" ht="15.75">
      <c r="A14" s="18">
        <v>1</v>
      </c>
      <c r="B14" s="19">
        <v>2</v>
      </c>
      <c r="C14" s="18">
        <v>3</v>
      </c>
      <c r="D14" s="19">
        <v>3</v>
      </c>
      <c r="E14" s="19"/>
      <c r="F14" s="19"/>
      <c r="G14" s="19">
        <v>3</v>
      </c>
    </row>
    <row r="15" spans="1:7" ht="15.75">
      <c r="A15" s="18"/>
      <c r="B15" s="21" t="s">
        <v>71</v>
      </c>
      <c r="C15" s="79"/>
      <c r="D15" s="22"/>
      <c r="E15" s="22"/>
      <c r="F15" s="22"/>
      <c r="G15" s="22"/>
    </row>
    <row r="16" spans="1:7" ht="15.75">
      <c r="A16" s="23">
        <v>1100</v>
      </c>
      <c r="B16" s="24" t="s">
        <v>72</v>
      </c>
      <c r="C16" s="80">
        <v>10971.28</v>
      </c>
      <c r="D16" s="25">
        <f>C16/2538*30</f>
        <v>129.68416075650117</v>
      </c>
      <c r="E16" s="68">
        <f>ROUND(D16/0.702804,2)</f>
        <v>184.52</v>
      </c>
      <c r="F16" s="68">
        <v>234.34</v>
      </c>
      <c r="G16" s="25">
        <f>F16/30*60+60*2.3</f>
        <v>606.6800000000001</v>
      </c>
    </row>
    <row r="17" spans="1:7" ht="16.5" customHeight="1">
      <c r="A17" s="23">
        <v>1200</v>
      </c>
      <c r="B17" s="26" t="s">
        <v>73</v>
      </c>
      <c r="C17" s="81">
        <v>2642.98</v>
      </c>
      <c r="D17" s="25">
        <f>C17/2538*30</f>
        <v>31.240898345153663</v>
      </c>
      <c r="E17" s="68">
        <f>ROUND(D17/0.702804,2)</f>
        <v>44.45</v>
      </c>
      <c r="F17" s="68">
        <v>56.45</v>
      </c>
      <c r="G17" s="25">
        <f>F17/30*60+60*0.55</f>
        <v>145.9</v>
      </c>
    </row>
    <row r="18" spans="1:7" ht="15.75">
      <c r="A18" s="31">
        <v>2341</v>
      </c>
      <c r="B18" s="26" t="s">
        <v>23</v>
      </c>
      <c r="C18" s="80">
        <v>191.89</v>
      </c>
      <c r="D18" s="25">
        <f>C18/2538*30</f>
        <v>2.2682033096926713</v>
      </c>
      <c r="E18" s="68">
        <f>ROUND(D18/0.702804,2)</f>
        <v>3.23</v>
      </c>
      <c r="F18" s="68">
        <f>E18</f>
        <v>3.23</v>
      </c>
      <c r="G18" s="25">
        <f>F18/30*60</f>
        <v>6.46</v>
      </c>
    </row>
    <row r="19" spans="1:7" ht="15.75">
      <c r="A19" s="23">
        <v>2350</v>
      </c>
      <c r="B19" s="26" t="s">
        <v>25</v>
      </c>
      <c r="C19" s="80">
        <v>36.43</v>
      </c>
      <c r="D19" s="25">
        <f>C19/2538*30</f>
        <v>0.4306146572104019</v>
      </c>
      <c r="E19" s="68">
        <f>ROUND(D19/0.702804,2)</f>
        <v>0.61</v>
      </c>
      <c r="F19" s="68">
        <f>E19</f>
        <v>0.61</v>
      </c>
      <c r="G19" s="25">
        <f>F19/30*60</f>
        <v>1.22</v>
      </c>
    </row>
    <row r="20" spans="1:7" ht="15.75" hidden="1">
      <c r="A20" s="23"/>
      <c r="B20" s="24"/>
      <c r="C20" s="80"/>
      <c r="D20" s="23"/>
      <c r="E20" s="68">
        <f>ROUND(D20/0.702804,2)</f>
        <v>0</v>
      </c>
      <c r="F20" s="68">
        <f>E20</f>
        <v>0</v>
      </c>
      <c r="G20" s="25">
        <f>F20/30*60</f>
        <v>0</v>
      </c>
    </row>
    <row r="21" spans="1:7" ht="15.75">
      <c r="A21" s="23"/>
      <c r="B21" s="27" t="s">
        <v>74</v>
      </c>
      <c r="C21" s="82">
        <f>SUM(C16:C20)</f>
        <v>13842.58</v>
      </c>
      <c r="D21" s="28">
        <f>SUM(D16:D20)</f>
        <v>163.6238770685579</v>
      </c>
      <c r="E21" s="28">
        <f>SUM(E16:E20)</f>
        <v>232.81000000000003</v>
      </c>
      <c r="F21" s="28">
        <f>SUM(F16:F20)</f>
        <v>294.63000000000005</v>
      </c>
      <c r="G21" s="28">
        <f>SUM(G16:G20)</f>
        <v>760.2600000000001</v>
      </c>
    </row>
    <row r="22" spans="1:7" ht="15.75">
      <c r="A22" s="29"/>
      <c r="B22" s="24" t="s">
        <v>75</v>
      </c>
      <c r="C22" s="80"/>
      <c r="D22" s="47"/>
      <c r="E22" s="47"/>
      <c r="F22" s="47"/>
      <c r="G22" s="47"/>
    </row>
    <row r="23" spans="1:7" ht="15.75">
      <c r="A23" s="23">
        <v>1100</v>
      </c>
      <c r="B23" s="24" t="s">
        <v>72</v>
      </c>
      <c r="C23" s="80">
        <v>2869.69</v>
      </c>
      <c r="D23" s="25">
        <f aca="true" t="shared" si="0" ref="D23:D66">C23/2538*30</f>
        <v>33.920685579196224</v>
      </c>
      <c r="E23" s="68">
        <f aca="true" t="shared" si="1" ref="E23:E66">ROUND(D23/0.702804,2)</f>
        <v>48.26</v>
      </c>
      <c r="F23" s="68">
        <f>E23</f>
        <v>48.26</v>
      </c>
      <c r="G23" s="25">
        <f aca="true" t="shared" si="2" ref="G23:G65">F23/30*60</f>
        <v>96.52</v>
      </c>
    </row>
    <row r="24" spans="1:7" ht="16.5" customHeight="1">
      <c r="A24" s="23">
        <v>1200</v>
      </c>
      <c r="B24" s="26" t="s">
        <v>73</v>
      </c>
      <c r="C24" s="81">
        <v>691.31</v>
      </c>
      <c r="D24" s="25">
        <f t="shared" si="0"/>
        <v>8.171513002364065</v>
      </c>
      <c r="E24" s="68">
        <f t="shared" si="1"/>
        <v>11.63</v>
      </c>
      <c r="F24" s="68">
        <v>11.63</v>
      </c>
      <c r="G24" s="25">
        <f t="shared" si="2"/>
        <v>23.26</v>
      </c>
    </row>
    <row r="25" spans="1:7" ht="16.5" customHeight="1" hidden="1">
      <c r="A25" s="23">
        <v>2100</v>
      </c>
      <c r="B25" s="30" t="s">
        <v>42</v>
      </c>
      <c r="C25" s="80"/>
      <c r="D25" s="25">
        <f t="shared" si="0"/>
        <v>0</v>
      </c>
      <c r="E25" s="68">
        <f t="shared" si="1"/>
        <v>0</v>
      </c>
      <c r="F25" s="68">
        <f>E25</f>
        <v>0</v>
      </c>
      <c r="G25" s="25">
        <f t="shared" si="2"/>
        <v>0</v>
      </c>
    </row>
    <row r="26" spans="1:7" ht="15.75">
      <c r="A26" s="31">
        <v>2210</v>
      </c>
      <c r="B26" s="26" t="s">
        <v>38</v>
      </c>
      <c r="C26" s="80">
        <v>20</v>
      </c>
      <c r="D26" s="25">
        <f t="shared" si="0"/>
        <v>0.23640661938534277</v>
      </c>
      <c r="E26" s="68">
        <f t="shared" si="1"/>
        <v>0.34</v>
      </c>
      <c r="F26" s="68">
        <f aca="true" t="shared" si="3" ref="F26:F66">E26</f>
        <v>0.34</v>
      </c>
      <c r="G26" s="25">
        <f t="shared" si="2"/>
        <v>0.68</v>
      </c>
    </row>
    <row r="27" spans="1:7" ht="15.75">
      <c r="A27" s="23">
        <v>2222</v>
      </c>
      <c r="B27" s="26" t="s">
        <v>39</v>
      </c>
      <c r="C27" s="80">
        <v>50</v>
      </c>
      <c r="D27" s="25">
        <f t="shared" si="0"/>
        <v>0.5910165484633569</v>
      </c>
      <c r="E27" s="68">
        <f t="shared" si="1"/>
        <v>0.84</v>
      </c>
      <c r="F27" s="68">
        <f t="shared" si="3"/>
        <v>0.84</v>
      </c>
      <c r="G27" s="25">
        <f t="shared" si="2"/>
        <v>1.68</v>
      </c>
    </row>
    <row r="28" spans="1:7" ht="15.75">
      <c r="A28" s="23">
        <v>2223</v>
      </c>
      <c r="B28" s="26" t="s">
        <v>40</v>
      </c>
      <c r="C28" s="80">
        <v>34</v>
      </c>
      <c r="D28" s="25">
        <f t="shared" si="0"/>
        <v>0.40189125295508277</v>
      </c>
      <c r="E28" s="68">
        <f t="shared" si="1"/>
        <v>0.57</v>
      </c>
      <c r="F28" s="68">
        <f t="shared" si="3"/>
        <v>0.57</v>
      </c>
      <c r="G28" s="25">
        <f t="shared" si="2"/>
        <v>1.14</v>
      </c>
    </row>
    <row r="29" spans="1:7" ht="15.75" customHeight="1">
      <c r="A29" s="23">
        <v>2230</v>
      </c>
      <c r="B29" s="26" t="s">
        <v>41</v>
      </c>
      <c r="C29" s="80">
        <v>10</v>
      </c>
      <c r="D29" s="25">
        <f t="shared" si="0"/>
        <v>0.11820330969267138</v>
      </c>
      <c r="E29" s="68">
        <f t="shared" si="1"/>
        <v>0.17</v>
      </c>
      <c r="F29" s="68">
        <f t="shared" si="3"/>
        <v>0.17</v>
      </c>
      <c r="G29" s="25">
        <f t="shared" si="2"/>
        <v>0.34</v>
      </c>
    </row>
    <row r="30" spans="1:7" ht="15.75" hidden="1">
      <c r="A30" s="23">
        <v>2241</v>
      </c>
      <c r="B30" s="26" t="s">
        <v>9</v>
      </c>
      <c r="C30" s="80"/>
      <c r="D30" s="25">
        <f t="shared" si="0"/>
        <v>0</v>
      </c>
      <c r="E30" s="68">
        <f t="shared" si="1"/>
        <v>0</v>
      </c>
      <c r="F30" s="68">
        <f t="shared" si="3"/>
        <v>0</v>
      </c>
      <c r="G30" s="25">
        <f t="shared" si="2"/>
        <v>0</v>
      </c>
    </row>
    <row r="31" spans="1:7" ht="15.75">
      <c r="A31" s="23">
        <v>2242</v>
      </c>
      <c r="B31" s="26" t="s">
        <v>10</v>
      </c>
      <c r="C31" s="80">
        <v>16</v>
      </c>
      <c r="D31" s="25">
        <f t="shared" si="0"/>
        <v>0.18912529550827425</v>
      </c>
      <c r="E31" s="68">
        <f t="shared" si="1"/>
        <v>0.27</v>
      </c>
      <c r="F31" s="68">
        <f t="shared" si="3"/>
        <v>0.27</v>
      </c>
      <c r="G31" s="25">
        <f t="shared" si="2"/>
        <v>0.54</v>
      </c>
    </row>
    <row r="32" spans="1:7" ht="15.75" customHeight="1">
      <c r="A32" s="23">
        <v>2243</v>
      </c>
      <c r="B32" s="26" t="s">
        <v>11</v>
      </c>
      <c r="C32" s="80">
        <v>55</v>
      </c>
      <c r="D32" s="25">
        <f t="shared" si="0"/>
        <v>0.6501182033096927</v>
      </c>
      <c r="E32" s="68">
        <f t="shared" si="1"/>
        <v>0.93</v>
      </c>
      <c r="F32" s="68">
        <f t="shared" si="3"/>
        <v>0.93</v>
      </c>
      <c r="G32" s="25">
        <f t="shared" si="2"/>
        <v>1.86</v>
      </c>
    </row>
    <row r="33" spans="1:7" ht="15.75">
      <c r="A33" s="23">
        <v>2244</v>
      </c>
      <c r="B33" s="26" t="s">
        <v>12</v>
      </c>
      <c r="C33" s="80">
        <v>811.38</v>
      </c>
      <c r="D33" s="25">
        <f t="shared" si="0"/>
        <v>9.590780141843972</v>
      </c>
      <c r="E33" s="68">
        <f t="shared" si="1"/>
        <v>13.65</v>
      </c>
      <c r="F33" s="68">
        <f t="shared" si="3"/>
        <v>13.65</v>
      </c>
      <c r="G33" s="25">
        <f>F33/30*60+60*0.16</f>
        <v>36.9</v>
      </c>
    </row>
    <row r="34" spans="1:7" ht="15.75">
      <c r="A34" s="23">
        <v>2247</v>
      </c>
      <c r="B34" s="21" t="s">
        <v>76</v>
      </c>
      <c r="C34" s="80">
        <v>4</v>
      </c>
      <c r="D34" s="25">
        <f t="shared" si="0"/>
        <v>0.047281323877068564</v>
      </c>
      <c r="E34" s="68">
        <f t="shared" si="1"/>
        <v>0.07</v>
      </c>
      <c r="F34" s="68">
        <f t="shared" si="3"/>
        <v>0.07</v>
      </c>
      <c r="G34" s="25">
        <f t="shared" si="2"/>
        <v>0.14</v>
      </c>
    </row>
    <row r="35" spans="1:7" ht="15.75">
      <c r="A35" s="23">
        <v>2249</v>
      </c>
      <c r="B35" s="26" t="s">
        <v>13</v>
      </c>
      <c r="C35" s="80">
        <v>20</v>
      </c>
      <c r="D35" s="25">
        <f t="shared" si="0"/>
        <v>0.23640661938534277</v>
      </c>
      <c r="E35" s="68">
        <f t="shared" si="1"/>
        <v>0.34</v>
      </c>
      <c r="F35" s="68">
        <f t="shared" si="3"/>
        <v>0.34</v>
      </c>
      <c r="G35" s="25">
        <f t="shared" si="2"/>
        <v>0.68</v>
      </c>
    </row>
    <row r="36" spans="1:7" ht="15.75">
      <c r="A36" s="23">
        <v>2251</v>
      </c>
      <c r="B36" s="26" t="s">
        <v>77</v>
      </c>
      <c r="C36" s="80">
        <v>60</v>
      </c>
      <c r="D36" s="25">
        <f t="shared" si="0"/>
        <v>0.7092198581560284</v>
      </c>
      <c r="E36" s="68">
        <f t="shared" si="1"/>
        <v>1.01</v>
      </c>
      <c r="F36" s="68">
        <f t="shared" si="3"/>
        <v>1.01</v>
      </c>
      <c r="G36" s="25">
        <f t="shared" si="2"/>
        <v>2.02</v>
      </c>
    </row>
    <row r="37" spans="1:7" ht="15.75" hidden="1">
      <c r="A37" s="23">
        <v>2252</v>
      </c>
      <c r="B37" s="26" t="s">
        <v>7</v>
      </c>
      <c r="C37" s="80"/>
      <c r="D37" s="25">
        <f t="shared" si="0"/>
        <v>0</v>
      </c>
      <c r="E37" s="68">
        <f t="shared" si="1"/>
        <v>0</v>
      </c>
      <c r="F37" s="68">
        <f t="shared" si="3"/>
        <v>0</v>
      </c>
      <c r="G37" s="25">
        <f t="shared" si="2"/>
        <v>0</v>
      </c>
    </row>
    <row r="38" spans="1:7" ht="15.75" hidden="1">
      <c r="A38" s="23">
        <v>2259</v>
      </c>
      <c r="B38" s="26" t="s">
        <v>8</v>
      </c>
      <c r="C38" s="80"/>
      <c r="D38" s="25">
        <f t="shared" si="0"/>
        <v>0</v>
      </c>
      <c r="E38" s="68">
        <f t="shared" si="1"/>
        <v>0</v>
      </c>
      <c r="F38" s="68">
        <f t="shared" si="3"/>
        <v>0</v>
      </c>
      <c r="G38" s="25">
        <f t="shared" si="2"/>
        <v>0</v>
      </c>
    </row>
    <row r="39" spans="1:7" ht="15.75">
      <c r="A39" s="23">
        <v>2261</v>
      </c>
      <c r="B39" s="26" t="s">
        <v>14</v>
      </c>
      <c r="C39" s="80">
        <v>11</v>
      </c>
      <c r="D39" s="25">
        <f t="shared" si="0"/>
        <v>0.13002364066193853</v>
      </c>
      <c r="E39" s="68">
        <f t="shared" si="1"/>
        <v>0.19</v>
      </c>
      <c r="F39" s="68">
        <f t="shared" si="3"/>
        <v>0.19</v>
      </c>
      <c r="G39" s="25">
        <f t="shared" si="2"/>
        <v>0.38</v>
      </c>
    </row>
    <row r="40" spans="1:7" ht="15.75">
      <c r="A40" s="23">
        <v>2262</v>
      </c>
      <c r="B40" s="26" t="s">
        <v>15</v>
      </c>
      <c r="C40" s="80">
        <v>47</v>
      </c>
      <c r="D40" s="25">
        <f t="shared" si="0"/>
        <v>0.5555555555555556</v>
      </c>
      <c r="E40" s="68">
        <f t="shared" si="1"/>
        <v>0.79</v>
      </c>
      <c r="F40" s="68">
        <f t="shared" si="3"/>
        <v>0.79</v>
      </c>
      <c r="G40" s="25">
        <f t="shared" si="2"/>
        <v>1.58</v>
      </c>
    </row>
    <row r="41" spans="1:7" ht="15.75">
      <c r="A41" s="23">
        <v>2263</v>
      </c>
      <c r="B41" s="26" t="s">
        <v>16</v>
      </c>
      <c r="C41" s="80">
        <v>175</v>
      </c>
      <c r="D41" s="25">
        <f t="shared" si="0"/>
        <v>2.0685579196217496</v>
      </c>
      <c r="E41" s="68">
        <f t="shared" si="1"/>
        <v>2.94</v>
      </c>
      <c r="F41" s="68">
        <f t="shared" si="3"/>
        <v>2.94</v>
      </c>
      <c r="G41" s="25">
        <f t="shared" si="2"/>
        <v>5.88</v>
      </c>
    </row>
    <row r="42" spans="1:7" ht="15.75">
      <c r="A42" s="23">
        <v>2264</v>
      </c>
      <c r="B42" s="26" t="s">
        <v>17</v>
      </c>
      <c r="C42" s="80">
        <v>1</v>
      </c>
      <c r="D42" s="25">
        <f t="shared" si="0"/>
        <v>0.011820330969267141</v>
      </c>
      <c r="E42" s="68">
        <f t="shared" si="1"/>
        <v>0.02</v>
      </c>
      <c r="F42" s="68">
        <f t="shared" si="3"/>
        <v>0.02</v>
      </c>
      <c r="G42" s="25">
        <f t="shared" si="2"/>
        <v>0.04</v>
      </c>
    </row>
    <row r="43" spans="1:7" ht="15.75">
      <c r="A43" s="23">
        <v>2279</v>
      </c>
      <c r="B43" s="26" t="s">
        <v>18</v>
      </c>
      <c r="C43" s="80">
        <v>198</v>
      </c>
      <c r="D43" s="25">
        <f t="shared" si="0"/>
        <v>2.3404255319148937</v>
      </c>
      <c r="E43" s="68">
        <f t="shared" si="1"/>
        <v>3.33</v>
      </c>
      <c r="F43" s="68">
        <f t="shared" si="3"/>
        <v>3.33</v>
      </c>
      <c r="G43" s="25">
        <f t="shared" si="2"/>
        <v>6.66</v>
      </c>
    </row>
    <row r="44" spans="1:7" ht="15.75">
      <c r="A44" s="23">
        <v>2311</v>
      </c>
      <c r="B44" s="26" t="s">
        <v>19</v>
      </c>
      <c r="C44" s="80">
        <v>18.02</v>
      </c>
      <c r="D44" s="25">
        <f t="shared" si="0"/>
        <v>0.21300236406619386</v>
      </c>
      <c r="E44" s="68">
        <f t="shared" si="1"/>
        <v>0.3</v>
      </c>
      <c r="F44" s="68">
        <f t="shared" si="3"/>
        <v>0.3</v>
      </c>
      <c r="G44" s="25">
        <f t="shared" si="2"/>
        <v>0.6</v>
      </c>
    </row>
    <row r="45" spans="1:7" ht="15.75">
      <c r="A45" s="23">
        <v>2312</v>
      </c>
      <c r="B45" s="26" t="s">
        <v>20</v>
      </c>
      <c r="C45" s="80">
        <v>34</v>
      </c>
      <c r="D45" s="25">
        <f t="shared" si="0"/>
        <v>0.40189125295508277</v>
      </c>
      <c r="E45" s="68">
        <f t="shared" si="1"/>
        <v>0.57</v>
      </c>
      <c r="F45" s="68">
        <f t="shared" si="3"/>
        <v>0.57</v>
      </c>
      <c r="G45" s="25">
        <f t="shared" si="2"/>
        <v>1.14</v>
      </c>
    </row>
    <row r="46" spans="1:7" ht="15.75">
      <c r="A46" s="23">
        <v>2321</v>
      </c>
      <c r="B46" s="26" t="s">
        <v>21</v>
      </c>
      <c r="C46" s="80">
        <v>96</v>
      </c>
      <c r="D46" s="25">
        <f t="shared" si="0"/>
        <v>1.1347517730496453</v>
      </c>
      <c r="E46" s="68">
        <f t="shared" si="1"/>
        <v>1.61</v>
      </c>
      <c r="F46" s="68">
        <f t="shared" si="3"/>
        <v>1.61</v>
      </c>
      <c r="G46" s="25">
        <f t="shared" si="2"/>
        <v>3.22</v>
      </c>
    </row>
    <row r="47" spans="1:7" ht="15.75">
      <c r="A47" s="23">
        <v>2322</v>
      </c>
      <c r="B47" s="26" t="s">
        <v>22</v>
      </c>
      <c r="C47" s="80">
        <v>31</v>
      </c>
      <c r="D47" s="25">
        <f t="shared" si="0"/>
        <v>0.36643026004728135</v>
      </c>
      <c r="E47" s="68">
        <f t="shared" si="1"/>
        <v>0.52</v>
      </c>
      <c r="F47" s="68">
        <f t="shared" si="3"/>
        <v>0.52</v>
      </c>
      <c r="G47" s="25">
        <f t="shared" si="2"/>
        <v>1.04</v>
      </c>
    </row>
    <row r="48" spans="1:7" ht="15.75">
      <c r="A48" s="23">
        <v>2341</v>
      </c>
      <c r="B48" s="26" t="s">
        <v>23</v>
      </c>
      <c r="C48" s="80">
        <v>25</v>
      </c>
      <c r="D48" s="25">
        <f t="shared" si="0"/>
        <v>0.29550827423167847</v>
      </c>
      <c r="E48" s="68">
        <f t="shared" si="1"/>
        <v>0.42</v>
      </c>
      <c r="F48" s="68">
        <f t="shared" si="3"/>
        <v>0.42</v>
      </c>
      <c r="G48" s="25">
        <f t="shared" si="2"/>
        <v>0.84</v>
      </c>
    </row>
    <row r="49" spans="1:7" ht="15.75" hidden="1">
      <c r="A49" s="23">
        <v>2344</v>
      </c>
      <c r="B49" s="26" t="s">
        <v>24</v>
      </c>
      <c r="C49" s="80"/>
      <c r="D49" s="25">
        <f t="shared" si="0"/>
        <v>0</v>
      </c>
      <c r="E49" s="68">
        <f t="shared" si="1"/>
        <v>0</v>
      </c>
      <c r="F49" s="68">
        <f t="shared" si="3"/>
        <v>0</v>
      </c>
      <c r="G49" s="25">
        <f t="shared" si="2"/>
        <v>0</v>
      </c>
    </row>
    <row r="50" spans="1:7" ht="15.75">
      <c r="A50" s="23">
        <v>2350</v>
      </c>
      <c r="B50" s="26" t="s">
        <v>25</v>
      </c>
      <c r="C50" s="80">
        <v>156</v>
      </c>
      <c r="D50" s="25">
        <f t="shared" si="0"/>
        <v>1.8439716312056738</v>
      </c>
      <c r="E50" s="68">
        <f t="shared" si="1"/>
        <v>2.62</v>
      </c>
      <c r="F50" s="68">
        <f t="shared" si="3"/>
        <v>2.62</v>
      </c>
      <c r="G50" s="25">
        <f t="shared" si="2"/>
        <v>5.24</v>
      </c>
    </row>
    <row r="51" spans="1:7" ht="15.75">
      <c r="A51" s="23">
        <v>2361</v>
      </c>
      <c r="B51" s="26" t="s">
        <v>26</v>
      </c>
      <c r="C51" s="80">
        <v>96</v>
      </c>
      <c r="D51" s="25">
        <f t="shared" si="0"/>
        <v>1.1347517730496453</v>
      </c>
      <c r="E51" s="68">
        <f t="shared" si="1"/>
        <v>1.61</v>
      </c>
      <c r="F51" s="68">
        <f t="shared" si="3"/>
        <v>1.61</v>
      </c>
      <c r="G51" s="25">
        <f t="shared" si="2"/>
        <v>3.22</v>
      </c>
    </row>
    <row r="52" spans="1:7" ht="15.75" hidden="1">
      <c r="A52" s="23">
        <v>2362</v>
      </c>
      <c r="B52" s="26" t="s">
        <v>27</v>
      </c>
      <c r="C52" s="80"/>
      <c r="D52" s="25">
        <f t="shared" si="0"/>
        <v>0</v>
      </c>
      <c r="E52" s="68">
        <f t="shared" si="1"/>
        <v>0</v>
      </c>
      <c r="F52" s="68">
        <f t="shared" si="3"/>
        <v>0</v>
      </c>
      <c r="G52" s="25">
        <f t="shared" si="2"/>
        <v>0</v>
      </c>
    </row>
    <row r="53" spans="1:7" ht="15.75" hidden="1">
      <c r="A53" s="23">
        <v>2363</v>
      </c>
      <c r="B53" s="26" t="s">
        <v>28</v>
      </c>
      <c r="C53" s="80"/>
      <c r="D53" s="25">
        <f t="shared" si="0"/>
        <v>0</v>
      </c>
      <c r="E53" s="68">
        <f t="shared" si="1"/>
        <v>0</v>
      </c>
      <c r="F53" s="68">
        <f t="shared" si="3"/>
        <v>0</v>
      </c>
      <c r="G53" s="25">
        <f t="shared" si="2"/>
        <v>0</v>
      </c>
    </row>
    <row r="54" spans="1:7" ht="15.75" hidden="1">
      <c r="A54" s="23">
        <v>2370</v>
      </c>
      <c r="B54" s="26" t="s">
        <v>29</v>
      </c>
      <c r="C54" s="80"/>
      <c r="D54" s="25">
        <f t="shared" si="0"/>
        <v>0</v>
      </c>
      <c r="E54" s="68">
        <f t="shared" si="1"/>
        <v>0</v>
      </c>
      <c r="F54" s="68">
        <f t="shared" si="3"/>
        <v>0</v>
      </c>
      <c r="G54" s="25">
        <f t="shared" si="2"/>
        <v>0</v>
      </c>
    </row>
    <row r="55" spans="1:7" ht="15.75">
      <c r="A55" s="23">
        <v>2400</v>
      </c>
      <c r="B55" s="26" t="s">
        <v>43</v>
      </c>
      <c r="C55" s="80">
        <v>7</v>
      </c>
      <c r="D55" s="25">
        <f t="shared" si="0"/>
        <v>0.08274231678486998</v>
      </c>
      <c r="E55" s="68">
        <f t="shared" si="1"/>
        <v>0.12</v>
      </c>
      <c r="F55" s="68">
        <f t="shared" si="3"/>
        <v>0.12</v>
      </c>
      <c r="G55" s="25">
        <f t="shared" si="2"/>
        <v>0.24</v>
      </c>
    </row>
    <row r="56" spans="1:7" ht="15.75" hidden="1">
      <c r="A56" s="23">
        <v>2512</v>
      </c>
      <c r="B56" s="26" t="s">
        <v>30</v>
      </c>
      <c r="C56" s="80">
        <v>0</v>
      </c>
      <c r="D56" s="25">
        <f t="shared" si="0"/>
        <v>0</v>
      </c>
      <c r="E56" s="68">
        <f t="shared" si="1"/>
        <v>0</v>
      </c>
      <c r="F56" s="68">
        <f t="shared" si="3"/>
        <v>0</v>
      </c>
      <c r="G56" s="25">
        <f t="shared" si="2"/>
        <v>0</v>
      </c>
    </row>
    <row r="57" spans="1:7" ht="15.75" customHeight="1">
      <c r="A57" s="23">
        <v>2513</v>
      </c>
      <c r="B57" s="26" t="s">
        <v>31</v>
      </c>
      <c r="C57" s="80">
        <v>127</v>
      </c>
      <c r="D57" s="25">
        <f t="shared" si="0"/>
        <v>1.5011820330969268</v>
      </c>
      <c r="E57" s="68">
        <f t="shared" si="1"/>
        <v>2.14</v>
      </c>
      <c r="F57" s="68">
        <f t="shared" si="3"/>
        <v>2.14</v>
      </c>
      <c r="G57" s="25">
        <f t="shared" si="2"/>
        <v>4.28</v>
      </c>
    </row>
    <row r="58" spans="1:7" ht="15.75">
      <c r="A58" s="23">
        <v>2515</v>
      </c>
      <c r="B58" s="26" t="s">
        <v>78</v>
      </c>
      <c r="C58" s="80">
        <v>5</v>
      </c>
      <c r="D58" s="25">
        <f t="shared" si="0"/>
        <v>0.05910165484633569</v>
      </c>
      <c r="E58" s="68">
        <f t="shared" si="1"/>
        <v>0.08</v>
      </c>
      <c r="F58" s="68">
        <f t="shared" si="3"/>
        <v>0.08</v>
      </c>
      <c r="G58" s="25">
        <f t="shared" si="2"/>
        <v>0.16</v>
      </c>
    </row>
    <row r="59" spans="1:7" ht="15.75">
      <c r="A59" s="23">
        <v>2519</v>
      </c>
      <c r="B59" s="26" t="s">
        <v>34</v>
      </c>
      <c r="C59" s="80">
        <v>31</v>
      </c>
      <c r="D59" s="25">
        <f t="shared" si="0"/>
        <v>0.36643026004728135</v>
      </c>
      <c r="E59" s="68">
        <f t="shared" si="1"/>
        <v>0.52</v>
      </c>
      <c r="F59" s="68">
        <f t="shared" si="3"/>
        <v>0.52</v>
      </c>
      <c r="G59" s="25">
        <f t="shared" si="2"/>
        <v>1.04</v>
      </c>
    </row>
    <row r="60" spans="1:7" ht="15.75" hidden="1">
      <c r="A60" s="23">
        <v>6240</v>
      </c>
      <c r="B60" s="26"/>
      <c r="C60" s="80"/>
      <c r="D60" s="25">
        <f t="shared" si="0"/>
        <v>0</v>
      </c>
      <c r="E60" s="68">
        <f t="shared" si="1"/>
        <v>0</v>
      </c>
      <c r="F60" s="68">
        <f t="shared" si="3"/>
        <v>0</v>
      </c>
      <c r="G60" s="25">
        <f t="shared" si="2"/>
        <v>0</v>
      </c>
    </row>
    <row r="61" spans="1:7" ht="15.75" hidden="1">
      <c r="A61" s="23">
        <v>6290</v>
      </c>
      <c r="B61" s="26"/>
      <c r="C61" s="80"/>
      <c r="D61" s="25">
        <f t="shared" si="0"/>
        <v>0</v>
      </c>
      <c r="E61" s="68">
        <f t="shared" si="1"/>
        <v>0</v>
      </c>
      <c r="F61" s="68">
        <f t="shared" si="3"/>
        <v>0</v>
      </c>
      <c r="G61" s="25">
        <f t="shared" si="2"/>
        <v>0</v>
      </c>
    </row>
    <row r="62" spans="1:7" ht="15.75">
      <c r="A62" s="23">
        <v>5121</v>
      </c>
      <c r="B62" s="26" t="s">
        <v>32</v>
      </c>
      <c r="C62" s="80">
        <v>22</v>
      </c>
      <c r="D62" s="25">
        <f t="shared" si="0"/>
        <v>0.26004728132387706</v>
      </c>
      <c r="E62" s="68">
        <f t="shared" si="1"/>
        <v>0.37</v>
      </c>
      <c r="F62" s="68">
        <v>0.33</v>
      </c>
      <c r="G62" s="25">
        <f t="shared" si="2"/>
        <v>0.66</v>
      </c>
    </row>
    <row r="63" spans="1:7" ht="15.75">
      <c r="A63" s="23">
        <v>5232</v>
      </c>
      <c r="B63" s="26" t="s">
        <v>33</v>
      </c>
      <c r="C63" s="80">
        <v>3</v>
      </c>
      <c r="D63" s="25">
        <f t="shared" si="0"/>
        <v>0.035460992907801414</v>
      </c>
      <c r="E63" s="68">
        <v>0.06</v>
      </c>
      <c r="F63" s="68">
        <f t="shared" si="3"/>
        <v>0.06</v>
      </c>
      <c r="G63" s="25">
        <f t="shared" si="2"/>
        <v>0.12</v>
      </c>
    </row>
    <row r="64" spans="1:7" ht="15.75" hidden="1">
      <c r="A64" s="23">
        <v>5238</v>
      </c>
      <c r="B64" s="26" t="s">
        <v>35</v>
      </c>
      <c r="C64" s="80">
        <v>0</v>
      </c>
      <c r="D64" s="25">
        <f t="shared" si="0"/>
        <v>0</v>
      </c>
      <c r="E64" s="68">
        <f t="shared" si="1"/>
        <v>0</v>
      </c>
      <c r="F64" s="68">
        <f t="shared" si="3"/>
        <v>0</v>
      </c>
      <c r="G64" s="25">
        <f t="shared" si="2"/>
        <v>0</v>
      </c>
    </row>
    <row r="65" spans="1:7" ht="15.75">
      <c r="A65" s="23">
        <v>5240</v>
      </c>
      <c r="B65" s="26" t="s">
        <v>36</v>
      </c>
      <c r="C65" s="80">
        <v>1</v>
      </c>
      <c r="D65" s="25">
        <f t="shared" si="0"/>
        <v>0.011820330969267141</v>
      </c>
      <c r="E65" s="68">
        <f t="shared" si="1"/>
        <v>0.02</v>
      </c>
      <c r="F65" s="68">
        <f t="shared" si="3"/>
        <v>0.02</v>
      </c>
      <c r="G65" s="25">
        <f t="shared" si="2"/>
        <v>0.04</v>
      </c>
    </row>
    <row r="66" spans="1:7" ht="15.75" hidden="1">
      <c r="A66" s="23">
        <v>5250</v>
      </c>
      <c r="B66" s="26" t="s">
        <v>37</v>
      </c>
      <c r="C66" s="80"/>
      <c r="D66" s="47">
        <f t="shared" si="0"/>
        <v>0</v>
      </c>
      <c r="E66" s="68">
        <f t="shared" si="1"/>
        <v>0</v>
      </c>
      <c r="F66" s="68">
        <f t="shared" si="3"/>
        <v>0</v>
      </c>
      <c r="G66" s="25">
        <f>C66/2538*60</f>
        <v>0</v>
      </c>
    </row>
    <row r="67" spans="1:7" ht="15.75">
      <c r="A67" s="29"/>
      <c r="B67" s="34" t="s">
        <v>79</v>
      </c>
      <c r="C67" s="82">
        <f>SUM(C23:C66)</f>
        <v>5725.400000000001</v>
      </c>
      <c r="D67" s="28">
        <f>SUM(D23:D66)</f>
        <v>67.67612293144208</v>
      </c>
      <c r="E67" s="28">
        <f>SUM(E23:E66)</f>
        <v>96.31</v>
      </c>
      <c r="F67" s="28">
        <f>SUM(F23:F66)</f>
        <v>96.27</v>
      </c>
      <c r="G67" s="28">
        <f>SUM(G23:G66)</f>
        <v>202.14</v>
      </c>
    </row>
    <row r="68" spans="1:7" ht="15.75">
      <c r="A68" s="29"/>
      <c r="B68" s="34" t="s">
        <v>80</v>
      </c>
      <c r="C68" s="82">
        <f>C67+C21</f>
        <v>19567.98</v>
      </c>
      <c r="D68" s="28">
        <f>D67+D21</f>
        <v>231.29999999999998</v>
      </c>
      <c r="E68" s="28">
        <f>E67+E21</f>
        <v>329.12</v>
      </c>
      <c r="F68" s="28">
        <f>F67+F21</f>
        <v>390.90000000000003</v>
      </c>
      <c r="G68" s="28">
        <f>G67+G21</f>
        <v>962.4000000000001</v>
      </c>
    </row>
    <row r="69" spans="1:7" ht="15.75">
      <c r="A69" s="9"/>
      <c r="B69" s="14"/>
      <c r="C69" s="35"/>
      <c r="D69" s="35"/>
      <c r="E69" s="35"/>
      <c r="F69" s="35"/>
      <c r="G69" s="35"/>
    </row>
    <row r="70" spans="1:7" ht="15.75" customHeight="1">
      <c r="A70" s="212" t="s">
        <v>45</v>
      </c>
      <c r="B70" s="213"/>
      <c r="C70" s="36">
        <v>2538</v>
      </c>
      <c r="D70" s="17">
        <v>30</v>
      </c>
      <c r="E70" s="17">
        <v>30</v>
      </c>
      <c r="F70" s="17">
        <v>30</v>
      </c>
      <c r="G70" s="160">
        <v>60</v>
      </c>
    </row>
    <row r="71" spans="1:7" ht="15.75" customHeight="1">
      <c r="A71" s="212" t="s">
        <v>54</v>
      </c>
      <c r="B71" s="213"/>
      <c r="C71" s="83">
        <f>C68/C70</f>
        <v>7.71</v>
      </c>
      <c r="D71" s="82">
        <f>D68/D70</f>
        <v>7.709999999999999</v>
      </c>
      <c r="E71" s="82">
        <f>E68/E70</f>
        <v>10.970666666666666</v>
      </c>
      <c r="F71" s="84">
        <f>F68/F70</f>
        <v>13.030000000000001</v>
      </c>
      <c r="G71" s="161">
        <f>G68/G70</f>
        <v>16.040000000000003</v>
      </c>
    </row>
    <row r="72" spans="1:7" ht="15.75">
      <c r="A72" s="86"/>
      <c r="B72" s="87"/>
      <c r="C72" s="11"/>
      <c r="D72" s="7"/>
      <c r="E72" s="7"/>
      <c r="F72" s="7"/>
      <c r="G72" s="7"/>
    </row>
    <row r="73" spans="1:7" ht="15.75" customHeight="1">
      <c r="A73" s="214" t="s">
        <v>46</v>
      </c>
      <c r="B73" s="215"/>
      <c r="C73" s="37"/>
      <c r="D73" s="37"/>
      <c r="E73" s="37"/>
      <c r="F73" s="37"/>
      <c r="G73" s="37"/>
    </row>
    <row r="74" spans="1:7" ht="15.75" customHeight="1">
      <c r="A74" s="214" t="s">
        <v>56</v>
      </c>
      <c r="B74" s="215"/>
      <c r="C74" s="37"/>
      <c r="D74" s="37"/>
      <c r="E74" s="37"/>
      <c r="F74" s="37"/>
      <c r="G74" s="37"/>
    </row>
    <row r="75" spans="1:7" ht="15.75">
      <c r="A75" s="38"/>
      <c r="B75" s="38"/>
      <c r="C75" s="38"/>
      <c r="D75" s="38"/>
      <c r="E75" s="38"/>
      <c r="F75" s="38"/>
      <c r="G75" s="38"/>
    </row>
    <row r="76" spans="1:7" ht="15.75">
      <c r="A76" s="38" t="s">
        <v>47</v>
      </c>
      <c r="B76" s="38"/>
      <c r="C76" s="38"/>
      <c r="D76" s="38"/>
      <c r="E76" s="38"/>
      <c r="F76" s="38"/>
      <c r="G76" s="38"/>
    </row>
    <row r="77" spans="1:7" ht="15.75">
      <c r="A77" s="38"/>
      <c r="B77" s="38"/>
      <c r="C77" s="38"/>
      <c r="D77" s="38"/>
      <c r="E77" s="38"/>
      <c r="F77" s="38"/>
      <c r="G77" s="38"/>
    </row>
    <row r="78" spans="1:7" ht="15.75">
      <c r="A78" s="38"/>
      <c r="B78" s="39"/>
      <c r="C78" s="38"/>
      <c r="D78" s="38"/>
      <c r="E78" s="38"/>
      <c r="F78" s="38"/>
      <c r="G78" s="38"/>
    </row>
    <row r="79" spans="1:6" ht="15.75">
      <c r="A79" s="15"/>
      <c r="B79" s="211"/>
      <c r="C79" s="211"/>
      <c r="D79" s="85"/>
      <c r="E79" s="85"/>
      <c r="F79" s="85"/>
    </row>
    <row r="80" spans="4:6" ht="15.75">
      <c r="D80" s="85"/>
      <c r="E80" s="85"/>
      <c r="F80" s="85"/>
    </row>
    <row r="81" spans="4:7" ht="15.75">
      <c r="D81" s="85"/>
      <c r="E81" s="85"/>
      <c r="F81" s="85"/>
      <c r="G81" s="85"/>
    </row>
  </sheetData>
  <sheetProtection/>
  <mergeCells count="12">
    <mergeCell ref="B79:C79"/>
    <mergeCell ref="B9:C9"/>
    <mergeCell ref="B10:C10"/>
    <mergeCell ref="A70:B70"/>
    <mergeCell ref="A71:B71"/>
    <mergeCell ref="A73:B73"/>
    <mergeCell ref="A74:B74"/>
    <mergeCell ref="A4:G4"/>
    <mergeCell ref="B5:C5"/>
    <mergeCell ref="A6:C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Layout" workbookViewId="0" topLeftCell="A1">
      <selection activeCell="B22" sqref="B22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6.00390625" style="4" hidden="1" customWidth="1"/>
    <col min="4" max="4" width="19.00390625" style="4" hidden="1" customWidth="1"/>
    <col min="5" max="7" width="21.57421875" style="4" hidden="1" customWidth="1"/>
    <col min="8" max="8" width="32.8515625" style="4" customWidth="1"/>
  </cols>
  <sheetData>
    <row r="1" spans="2:8" ht="15.75">
      <c r="B1" s="12"/>
      <c r="C1" s="76"/>
      <c r="D1" s="76"/>
      <c r="E1" s="76"/>
      <c r="F1" s="76"/>
      <c r="G1" s="76"/>
      <c r="H1" s="13"/>
    </row>
    <row r="2" spans="3:5" ht="15">
      <c r="C2" s="64"/>
      <c r="D2" s="64"/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60"/>
    </row>
    <row r="5" spans="1:8" ht="15.75">
      <c r="A5" s="195" t="s">
        <v>1</v>
      </c>
      <c r="B5" s="195"/>
      <c r="C5" s="195"/>
      <c r="D5" s="195"/>
      <c r="E5" s="8"/>
      <c r="F5" s="25"/>
      <c r="G5" s="85"/>
      <c r="H5" s="15"/>
    </row>
    <row r="6" spans="1:8" ht="15.75">
      <c r="A6" s="195" t="s">
        <v>0</v>
      </c>
      <c r="B6" s="195"/>
      <c r="C6" s="195"/>
      <c r="D6" s="195"/>
      <c r="E6" s="8"/>
      <c r="F6" s="25"/>
      <c r="G6" s="15"/>
      <c r="H6" s="14"/>
    </row>
    <row r="7" spans="1:8" ht="15.75">
      <c r="A7" s="8"/>
      <c r="B7" s="195" t="s">
        <v>44</v>
      </c>
      <c r="C7" s="195"/>
      <c r="D7" s="195"/>
      <c r="E7" s="8"/>
      <c r="F7" s="85"/>
      <c r="G7" s="15"/>
      <c r="H7" s="14"/>
    </row>
    <row r="8" spans="1:8" ht="15.75">
      <c r="A8" s="8"/>
      <c r="B8" s="195" t="s">
        <v>87</v>
      </c>
      <c r="C8" s="195"/>
      <c r="D8" s="195"/>
      <c r="E8" s="8"/>
      <c r="F8" s="15"/>
      <c r="G8" s="85"/>
      <c r="H8" s="15"/>
    </row>
    <row r="9" spans="1:8" ht="15.75">
      <c r="A9" s="8"/>
      <c r="B9" s="195" t="s">
        <v>94</v>
      </c>
      <c r="C9" s="195"/>
      <c r="D9" s="195"/>
      <c r="E9" s="231"/>
      <c r="F9" s="15"/>
      <c r="G9" s="15"/>
      <c r="H9" s="15"/>
    </row>
    <row r="10" spans="1:8" ht="15.75">
      <c r="A10" s="8" t="s">
        <v>2</v>
      </c>
      <c r="B10" s="8" t="s">
        <v>205</v>
      </c>
      <c r="C10" s="8"/>
      <c r="D10" s="8"/>
      <c r="E10" s="8"/>
      <c r="F10" s="15"/>
      <c r="G10" s="15"/>
      <c r="H10" s="15"/>
    </row>
    <row r="11" spans="1:8" ht="15.75" hidden="1">
      <c r="A11" s="15"/>
      <c r="B11" s="16"/>
      <c r="C11" s="77"/>
      <c r="D11" s="16"/>
      <c r="E11" s="77"/>
      <c r="F11" s="15"/>
      <c r="G11" s="15"/>
      <c r="H11" s="15"/>
    </row>
    <row r="12" spans="1:8" ht="47.25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8">
        <v>3</v>
      </c>
      <c r="D13" s="18">
        <v>3</v>
      </c>
      <c r="E13" s="18">
        <v>3</v>
      </c>
      <c r="F13" s="19">
        <v>4</v>
      </c>
      <c r="G13" s="19"/>
      <c r="H13" s="19">
        <v>3</v>
      </c>
    </row>
    <row r="14" spans="1:8" ht="15.75">
      <c r="A14" s="20"/>
      <c r="B14" s="45" t="s">
        <v>71</v>
      </c>
      <c r="C14" s="97"/>
      <c r="D14" s="97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95.35</v>
      </c>
      <c r="D15" s="25">
        <f>ROUND(C15/0.702804,2)</f>
        <v>135.67</v>
      </c>
      <c r="E15" s="25">
        <f>ROUND(D15/50*5,2)</f>
        <v>13.57</v>
      </c>
      <c r="F15" s="25">
        <v>14.11</v>
      </c>
      <c r="G15" s="25">
        <v>17.92</v>
      </c>
      <c r="H15" s="25">
        <f>G15/5*20+20*0.21</f>
        <v>75.88000000000001</v>
      </c>
    </row>
    <row r="16" spans="1:8" ht="15.75">
      <c r="A16" s="23">
        <v>1200</v>
      </c>
      <c r="B16" s="32" t="s">
        <v>73</v>
      </c>
      <c r="C16" s="47">
        <v>22.49</v>
      </c>
      <c r="D16" s="25">
        <f>ROUND(C16/0.702804,2)</f>
        <v>32</v>
      </c>
      <c r="E16" s="25">
        <f>ROUND(D16/50*5,2)</f>
        <v>3.2</v>
      </c>
      <c r="F16" s="25">
        <v>3.33</v>
      </c>
      <c r="G16" s="25">
        <v>4.32</v>
      </c>
      <c r="H16" s="25">
        <f>G16/5*20+20*0.05</f>
        <v>18.28</v>
      </c>
    </row>
    <row r="17" spans="1:8" ht="15.75">
      <c r="A17" s="31">
        <v>2341</v>
      </c>
      <c r="B17" s="32" t="s">
        <v>23</v>
      </c>
      <c r="C17" s="25">
        <v>2.09</v>
      </c>
      <c r="D17" s="25">
        <f>ROUND(C17/0.702804,2)</f>
        <v>2.97</v>
      </c>
      <c r="E17" s="25">
        <f>ROUND(D17/50*5,2)</f>
        <v>0.3</v>
      </c>
      <c r="F17" s="25">
        <f>E17</f>
        <v>0.3</v>
      </c>
      <c r="G17" s="25">
        <f>F17</f>
        <v>0.3</v>
      </c>
      <c r="H17" s="25">
        <f>G17/5*20</f>
        <v>1.2</v>
      </c>
    </row>
    <row r="18" spans="1:8" ht="15.75">
      <c r="A18" s="23">
        <v>2249</v>
      </c>
      <c r="B18" s="32" t="s">
        <v>13</v>
      </c>
      <c r="C18" s="25">
        <v>9.76</v>
      </c>
      <c r="D18" s="25">
        <f>ROUND(C18/0.702804,2)</f>
        <v>13.89</v>
      </c>
      <c r="E18" s="25">
        <f>ROUND(D18/50*5,2)</f>
        <v>1.39</v>
      </c>
      <c r="F18" s="25">
        <f>E18</f>
        <v>1.39</v>
      </c>
      <c r="G18" s="25">
        <f>F18</f>
        <v>1.39</v>
      </c>
      <c r="H18" s="25">
        <f>G18/5*20</f>
        <v>5.56</v>
      </c>
    </row>
    <row r="19" spans="1:8" ht="15.75" hidden="1">
      <c r="A19" s="23"/>
      <c r="B19" s="23"/>
      <c r="C19" s="25"/>
      <c r="D19" s="25"/>
      <c r="E19" s="25"/>
      <c r="F19" s="23"/>
      <c r="G19" s="23"/>
      <c r="H19" s="68"/>
    </row>
    <row r="20" spans="1:8" ht="15.75">
      <c r="A20" s="23"/>
      <c r="B20" s="46" t="s">
        <v>74</v>
      </c>
      <c r="C20" s="28">
        <f aca="true" t="shared" si="0" ref="C20:H20">SUM(C15:C19)</f>
        <v>129.69</v>
      </c>
      <c r="D20" s="28">
        <f t="shared" si="0"/>
        <v>184.52999999999997</v>
      </c>
      <c r="E20" s="28">
        <f t="shared" si="0"/>
        <v>18.46</v>
      </c>
      <c r="F20" s="28">
        <f t="shared" si="0"/>
        <v>19.13</v>
      </c>
      <c r="G20" s="28">
        <f t="shared" si="0"/>
        <v>23.930000000000003</v>
      </c>
      <c r="H20" s="28">
        <f t="shared" si="0"/>
        <v>100.92000000000002</v>
      </c>
    </row>
    <row r="21" spans="1:8" ht="15.75">
      <c r="A21" s="29"/>
      <c r="B21" s="23" t="s">
        <v>75</v>
      </c>
      <c r="C21" s="25"/>
      <c r="D21" s="25"/>
      <c r="E21" s="25"/>
      <c r="F21" s="23"/>
      <c r="G21" s="23"/>
      <c r="H21" s="68"/>
    </row>
    <row r="22" spans="1:8" ht="15.75">
      <c r="A22" s="23">
        <v>1100</v>
      </c>
      <c r="B22" s="23" t="s">
        <v>72</v>
      </c>
      <c r="C22" s="25">
        <v>52.59</v>
      </c>
      <c r="D22" s="25">
        <f aca="true" t="shared" si="1" ref="D22:D58">ROUND(C22/0.702804,2)</f>
        <v>74.83</v>
      </c>
      <c r="E22" s="25">
        <f aca="true" t="shared" si="2" ref="E22:E58">ROUND(D22/50*5,2)</f>
        <v>7.48</v>
      </c>
      <c r="F22" s="25">
        <v>7.7</v>
      </c>
      <c r="G22" s="25">
        <v>7.67</v>
      </c>
      <c r="H22" s="25">
        <f aca="true" t="shared" si="3" ref="H22:H65">G22/5*20</f>
        <v>30.68</v>
      </c>
    </row>
    <row r="23" spans="1:8" ht="15.75">
      <c r="A23" s="23">
        <v>1200</v>
      </c>
      <c r="B23" s="32" t="s">
        <v>73</v>
      </c>
      <c r="C23" s="47">
        <v>12.41</v>
      </c>
      <c r="D23" s="25">
        <f t="shared" si="1"/>
        <v>17.66</v>
      </c>
      <c r="E23" s="25">
        <f t="shared" si="2"/>
        <v>1.77</v>
      </c>
      <c r="F23" s="25">
        <v>1.82</v>
      </c>
      <c r="G23" s="25">
        <v>1.85</v>
      </c>
      <c r="H23" s="25">
        <f t="shared" si="3"/>
        <v>7.4</v>
      </c>
    </row>
    <row r="24" spans="1:8" ht="15.75" hidden="1">
      <c r="A24" s="23">
        <v>2100</v>
      </c>
      <c r="B24" s="30" t="s">
        <v>42</v>
      </c>
      <c r="C24" s="25"/>
      <c r="D24" s="25">
        <f t="shared" si="1"/>
        <v>0</v>
      </c>
      <c r="E24" s="25">
        <f t="shared" si="2"/>
        <v>0</v>
      </c>
      <c r="F24" s="25">
        <f aca="true" t="shared" si="4" ref="F24:F56">E24</f>
        <v>0</v>
      </c>
      <c r="G24" s="25">
        <f aca="true" t="shared" si="5" ref="G24:G65">F24</f>
        <v>0</v>
      </c>
      <c r="H24" s="25">
        <f t="shared" si="3"/>
        <v>0</v>
      </c>
    </row>
    <row r="25" spans="1:8" ht="15.75" hidden="1">
      <c r="A25" s="31">
        <v>2210</v>
      </c>
      <c r="B25" s="32" t="s">
        <v>38</v>
      </c>
      <c r="C25" s="25">
        <v>0</v>
      </c>
      <c r="D25" s="25">
        <f t="shared" si="1"/>
        <v>0</v>
      </c>
      <c r="E25" s="25">
        <f t="shared" si="2"/>
        <v>0</v>
      </c>
      <c r="F25" s="25">
        <f t="shared" si="4"/>
        <v>0</v>
      </c>
      <c r="G25" s="25">
        <f t="shared" si="5"/>
        <v>0</v>
      </c>
      <c r="H25" s="25">
        <f t="shared" si="3"/>
        <v>0</v>
      </c>
    </row>
    <row r="26" spans="1:8" ht="15.75">
      <c r="A26" s="23">
        <v>2222</v>
      </c>
      <c r="B26" s="32" t="s">
        <v>39</v>
      </c>
      <c r="C26" s="25">
        <v>1</v>
      </c>
      <c r="D26" s="25">
        <f t="shared" si="1"/>
        <v>1.42</v>
      </c>
      <c r="E26" s="25">
        <f t="shared" si="2"/>
        <v>0.14</v>
      </c>
      <c r="F26" s="25">
        <f t="shared" si="4"/>
        <v>0.14</v>
      </c>
      <c r="G26" s="25">
        <f t="shared" si="5"/>
        <v>0.14</v>
      </c>
      <c r="H26" s="25">
        <f t="shared" si="3"/>
        <v>0.56</v>
      </c>
    </row>
    <row r="27" spans="1:8" ht="15.75">
      <c r="A27" s="23">
        <v>2223</v>
      </c>
      <c r="B27" s="32" t="s">
        <v>40</v>
      </c>
      <c r="C27" s="25">
        <v>1</v>
      </c>
      <c r="D27" s="25">
        <f t="shared" si="1"/>
        <v>1.42</v>
      </c>
      <c r="E27" s="25">
        <f t="shared" si="2"/>
        <v>0.14</v>
      </c>
      <c r="F27" s="25">
        <f t="shared" si="4"/>
        <v>0.14</v>
      </c>
      <c r="G27" s="25">
        <f t="shared" si="5"/>
        <v>0.14</v>
      </c>
      <c r="H27" s="25">
        <f t="shared" si="3"/>
        <v>0.56</v>
      </c>
    </row>
    <row r="28" spans="1:8" ht="15.75" hidden="1">
      <c r="A28" s="23">
        <v>2230</v>
      </c>
      <c r="B28" s="32" t="s">
        <v>41</v>
      </c>
      <c r="C28" s="25">
        <v>0</v>
      </c>
      <c r="D28" s="25">
        <f t="shared" si="1"/>
        <v>0</v>
      </c>
      <c r="E28" s="25">
        <f t="shared" si="2"/>
        <v>0</v>
      </c>
      <c r="F28" s="25">
        <f t="shared" si="4"/>
        <v>0</v>
      </c>
      <c r="G28" s="25">
        <f t="shared" si="5"/>
        <v>0</v>
      </c>
      <c r="H28" s="25">
        <f t="shared" si="3"/>
        <v>0</v>
      </c>
    </row>
    <row r="29" spans="1:8" ht="15.75" hidden="1">
      <c r="A29" s="23">
        <v>2241</v>
      </c>
      <c r="B29" s="32" t="s">
        <v>9</v>
      </c>
      <c r="C29" s="25"/>
      <c r="D29" s="25">
        <f t="shared" si="1"/>
        <v>0</v>
      </c>
      <c r="E29" s="25">
        <f t="shared" si="2"/>
        <v>0</v>
      </c>
      <c r="F29" s="25">
        <f t="shared" si="4"/>
        <v>0</v>
      </c>
      <c r="G29" s="25">
        <f t="shared" si="5"/>
        <v>0</v>
      </c>
      <c r="H29" s="25">
        <f t="shared" si="3"/>
        <v>0</v>
      </c>
    </row>
    <row r="30" spans="1:8" ht="15.75" hidden="1">
      <c r="A30" s="23">
        <v>2242</v>
      </c>
      <c r="B30" s="32" t="s">
        <v>10</v>
      </c>
      <c r="C30" s="25">
        <v>0</v>
      </c>
      <c r="D30" s="25">
        <f t="shared" si="1"/>
        <v>0</v>
      </c>
      <c r="E30" s="25">
        <f t="shared" si="2"/>
        <v>0</v>
      </c>
      <c r="F30" s="25">
        <f t="shared" si="4"/>
        <v>0</v>
      </c>
      <c r="G30" s="25">
        <f t="shared" si="5"/>
        <v>0</v>
      </c>
      <c r="H30" s="25">
        <f t="shared" si="3"/>
        <v>0</v>
      </c>
    </row>
    <row r="31" spans="1:8" ht="15.75">
      <c r="A31" s="23">
        <v>2243</v>
      </c>
      <c r="B31" s="32" t="s">
        <v>11</v>
      </c>
      <c r="C31" s="25">
        <v>1</v>
      </c>
      <c r="D31" s="25">
        <f t="shared" si="1"/>
        <v>1.42</v>
      </c>
      <c r="E31" s="25">
        <f t="shared" si="2"/>
        <v>0.14</v>
      </c>
      <c r="F31" s="25">
        <f t="shared" si="4"/>
        <v>0.14</v>
      </c>
      <c r="G31" s="25">
        <f t="shared" si="5"/>
        <v>0.14</v>
      </c>
      <c r="H31" s="25">
        <f t="shared" si="3"/>
        <v>0.56</v>
      </c>
    </row>
    <row r="32" spans="1:8" ht="15.75">
      <c r="A32" s="23">
        <v>2244</v>
      </c>
      <c r="B32" s="32" t="s">
        <v>12</v>
      </c>
      <c r="C32" s="25">
        <v>15.81</v>
      </c>
      <c r="D32" s="25">
        <f t="shared" si="1"/>
        <v>22.5</v>
      </c>
      <c r="E32" s="25">
        <f t="shared" si="2"/>
        <v>2.25</v>
      </c>
      <c r="F32" s="25">
        <f t="shared" si="4"/>
        <v>2.25</v>
      </c>
      <c r="G32" s="25">
        <f t="shared" si="5"/>
        <v>2.25</v>
      </c>
      <c r="H32" s="25">
        <f>G32/5*20+20*0.03</f>
        <v>9.6</v>
      </c>
    </row>
    <row r="33" spans="1:8" ht="15.75" hidden="1">
      <c r="A33" s="23">
        <v>2247</v>
      </c>
      <c r="B33" s="45" t="s">
        <v>76</v>
      </c>
      <c r="C33" s="25">
        <v>0</v>
      </c>
      <c r="D33" s="25">
        <f t="shared" si="1"/>
        <v>0</v>
      </c>
      <c r="E33" s="25">
        <f t="shared" si="2"/>
        <v>0</v>
      </c>
      <c r="F33" s="25">
        <f t="shared" si="4"/>
        <v>0</v>
      </c>
      <c r="G33" s="25">
        <f t="shared" si="5"/>
        <v>0</v>
      </c>
      <c r="H33" s="25">
        <f t="shared" si="3"/>
        <v>0</v>
      </c>
    </row>
    <row r="34" spans="1:8" ht="15.75" hidden="1">
      <c r="A34" s="23">
        <v>2249</v>
      </c>
      <c r="B34" s="32" t="s">
        <v>13</v>
      </c>
      <c r="C34" s="25">
        <v>0</v>
      </c>
      <c r="D34" s="25">
        <f t="shared" si="1"/>
        <v>0</v>
      </c>
      <c r="E34" s="25">
        <f t="shared" si="2"/>
        <v>0</v>
      </c>
      <c r="F34" s="25">
        <f t="shared" si="4"/>
        <v>0</v>
      </c>
      <c r="G34" s="25">
        <f t="shared" si="5"/>
        <v>0</v>
      </c>
      <c r="H34" s="25">
        <f t="shared" si="3"/>
        <v>0</v>
      </c>
    </row>
    <row r="35" spans="1:8" ht="15.75">
      <c r="A35" s="23">
        <v>2251</v>
      </c>
      <c r="B35" s="32" t="s">
        <v>77</v>
      </c>
      <c r="C35" s="25">
        <v>1</v>
      </c>
      <c r="D35" s="25">
        <f t="shared" si="1"/>
        <v>1.42</v>
      </c>
      <c r="E35" s="25">
        <f t="shared" si="2"/>
        <v>0.14</v>
      </c>
      <c r="F35" s="25">
        <f t="shared" si="4"/>
        <v>0.14</v>
      </c>
      <c r="G35" s="25">
        <f t="shared" si="5"/>
        <v>0.14</v>
      </c>
      <c r="H35" s="25">
        <f t="shared" si="3"/>
        <v>0.56</v>
      </c>
    </row>
    <row r="36" spans="1:8" ht="15.75" hidden="1">
      <c r="A36" s="23">
        <v>2252</v>
      </c>
      <c r="B36" s="32" t="s">
        <v>7</v>
      </c>
      <c r="C36" s="25"/>
      <c r="D36" s="25">
        <f t="shared" si="1"/>
        <v>0</v>
      </c>
      <c r="E36" s="25">
        <f t="shared" si="2"/>
        <v>0</v>
      </c>
      <c r="F36" s="25">
        <f t="shared" si="4"/>
        <v>0</v>
      </c>
      <c r="G36" s="25">
        <f t="shared" si="5"/>
        <v>0</v>
      </c>
      <c r="H36" s="25">
        <f t="shared" si="3"/>
        <v>0</v>
      </c>
    </row>
    <row r="37" spans="1:8" ht="15.75" hidden="1">
      <c r="A37" s="23">
        <v>2259</v>
      </c>
      <c r="B37" s="32" t="s">
        <v>8</v>
      </c>
      <c r="C37" s="25"/>
      <c r="D37" s="25">
        <f t="shared" si="1"/>
        <v>0</v>
      </c>
      <c r="E37" s="25">
        <f t="shared" si="2"/>
        <v>0</v>
      </c>
      <c r="F37" s="25">
        <f t="shared" si="4"/>
        <v>0</v>
      </c>
      <c r="G37" s="25">
        <f t="shared" si="5"/>
        <v>0</v>
      </c>
      <c r="H37" s="25">
        <f t="shared" si="3"/>
        <v>0</v>
      </c>
    </row>
    <row r="38" spans="1:8" ht="15.75" hidden="1">
      <c r="A38" s="23">
        <v>2261</v>
      </c>
      <c r="B38" s="32" t="s">
        <v>14</v>
      </c>
      <c r="C38" s="25">
        <v>0</v>
      </c>
      <c r="D38" s="25">
        <f t="shared" si="1"/>
        <v>0</v>
      </c>
      <c r="E38" s="25">
        <f t="shared" si="2"/>
        <v>0</v>
      </c>
      <c r="F38" s="25">
        <f t="shared" si="4"/>
        <v>0</v>
      </c>
      <c r="G38" s="25">
        <f t="shared" si="5"/>
        <v>0</v>
      </c>
      <c r="H38" s="25">
        <f t="shared" si="3"/>
        <v>0</v>
      </c>
    </row>
    <row r="39" spans="1:8" ht="15.75">
      <c r="A39" s="23">
        <v>2262</v>
      </c>
      <c r="B39" s="32" t="s">
        <v>15</v>
      </c>
      <c r="C39" s="25">
        <v>1</v>
      </c>
      <c r="D39" s="25">
        <f t="shared" si="1"/>
        <v>1.42</v>
      </c>
      <c r="E39" s="25">
        <f t="shared" si="2"/>
        <v>0.14</v>
      </c>
      <c r="F39" s="25">
        <f t="shared" si="4"/>
        <v>0.14</v>
      </c>
      <c r="G39" s="25">
        <f t="shared" si="5"/>
        <v>0.14</v>
      </c>
      <c r="H39" s="25">
        <f t="shared" si="3"/>
        <v>0.56</v>
      </c>
    </row>
    <row r="40" spans="1:8" ht="15.75">
      <c r="A40" s="23">
        <v>2263</v>
      </c>
      <c r="B40" s="32" t="s">
        <v>16</v>
      </c>
      <c r="C40" s="25">
        <v>3</v>
      </c>
      <c r="D40" s="25">
        <f t="shared" si="1"/>
        <v>4.27</v>
      </c>
      <c r="E40" s="25">
        <f t="shared" si="2"/>
        <v>0.43</v>
      </c>
      <c r="F40" s="25">
        <f t="shared" si="4"/>
        <v>0.43</v>
      </c>
      <c r="G40" s="25">
        <f t="shared" si="5"/>
        <v>0.43</v>
      </c>
      <c r="H40" s="25">
        <f t="shared" si="3"/>
        <v>1.7199999999999998</v>
      </c>
    </row>
    <row r="41" spans="1:8" ht="15.75" hidden="1">
      <c r="A41" s="23">
        <v>2264</v>
      </c>
      <c r="B41" s="32" t="s">
        <v>17</v>
      </c>
      <c r="C41" s="25">
        <v>0</v>
      </c>
      <c r="D41" s="25">
        <f t="shared" si="1"/>
        <v>0</v>
      </c>
      <c r="E41" s="25">
        <f t="shared" si="2"/>
        <v>0</v>
      </c>
      <c r="F41" s="25">
        <f t="shared" si="4"/>
        <v>0</v>
      </c>
      <c r="G41" s="25">
        <f t="shared" si="5"/>
        <v>0</v>
      </c>
      <c r="H41" s="25">
        <f t="shared" si="3"/>
        <v>0</v>
      </c>
    </row>
    <row r="42" spans="1:8" ht="15.75">
      <c r="A42" s="23">
        <v>2279</v>
      </c>
      <c r="B42" s="32" t="s">
        <v>18</v>
      </c>
      <c r="C42" s="25">
        <v>4</v>
      </c>
      <c r="D42" s="25">
        <f t="shared" si="1"/>
        <v>5.69</v>
      </c>
      <c r="E42" s="25">
        <f t="shared" si="2"/>
        <v>0.57</v>
      </c>
      <c r="F42" s="25">
        <f t="shared" si="4"/>
        <v>0.57</v>
      </c>
      <c r="G42" s="25">
        <f t="shared" si="5"/>
        <v>0.57</v>
      </c>
      <c r="H42" s="25">
        <f t="shared" si="3"/>
        <v>2.28</v>
      </c>
    </row>
    <row r="43" spans="1:8" ht="15.75" hidden="1">
      <c r="A43" s="23">
        <v>2311</v>
      </c>
      <c r="B43" s="32" t="s">
        <v>19</v>
      </c>
      <c r="C43" s="25">
        <v>0</v>
      </c>
      <c r="D43" s="25">
        <f t="shared" si="1"/>
        <v>0</v>
      </c>
      <c r="E43" s="25">
        <f t="shared" si="2"/>
        <v>0</v>
      </c>
      <c r="F43" s="25">
        <f t="shared" si="4"/>
        <v>0</v>
      </c>
      <c r="G43" s="25">
        <f t="shared" si="5"/>
        <v>0</v>
      </c>
      <c r="H43" s="25">
        <f t="shared" si="3"/>
        <v>0</v>
      </c>
    </row>
    <row r="44" spans="1:8" ht="15.75">
      <c r="A44" s="23">
        <v>2312</v>
      </c>
      <c r="B44" s="32" t="s">
        <v>20</v>
      </c>
      <c r="C44" s="25">
        <v>1</v>
      </c>
      <c r="D44" s="25">
        <f t="shared" si="1"/>
        <v>1.42</v>
      </c>
      <c r="E44" s="25">
        <f t="shared" si="2"/>
        <v>0.14</v>
      </c>
      <c r="F44" s="25">
        <f t="shared" si="4"/>
        <v>0.14</v>
      </c>
      <c r="G44" s="25">
        <f t="shared" si="5"/>
        <v>0.14</v>
      </c>
      <c r="H44" s="25">
        <f t="shared" si="3"/>
        <v>0.56</v>
      </c>
    </row>
    <row r="45" spans="1:8" ht="15.75">
      <c r="A45" s="23">
        <v>2321</v>
      </c>
      <c r="B45" s="32" t="s">
        <v>21</v>
      </c>
      <c r="C45" s="25">
        <v>1</v>
      </c>
      <c r="D45" s="25">
        <f t="shared" si="1"/>
        <v>1.42</v>
      </c>
      <c r="E45" s="25">
        <f t="shared" si="2"/>
        <v>0.14</v>
      </c>
      <c r="F45" s="25">
        <f t="shared" si="4"/>
        <v>0.14</v>
      </c>
      <c r="G45" s="25">
        <f t="shared" si="5"/>
        <v>0.14</v>
      </c>
      <c r="H45" s="25">
        <f t="shared" si="3"/>
        <v>0.56</v>
      </c>
    </row>
    <row r="46" spans="1:8" ht="15.75">
      <c r="A46" s="23">
        <v>2322</v>
      </c>
      <c r="B46" s="32" t="s">
        <v>22</v>
      </c>
      <c r="C46" s="25">
        <v>1</v>
      </c>
      <c r="D46" s="25">
        <v>1.19</v>
      </c>
      <c r="E46" s="25">
        <v>0.11</v>
      </c>
      <c r="F46" s="25">
        <f t="shared" si="4"/>
        <v>0.11</v>
      </c>
      <c r="G46" s="25">
        <f t="shared" si="5"/>
        <v>0.11</v>
      </c>
      <c r="H46" s="25">
        <f t="shared" si="3"/>
        <v>0.43999999999999995</v>
      </c>
    </row>
    <row r="47" spans="1:8" ht="15.75" hidden="1">
      <c r="A47" s="23">
        <v>2341</v>
      </c>
      <c r="B47" s="32" t="s">
        <v>23</v>
      </c>
      <c r="C47" s="25">
        <v>0</v>
      </c>
      <c r="D47" s="25">
        <f t="shared" si="1"/>
        <v>0</v>
      </c>
      <c r="E47" s="25">
        <f t="shared" si="2"/>
        <v>0</v>
      </c>
      <c r="F47" s="25">
        <f t="shared" si="4"/>
        <v>0</v>
      </c>
      <c r="G47" s="25">
        <f t="shared" si="5"/>
        <v>0</v>
      </c>
      <c r="H47" s="25">
        <f t="shared" si="3"/>
        <v>0</v>
      </c>
    </row>
    <row r="48" spans="1:8" ht="15.75" hidden="1">
      <c r="A48" s="23">
        <v>2344</v>
      </c>
      <c r="B48" s="32" t="s">
        <v>24</v>
      </c>
      <c r="C48" s="25"/>
      <c r="D48" s="25">
        <f t="shared" si="1"/>
        <v>0</v>
      </c>
      <c r="E48" s="25">
        <f t="shared" si="2"/>
        <v>0</v>
      </c>
      <c r="F48" s="25">
        <f t="shared" si="4"/>
        <v>0</v>
      </c>
      <c r="G48" s="25">
        <f t="shared" si="5"/>
        <v>0</v>
      </c>
      <c r="H48" s="25">
        <f t="shared" si="3"/>
        <v>0</v>
      </c>
    </row>
    <row r="49" spans="1:8" ht="15.75">
      <c r="A49" s="23">
        <v>2350</v>
      </c>
      <c r="B49" s="32" t="s">
        <v>25</v>
      </c>
      <c r="C49" s="25">
        <v>3</v>
      </c>
      <c r="D49" s="25">
        <f t="shared" si="1"/>
        <v>4.27</v>
      </c>
      <c r="E49" s="25">
        <f t="shared" si="2"/>
        <v>0.43</v>
      </c>
      <c r="F49" s="25">
        <f t="shared" si="4"/>
        <v>0.43</v>
      </c>
      <c r="G49" s="25">
        <f t="shared" si="5"/>
        <v>0.43</v>
      </c>
      <c r="H49" s="25">
        <f t="shared" si="3"/>
        <v>1.7199999999999998</v>
      </c>
    </row>
    <row r="50" spans="1:8" ht="15.75">
      <c r="A50" s="23">
        <v>2361</v>
      </c>
      <c r="B50" s="32" t="s">
        <v>26</v>
      </c>
      <c r="C50" s="25">
        <v>2</v>
      </c>
      <c r="D50" s="25">
        <f t="shared" si="1"/>
        <v>2.85</v>
      </c>
      <c r="E50" s="25">
        <f t="shared" si="2"/>
        <v>0.29</v>
      </c>
      <c r="F50" s="25">
        <f t="shared" si="4"/>
        <v>0.29</v>
      </c>
      <c r="G50" s="25">
        <f t="shared" si="5"/>
        <v>0.29</v>
      </c>
      <c r="H50" s="25">
        <f t="shared" si="3"/>
        <v>1.16</v>
      </c>
    </row>
    <row r="51" spans="1:8" ht="15.75" hidden="1">
      <c r="A51" s="22">
        <v>2362</v>
      </c>
      <c r="B51" s="26" t="s">
        <v>27</v>
      </c>
      <c r="C51" s="80"/>
      <c r="D51" s="25">
        <f t="shared" si="1"/>
        <v>0</v>
      </c>
      <c r="E51" s="25">
        <f t="shared" si="2"/>
        <v>0</v>
      </c>
      <c r="F51" s="25">
        <f t="shared" si="4"/>
        <v>0</v>
      </c>
      <c r="G51" s="25">
        <f t="shared" si="5"/>
        <v>0</v>
      </c>
      <c r="H51" s="25">
        <f t="shared" si="3"/>
        <v>0</v>
      </c>
    </row>
    <row r="52" spans="1:8" ht="15.75" hidden="1">
      <c r="A52" s="22">
        <v>2363</v>
      </c>
      <c r="B52" s="26" t="s">
        <v>28</v>
      </c>
      <c r="C52" s="80"/>
      <c r="D52" s="25">
        <f t="shared" si="1"/>
        <v>0</v>
      </c>
      <c r="E52" s="25">
        <f t="shared" si="2"/>
        <v>0</v>
      </c>
      <c r="F52" s="25">
        <f t="shared" si="4"/>
        <v>0</v>
      </c>
      <c r="G52" s="25">
        <f t="shared" si="5"/>
        <v>0</v>
      </c>
      <c r="H52" s="25">
        <f t="shared" si="3"/>
        <v>0</v>
      </c>
    </row>
    <row r="53" spans="1:8" ht="15.75" hidden="1">
      <c r="A53" s="22">
        <v>2370</v>
      </c>
      <c r="B53" s="26" t="s">
        <v>29</v>
      </c>
      <c r="C53" s="80"/>
      <c r="D53" s="25">
        <f t="shared" si="1"/>
        <v>0</v>
      </c>
      <c r="E53" s="25">
        <f t="shared" si="2"/>
        <v>0</v>
      </c>
      <c r="F53" s="25">
        <f t="shared" si="4"/>
        <v>0</v>
      </c>
      <c r="G53" s="25">
        <f t="shared" si="5"/>
        <v>0</v>
      </c>
      <c r="H53" s="25">
        <f t="shared" si="3"/>
        <v>0</v>
      </c>
    </row>
    <row r="54" spans="1:8" ht="15.75" hidden="1">
      <c r="A54" s="22">
        <v>2400</v>
      </c>
      <c r="B54" s="26" t="s">
        <v>43</v>
      </c>
      <c r="C54" s="80">
        <v>0</v>
      </c>
      <c r="D54" s="25">
        <f t="shared" si="1"/>
        <v>0</v>
      </c>
      <c r="E54" s="25">
        <f t="shared" si="2"/>
        <v>0</v>
      </c>
      <c r="F54" s="25">
        <f t="shared" si="4"/>
        <v>0</v>
      </c>
      <c r="G54" s="25">
        <f t="shared" si="5"/>
        <v>0</v>
      </c>
      <c r="H54" s="25">
        <f t="shared" si="3"/>
        <v>0</v>
      </c>
    </row>
    <row r="55" spans="1:8" ht="15.75" hidden="1">
      <c r="A55" s="23">
        <v>2512</v>
      </c>
      <c r="B55" s="32" t="s">
        <v>30</v>
      </c>
      <c r="C55" s="25">
        <v>0</v>
      </c>
      <c r="D55" s="25">
        <f t="shared" si="1"/>
        <v>0</v>
      </c>
      <c r="E55" s="25">
        <f t="shared" si="2"/>
        <v>0</v>
      </c>
      <c r="F55" s="25">
        <f t="shared" si="4"/>
        <v>0</v>
      </c>
      <c r="G55" s="25">
        <f t="shared" si="5"/>
        <v>0</v>
      </c>
      <c r="H55" s="25">
        <f t="shared" si="3"/>
        <v>0</v>
      </c>
    </row>
    <row r="56" spans="1:8" ht="15.75">
      <c r="A56" s="23">
        <v>2513</v>
      </c>
      <c r="B56" s="32" t="s">
        <v>31</v>
      </c>
      <c r="C56" s="25">
        <v>2</v>
      </c>
      <c r="D56" s="25">
        <f t="shared" si="1"/>
        <v>2.85</v>
      </c>
      <c r="E56" s="25">
        <f t="shared" si="2"/>
        <v>0.29</v>
      </c>
      <c r="F56" s="25">
        <f t="shared" si="4"/>
        <v>0.29</v>
      </c>
      <c r="G56" s="25">
        <f t="shared" si="5"/>
        <v>0.29</v>
      </c>
      <c r="H56" s="25">
        <f t="shared" si="3"/>
        <v>1.16</v>
      </c>
    </row>
    <row r="57" spans="1:8" ht="15.75" hidden="1">
      <c r="A57" s="23">
        <v>2515</v>
      </c>
      <c r="B57" s="32" t="s">
        <v>78</v>
      </c>
      <c r="C57" s="25">
        <v>0</v>
      </c>
      <c r="D57" s="25">
        <f t="shared" si="1"/>
        <v>0</v>
      </c>
      <c r="E57" s="25">
        <f t="shared" si="2"/>
        <v>0</v>
      </c>
      <c r="F57" s="25">
        <f>D57/50*20</f>
        <v>0</v>
      </c>
      <c r="G57" s="25">
        <f t="shared" si="5"/>
        <v>0</v>
      </c>
      <c r="H57" s="25">
        <f t="shared" si="3"/>
        <v>0</v>
      </c>
    </row>
    <row r="58" spans="1:8" ht="15.75">
      <c r="A58" s="23">
        <v>2519</v>
      </c>
      <c r="B58" s="32" t="s">
        <v>34</v>
      </c>
      <c r="C58" s="25">
        <v>1</v>
      </c>
      <c r="D58" s="25">
        <f t="shared" si="1"/>
        <v>1.42</v>
      </c>
      <c r="E58" s="25">
        <f t="shared" si="2"/>
        <v>0.14</v>
      </c>
      <c r="F58" s="25">
        <v>0.15</v>
      </c>
      <c r="G58" s="25">
        <f t="shared" si="5"/>
        <v>0.15</v>
      </c>
      <c r="H58" s="25">
        <f t="shared" si="3"/>
        <v>0.6</v>
      </c>
    </row>
    <row r="59" spans="1:8" ht="15.75" hidden="1">
      <c r="A59" s="23">
        <v>6240</v>
      </c>
      <c r="B59" s="32"/>
      <c r="C59" s="25"/>
      <c r="D59" s="25"/>
      <c r="E59" s="25"/>
      <c r="F59" s="25">
        <f aca="true" t="shared" si="6" ref="F59:F65">D59/4570*20</f>
        <v>0</v>
      </c>
      <c r="G59" s="25">
        <f t="shared" si="5"/>
        <v>0</v>
      </c>
      <c r="H59" s="25">
        <f t="shared" si="3"/>
        <v>0</v>
      </c>
    </row>
    <row r="60" spans="1:8" ht="15.75" hidden="1">
      <c r="A60" s="23">
        <v>6290</v>
      </c>
      <c r="B60" s="32"/>
      <c r="C60" s="25"/>
      <c r="D60" s="25"/>
      <c r="E60" s="25"/>
      <c r="F60" s="25">
        <f t="shared" si="6"/>
        <v>0</v>
      </c>
      <c r="G60" s="25">
        <f t="shared" si="5"/>
        <v>0</v>
      </c>
      <c r="H60" s="25">
        <f t="shared" si="3"/>
        <v>0</v>
      </c>
    </row>
    <row r="61" spans="1:8" ht="15.75" hidden="1">
      <c r="A61" s="23">
        <v>5121</v>
      </c>
      <c r="B61" s="32" t="s">
        <v>32</v>
      </c>
      <c r="C61" s="25">
        <v>0</v>
      </c>
      <c r="D61" s="25">
        <v>0</v>
      </c>
      <c r="E61" s="25"/>
      <c r="F61" s="25">
        <f t="shared" si="6"/>
        <v>0</v>
      </c>
      <c r="G61" s="25">
        <f t="shared" si="5"/>
        <v>0</v>
      </c>
      <c r="H61" s="25">
        <f t="shared" si="3"/>
        <v>0</v>
      </c>
    </row>
    <row r="62" spans="1:8" ht="15.75" hidden="1">
      <c r="A62" s="23">
        <v>5232</v>
      </c>
      <c r="B62" s="32" t="s">
        <v>33</v>
      </c>
      <c r="C62" s="25">
        <v>0</v>
      </c>
      <c r="D62" s="25">
        <v>0</v>
      </c>
      <c r="E62" s="25"/>
      <c r="F62" s="25">
        <f t="shared" si="6"/>
        <v>0</v>
      </c>
      <c r="G62" s="25">
        <f t="shared" si="5"/>
        <v>0</v>
      </c>
      <c r="H62" s="25">
        <f t="shared" si="3"/>
        <v>0</v>
      </c>
    </row>
    <row r="63" spans="1:8" ht="15.75" hidden="1">
      <c r="A63" s="23">
        <v>5238</v>
      </c>
      <c r="B63" s="32" t="s">
        <v>35</v>
      </c>
      <c r="C63" s="25">
        <v>0</v>
      </c>
      <c r="D63" s="25">
        <v>0</v>
      </c>
      <c r="E63" s="25"/>
      <c r="F63" s="25">
        <f t="shared" si="6"/>
        <v>0</v>
      </c>
      <c r="G63" s="25">
        <f t="shared" si="5"/>
        <v>0</v>
      </c>
      <c r="H63" s="25">
        <f t="shared" si="3"/>
        <v>0</v>
      </c>
    </row>
    <row r="64" spans="1:8" ht="15.75" hidden="1">
      <c r="A64" s="23">
        <v>5240</v>
      </c>
      <c r="B64" s="32" t="s">
        <v>36</v>
      </c>
      <c r="C64" s="25">
        <v>0</v>
      </c>
      <c r="D64" s="25">
        <v>0</v>
      </c>
      <c r="E64" s="25"/>
      <c r="F64" s="25">
        <f t="shared" si="6"/>
        <v>0</v>
      </c>
      <c r="G64" s="25">
        <f t="shared" si="5"/>
        <v>0</v>
      </c>
      <c r="H64" s="25">
        <f t="shared" si="3"/>
        <v>0</v>
      </c>
    </row>
    <row r="65" spans="1:8" ht="15.75" hidden="1">
      <c r="A65" s="23">
        <v>5250</v>
      </c>
      <c r="B65" s="32" t="s">
        <v>37</v>
      </c>
      <c r="C65" s="25"/>
      <c r="D65" s="25"/>
      <c r="E65" s="25"/>
      <c r="F65" s="25">
        <f t="shared" si="6"/>
        <v>0</v>
      </c>
      <c r="G65" s="25">
        <f t="shared" si="5"/>
        <v>0</v>
      </c>
      <c r="H65" s="25">
        <f t="shared" si="3"/>
        <v>0</v>
      </c>
    </row>
    <row r="66" spans="1:8" ht="15.75">
      <c r="A66" s="29"/>
      <c r="B66" s="48" t="s">
        <v>79</v>
      </c>
      <c r="C66" s="28">
        <f aca="true" t="shared" si="7" ref="C66:H66">SUM(C22:C65)</f>
        <v>103.81</v>
      </c>
      <c r="D66" s="28">
        <f t="shared" si="7"/>
        <v>147.46999999999997</v>
      </c>
      <c r="E66" s="28">
        <f t="shared" si="7"/>
        <v>14.740000000000002</v>
      </c>
      <c r="F66" s="28">
        <f t="shared" si="7"/>
        <v>15.020000000000001</v>
      </c>
      <c r="G66" s="28">
        <f t="shared" si="7"/>
        <v>15.020000000000001</v>
      </c>
      <c r="H66" s="28">
        <f t="shared" si="7"/>
        <v>60.68000000000001</v>
      </c>
    </row>
    <row r="67" spans="1:8" ht="15.75">
      <c r="A67" s="33"/>
      <c r="B67" s="34" t="s">
        <v>80</v>
      </c>
      <c r="C67" s="82">
        <f aca="true" t="shared" si="8" ref="C67:H67">C66+C20</f>
        <v>233.5</v>
      </c>
      <c r="D67" s="82">
        <f t="shared" si="8"/>
        <v>331.99999999999994</v>
      </c>
      <c r="E67" s="82">
        <f t="shared" si="8"/>
        <v>33.2</v>
      </c>
      <c r="F67" s="82">
        <f t="shared" si="8"/>
        <v>34.15</v>
      </c>
      <c r="G67" s="82">
        <f t="shared" si="8"/>
        <v>38.95</v>
      </c>
      <c r="H67" s="82">
        <f t="shared" si="8"/>
        <v>161.60000000000002</v>
      </c>
    </row>
    <row r="68" spans="1:8" ht="15.75">
      <c r="A68" s="9"/>
      <c r="B68" s="14"/>
      <c r="C68" s="35"/>
      <c r="D68" s="35"/>
      <c r="E68" s="35"/>
      <c r="F68" s="35"/>
      <c r="G68" s="35"/>
      <c r="H68" s="35"/>
    </row>
    <row r="69" spans="1:8" ht="15.75">
      <c r="A69" s="212" t="s">
        <v>45</v>
      </c>
      <c r="B69" s="213"/>
      <c r="C69" s="36">
        <v>50</v>
      </c>
      <c r="D69" s="36">
        <v>50</v>
      </c>
      <c r="E69" s="42">
        <v>5</v>
      </c>
      <c r="F69" s="42">
        <v>5</v>
      </c>
      <c r="G69" s="42">
        <v>5</v>
      </c>
      <c r="H69" s="162">
        <v>20</v>
      </c>
    </row>
    <row r="70" spans="1:8" ht="15.75">
      <c r="A70" s="212" t="s">
        <v>54</v>
      </c>
      <c r="B70" s="213"/>
      <c r="C70" s="100">
        <f>C67/C69</f>
        <v>4.67</v>
      </c>
      <c r="D70" s="99">
        <f>ROUND(D67/D69,2)</f>
        <v>6.64</v>
      </c>
      <c r="E70" s="28">
        <f>ROUND(E67/E69,2)</f>
        <v>6.64</v>
      </c>
      <c r="F70" s="28">
        <f>ROUND(F67/F69,2)</f>
        <v>6.83</v>
      </c>
      <c r="G70" s="28">
        <f>ROUND(G67/G69,2)</f>
        <v>7.79</v>
      </c>
      <c r="H70" s="164">
        <f>ROUND(H67/H69,2)</f>
        <v>8.08</v>
      </c>
    </row>
    <row r="71" spans="1:8" ht="15.75">
      <c r="A71" s="14"/>
      <c r="B71" s="11"/>
      <c r="C71" s="11"/>
      <c r="D71" s="11"/>
      <c r="E71" s="11"/>
      <c r="F71" s="100"/>
      <c r="G71" s="100"/>
      <c r="H71" s="100"/>
    </row>
    <row r="72" spans="1:8" ht="15.75">
      <c r="A72" s="212" t="s">
        <v>46</v>
      </c>
      <c r="B72" s="213"/>
      <c r="C72" s="37"/>
      <c r="D72" s="37"/>
      <c r="E72" s="37"/>
      <c r="F72" s="37"/>
      <c r="G72" s="37"/>
      <c r="H72" s="37"/>
    </row>
    <row r="73" spans="1:8" ht="15.75">
      <c r="A73" s="212" t="s">
        <v>56</v>
      </c>
      <c r="B73" s="213"/>
      <c r="C73" s="37"/>
      <c r="D73" s="37"/>
      <c r="E73" s="37"/>
      <c r="F73" s="37"/>
      <c r="G73" s="37"/>
      <c r="H73" s="37"/>
    </row>
    <row r="74" spans="1:8" ht="15.75">
      <c r="A74" s="38"/>
      <c r="B74" s="38"/>
      <c r="C74" s="38"/>
      <c r="D74" s="38"/>
      <c r="E74" s="38"/>
      <c r="F74" s="38"/>
      <c r="G74" s="38"/>
      <c r="H74" s="38"/>
    </row>
    <row r="75" spans="1:8" ht="15.75">
      <c r="A75" s="38" t="s">
        <v>47</v>
      </c>
      <c r="B75" s="38"/>
      <c r="C75" s="38"/>
      <c r="D75" s="38"/>
      <c r="E75" s="38"/>
      <c r="F75" s="38"/>
      <c r="G75" s="38"/>
      <c r="H75" s="38"/>
    </row>
    <row r="76" spans="1:8" ht="15.75">
      <c r="A76" s="38"/>
      <c r="B76" s="38"/>
      <c r="C76" s="38"/>
      <c r="D76" s="38"/>
      <c r="E76" s="38"/>
      <c r="F76" s="38"/>
      <c r="G76" s="38"/>
      <c r="H76" s="38"/>
    </row>
    <row r="77" spans="1:8" ht="15.75">
      <c r="A77" s="38"/>
      <c r="B77" s="39"/>
      <c r="C77" s="38"/>
      <c r="D77" s="38"/>
      <c r="E77" s="38"/>
      <c r="F77" s="38"/>
      <c r="G77" s="38"/>
      <c r="H77" s="38"/>
    </row>
    <row r="78" spans="1:8" ht="15.75">
      <c r="A78" s="38"/>
      <c r="B78" s="40"/>
      <c r="C78" s="38"/>
      <c r="D78" s="38"/>
      <c r="E78" s="38"/>
      <c r="F78" s="38"/>
      <c r="G78" s="38"/>
      <c r="H78" s="38"/>
    </row>
    <row r="79" spans="2:5" ht="15">
      <c r="B79" s="220"/>
      <c r="C79" s="220"/>
      <c r="D79" s="220"/>
      <c r="E79" s="61"/>
    </row>
  </sheetData>
  <sheetProtection/>
  <mergeCells count="12">
    <mergeCell ref="A73:B73"/>
    <mergeCell ref="B79:D79"/>
    <mergeCell ref="B7:D7"/>
    <mergeCell ref="B8:D8"/>
    <mergeCell ref="B9:E9"/>
    <mergeCell ref="A69:B69"/>
    <mergeCell ref="A70:B70"/>
    <mergeCell ref="A72:B72"/>
    <mergeCell ref="A3:H3"/>
    <mergeCell ref="B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view="pageLayout" workbookViewId="0" topLeftCell="A1">
      <selection activeCell="B20" sqref="B20"/>
    </sheetView>
  </sheetViews>
  <sheetFormatPr defaultColWidth="9.140625" defaultRowHeight="12.75"/>
  <cols>
    <col min="1" max="1" width="13.28125" style="4" customWidth="1"/>
    <col min="2" max="2" width="96.140625" style="4" bestFit="1" customWidth="1"/>
    <col min="3" max="3" width="11.8515625" style="4" hidden="1" customWidth="1"/>
    <col min="4" max="4" width="15.7109375" style="4" hidden="1" customWidth="1"/>
    <col min="5" max="7" width="21.57421875" style="4" hidden="1" customWidth="1"/>
    <col min="8" max="8" width="32.57421875" style="4" customWidth="1"/>
  </cols>
  <sheetData>
    <row r="1" spans="2:8" ht="15.75">
      <c r="B1" s="12"/>
      <c r="C1" s="12"/>
      <c r="D1" s="12"/>
      <c r="E1" s="76"/>
      <c r="F1" s="76"/>
      <c r="G1" s="76"/>
      <c r="H1" s="13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25"/>
      <c r="G5" s="85"/>
      <c r="H5" s="85"/>
    </row>
    <row r="6" spans="1:8" ht="15.75">
      <c r="A6" s="195" t="s">
        <v>0</v>
      </c>
      <c r="B6" s="195"/>
      <c r="C6" s="195"/>
      <c r="D6" s="195"/>
      <c r="E6" s="195"/>
      <c r="F6" s="25"/>
      <c r="G6" s="15"/>
      <c r="H6" s="15"/>
    </row>
    <row r="7" spans="1:8" ht="15.75">
      <c r="A7" s="8"/>
      <c r="B7" s="195" t="s">
        <v>44</v>
      </c>
      <c r="C7" s="195"/>
      <c r="D7" s="195"/>
      <c r="E7" s="195"/>
      <c r="F7" s="85"/>
      <c r="G7" s="15"/>
      <c r="H7" s="15"/>
    </row>
    <row r="8" spans="1:8" ht="15.75">
      <c r="A8" s="8"/>
      <c r="B8" s="195" t="s">
        <v>87</v>
      </c>
      <c r="C8" s="195"/>
      <c r="D8" s="195"/>
      <c r="E8" s="195"/>
      <c r="F8" s="15"/>
      <c r="G8" s="85"/>
      <c r="H8" s="85"/>
    </row>
    <row r="9" spans="1:8" ht="15.75">
      <c r="A9" s="8"/>
      <c r="B9" s="8" t="s">
        <v>95</v>
      </c>
      <c r="C9" s="8"/>
      <c r="D9" s="8"/>
      <c r="E9" s="8"/>
      <c r="F9" s="15"/>
      <c r="G9" s="85"/>
      <c r="H9" s="85"/>
    </row>
    <row r="10" spans="1:8" ht="15.75">
      <c r="A10" s="8"/>
      <c r="B10" s="195" t="s">
        <v>248</v>
      </c>
      <c r="C10" s="195"/>
      <c r="D10" s="195"/>
      <c r="E10" s="195"/>
      <c r="F10" s="15"/>
      <c r="G10" s="15"/>
      <c r="H10" s="15"/>
    </row>
    <row r="11" spans="1:8" ht="15.75">
      <c r="A11" s="8" t="s">
        <v>2</v>
      </c>
      <c r="B11" s="8" t="s">
        <v>205</v>
      </c>
      <c r="C11" s="8"/>
      <c r="D11" s="8"/>
      <c r="E11" s="8"/>
      <c r="F11" s="15"/>
      <c r="G11" s="15"/>
      <c r="H11" s="15"/>
    </row>
    <row r="12" spans="1:8" ht="15.75" hidden="1">
      <c r="A12" s="15"/>
      <c r="B12" s="16"/>
      <c r="C12" s="77"/>
      <c r="D12" s="16"/>
      <c r="E12" s="77"/>
      <c r="F12" s="15"/>
      <c r="G12" s="15"/>
      <c r="H12" s="15"/>
    </row>
    <row r="13" spans="1:8" ht="47.25">
      <c r="A13" s="59" t="s">
        <v>3</v>
      </c>
      <c r="B13" s="59" t="s">
        <v>4</v>
      </c>
      <c r="C13" s="59"/>
      <c r="D13" s="59"/>
      <c r="E13" s="59"/>
      <c r="F13" s="59"/>
      <c r="G13" s="59"/>
      <c r="H13" s="59" t="s">
        <v>5</v>
      </c>
    </row>
    <row r="14" spans="1:8" ht="15.75">
      <c r="A14" s="18">
        <v>1</v>
      </c>
      <c r="B14" s="19">
        <v>2</v>
      </c>
      <c r="C14" s="18">
        <v>3</v>
      </c>
      <c r="D14" s="19"/>
      <c r="E14" s="18">
        <v>3</v>
      </c>
      <c r="F14" s="19">
        <v>4</v>
      </c>
      <c r="G14" s="19"/>
      <c r="H14" s="19">
        <v>3</v>
      </c>
    </row>
    <row r="15" spans="1:8" ht="15.75">
      <c r="A15" s="20"/>
      <c r="B15" s="45" t="s">
        <v>71</v>
      </c>
      <c r="C15" s="97"/>
      <c r="D15" s="45"/>
      <c r="E15" s="97"/>
      <c r="F15" s="23"/>
      <c r="G15" s="23"/>
      <c r="H15" s="23"/>
    </row>
    <row r="16" spans="1:8" ht="15.75">
      <c r="A16" s="23">
        <v>1100</v>
      </c>
      <c r="B16" s="23" t="s">
        <v>72</v>
      </c>
      <c r="C16" s="25">
        <v>8714.55</v>
      </c>
      <c r="D16" s="25">
        <f>ROUND(C16/0.702804,2)</f>
        <v>12399.69</v>
      </c>
      <c r="E16" s="25">
        <f>ROUND(D16/4570*230,2)</f>
        <v>624.05</v>
      </c>
      <c r="F16" s="25">
        <v>649.01</v>
      </c>
      <c r="G16" s="25">
        <v>824.24</v>
      </c>
      <c r="H16" s="25">
        <f>G16/230*100+100*0.18</f>
        <v>376.3652173913043</v>
      </c>
    </row>
    <row r="17" spans="1:8" ht="15.75">
      <c r="A17" s="23">
        <v>1200</v>
      </c>
      <c r="B17" s="32" t="s">
        <v>73</v>
      </c>
      <c r="C17" s="47">
        <v>2055.76</v>
      </c>
      <c r="D17" s="25">
        <f>ROUND(C17/0.702804,2)</f>
        <v>2925.08</v>
      </c>
      <c r="E17" s="25">
        <f>ROUND(D17/4570*230,2)</f>
        <v>147.21</v>
      </c>
      <c r="F17" s="25">
        <v>153.1</v>
      </c>
      <c r="G17" s="25">
        <v>198.56</v>
      </c>
      <c r="H17" s="25">
        <f>G17/230*100+100*0.04</f>
        <v>90.3304347826087</v>
      </c>
    </row>
    <row r="18" spans="1:8" ht="15.75">
      <c r="A18" s="31">
        <v>2341</v>
      </c>
      <c r="B18" s="32" t="s">
        <v>23</v>
      </c>
      <c r="C18" s="25">
        <v>190.92</v>
      </c>
      <c r="D18" s="25">
        <f>ROUND(C18/0.702804,2)</f>
        <v>271.65</v>
      </c>
      <c r="E18" s="25">
        <f>ROUND(D18/4570*230,2)</f>
        <v>13.67</v>
      </c>
      <c r="F18" s="25">
        <f>E18</f>
        <v>13.67</v>
      </c>
      <c r="G18" s="25">
        <f>F18</f>
        <v>13.67</v>
      </c>
      <c r="H18" s="25">
        <f>G18/230*100</f>
        <v>5.943478260869566</v>
      </c>
    </row>
    <row r="19" spans="1:8" ht="15.75">
      <c r="A19" s="23">
        <v>2249</v>
      </c>
      <c r="B19" s="32" t="s">
        <v>13</v>
      </c>
      <c r="C19" s="25">
        <v>892.15</v>
      </c>
      <c r="D19" s="25">
        <f>ROUND(C19/0.702804,2)</f>
        <v>1269.42</v>
      </c>
      <c r="E19" s="25">
        <f>ROUND(D19/4570*230,2)</f>
        <v>63.89</v>
      </c>
      <c r="F19" s="25">
        <f>E19</f>
        <v>63.89</v>
      </c>
      <c r="G19" s="25">
        <f>F19</f>
        <v>63.89</v>
      </c>
      <c r="H19" s="25">
        <f>G19/230*100</f>
        <v>27.77826086956522</v>
      </c>
    </row>
    <row r="20" spans="1:8" ht="15.75">
      <c r="A20" s="23"/>
      <c r="B20" s="46" t="s">
        <v>74</v>
      </c>
      <c r="C20" s="28">
        <f aca="true" t="shared" si="0" ref="C20:H20">SUM(C16:C19)</f>
        <v>11853.38</v>
      </c>
      <c r="D20" s="28">
        <f t="shared" si="0"/>
        <v>16865.84</v>
      </c>
      <c r="E20" s="28">
        <f t="shared" si="0"/>
        <v>848.8199999999999</v>
      </c>
      <c r="F20" s="28">
        <f t="shared" si="0"/>
        <v>879.67</v>
      </c>
      <c r="G20" s="28">
        <f t="shared" si="0"/>
        <v>1100.3600000000001</v>
      </c>
      <c r="H20" s="28">
        <f t="shared" si="0"/>
        <v>500.41739130434775</v>
      </c>
    </row>
    <row r="21" spans="1:8" ht="15.75">
      <c r="A21" s="29"/>
      <c r="B21" s="23" t="s">
        <v>75</v>
      </c>
      <c r="C21" s="25"/>
      <c r="D21" s="23"/>
      <c r="E21" s="25"/>
      <c r="F21" s="23"/>
      <c r="G21" s="23"/>
      <c r="H21" s="68"/>
    </row>
    <row r="22" spans="1:8" ht="15.75">
      <c r="A22" s="23">
        <v>1100</v>
      </c>
      <c r="B22" s="23" t="s">
        <v>72</v>
      </c>
      <c r="C22" s="25">
        <v>4801.36</v>
      </c>
      <c r="D22" s="25">
        <f aca="true" t="shared" si="1" ref="D22:D63">ROUND(C22/0.702804,2)</f>
        <v>6831.72</v>
      </c>
      <c r="E22" s="25">
        <f aca="true" t="shared" si="2" ref="E22:E62">ROUND(D22/4570*230,2)</f>
        <v>343.83</v>
      </c>
      <c r="F22" s="25">
        <v>354.14</v>
      </c>
      <c r="G22" s="25">
        <v>352.71</v>
      </c>
      <c r="H22" s="25">
        <f aca="true" t="shared" si="3" ref="H22:H65">G22/230*100</f>
        <v>153.3521739130435</v>
      </c>
    </row>
    <row r="23" spans="1:8" ht="15.75">
      <c r="A23" s="23">
        <v>1200</v>
      </c>
      <c r="B23" s="32" t="s">
        <v>73</v>
      </c>
      <c r="C23" s="47">
        <v>1132.64</v>
      </c>
      <c r="D23" s="25">
        <f t="shared" si="1"/>
        <v>1611.6</v>
      </c>
      <c r="E23" s="25">
        <f t="shared" si="2"/>
        <v>81.11</v>
      </c>
      <c r="F23" s="25">
        <v>83.54</v>
      </c>
      <c r="G23" s="25">
        <v>84.97</v>
      </c>
      <c r="H23" s="25">
        <f t="shared" si="3"/>
        <v>36.94347826086957</v>
      </c>
    </row>
    <row r="24" spans="1:8" ht="15.75" hidden="1">
      <c r="A24" s="23">
        <v>2100</v>
      </c>
      <c r="B24" s="30" t="s">
        <v>42</v>
      </c>
      <c r="C24" s="25"/>
      <c r="D24" s="25">
        <f t="shared" si="1"/>
        <v>0</v>
      </c>
      <c r="E24" s="25">
        <f t="shared" si="2"/>
        <v>0</v>
      </c>
      <c r="F24" s="25">
        <f aca="true" t="shared" si="4" ref="F24:F61">E24</f>
        <v>0</v>
      </c>
      <c r="G24" s="25">
        <f aca="true" t="shared" si="5" ref="G24:G65">F24</f>
        <v>0</v>
      </c>
      <c r="H24" s="25">
        <f t="shared" si="3"/>
        <v>0</v>
      </c>
    </row>
    <row r="25" spans="1:8" ht="15.75">
      <c r="A25" s="31">
        <v>2210</v>
      </c>
      <c r="B25" s="32" t="s">
        <v>38</v>
      </c>
      <c r="C25" s="25">
        <v>58</v>
      </c>
      <c r="D25" s="25">
        <f t="shared" si="1"/>
        <v>82.53</v>
      </c>
      <c r="E25" s="25">
        <f t="shared" si="2"/>
        <v>4.15</v>
      </c>
      <c r="F25" s="25">
        <f t="shared" si="4"/>
        <v>4.15</v>
      </c>
      <c r="G25" s="25">
        <f t="shared" si="5"/>
        <v>4.15</v>
      </c>
      <c r="H25" s="25">
        <f t="shared" si="3"/>
        <v>1.8043478260869568</v>
      </c>
    </row>
    <row r="26" spans="1:8" ht="15.75">
      <c r="A26" s="23">
        <v>2222</v>
      </c>
      <c r="B26" s="32" t="s">
        <v>39</v>
      </c>
      <c r="C26" s="25">
        <v>59</v>
      </c>
      <c r="D26" s="25">
        <f t="shared" si="1"/>
        <v>83.95</v>
      </c>
      <c r="E26" s="25">
        <f t="shared" si="2"/>
        <v>4.23</v>
      </c>
      <c r="F26" s="25">
        <f t="shared" si="4"/>
        <v>4.23</v>
      </c>
      <c r="G26" s="25">
        <f t="shared" si="5"/>
        <v>4.23</v>
      </c>
      <c r="H26" s="25">
        <f t="shared" si="3"/>
        <v>1.8391304347826087</v>
      </c>
    </row>
    <row r="27" spans="1:8" ht="15.75">
      <c r="A27" s="23">
        <v>2223</v>
      </c>
      <c r="B27" s="32" t="s">
        <v>40</v>
      </c>
      <c r="C27" s="25">
        <v>36</v>
      </c>
      <c r="D27" s="25">
        <f t="shared" si="1"/>
        <v>51.22</v>
      </c>
      <c r="E27" s="25">
        <f t="shared" si="2"/>
        <v>2.58</v>
      </c>
      <c r="F27" s="25">
        <f t="shared" si="4"/>
        <v>2.58</v>
      </c>
      <c r="G27" s="25">
        <f t="shared" si="5"/>
        <v>2.58</v>
      </c>
      <c r="H27" s="25">
        <f t="shared" si="3"/>
        <v>1.1217391304347826</v>
      </c>
    </row>
    <row r="28" spans="1:8" ht="15.75">
      <c r="A28" s="23">
        <v>2230</v>
      </c>
      <c r="B28" s="32" t="s">
        <v>41</v>
      </c>
      <c r="C28" s="25">
        <v>37</v>
      </c>
      <c r="D28" s="25">
        <f t="shared" si="1"/>
        <v>52.65</v>
      </c>
      <c r="E28" s="25">
        <f t="shared" si="2"/>
        <v>2.65</v>
      </c>
      <c r="F28" s="25">
        <f t="shared" si="4"/>
        <v>2.65</v>
      </c>
      <c r="G28" s="25">
        <f t="shared" si="5"/>
        <v>2.65</v>
      </c>
      <c r="H28" s="25">
        <f t="shared" si="3"/>
        <v>1.1521739130434783</v>
      </c>
    </row>
    <row r="29" spans="1:8" ht="15.75" hidden="1">
      <c r="A29" s="23">
        <v>2241</v>
      </c>
      <c r="B29" s="32" t="s">
        <v>9</v>
      </c>
      <c r="C29" s="25"/>
      <c r="D29" s="25">
        <f t="shared" si="1"/>
        <v>0</v>
      </c>
      <c r="E29" s="25">
        <f t="shared" si="2"/>
        <v>0</v>
      </c>
      <c r="F29" s="25">
        <f t="shared" si="4"/>
        <v>0</v>
      </c>
      <c r="G29" s="25">
        <f t="shared" si="5"/>
        <v>0</v>
      </c>
      <c r="H29" s="25">
        <f t="shared" si="3"/>
        <v>0</v>
      </c>
    </row>
    <row r="30" spans="1:8" ht="15.75">
      <c r="A30" s="23">
        <v>2242</v>
      </c>
      <c r="B30" s="32" t="s">
        <v>10</v>
      </c>
      <c r="C30" s="25">
        <v>27</v>
      </c>
      <c r="D30" s="25">
        <f t="shared" si="1"/>
        <v>38.42</v>
      </c>
      <c r="E30" s="25">
        <f t="shared" si="2"/>
        <v>1.93</v>
      </c>
      <c r="F30" s="25">
        <f t="shared" si="4"/>
        <v>1.93</v>
      </c>
      <c r="G30" s="25">
        <f t="shared" si="5"/>
        <v>1.93</v>
      </c>
      <c r="H30" s="25">
        <f t="shared" si="3"/>
        <v>0.8391304347826086</v>
      </c>
    </row>
    <row r="31" spans="1:8" ht="15.75">
      <c r="A31" s="23">
        <v>2243</v>
      </c>
      <c r="B31" s="32" t="s">
        <v>11</v>
      </c>
      <c r="C31" s="25">
        <v>91</v>
      </c>
      <c r="D31" s="25">
        <f t="shared" si="1"/>
        <v>129.48</v>
      </c>
      <c r="E31" s="25">
        <f t="shared" si="2"/>
        <v>6.52</v>
      </c>
      <c r="F31" s="25">
        <f t="shared" si="4"/>
        <v>6.52</v>
      </c>
      <c r="G31" s="25">
        <f t="shared" si="5"/>
        <v>6.52</v>
      </c>
      <c r="H31" s="25">
        <f t="shared" si="3"/>
        <v>2.8347826086956522</v>
      </c>
    </row>
    <row r="32" spans="1:8" ht="15.75">
      <c r="A32" s="23">
        <v>2244</v>
      </c>
      <c r="B32" s="32" t="s">
        <v>12</v>
      </c>
      <c r="C32" s="25">
        <v>1340.22</v>
      </c>
      <c r="D32" s="25">
        <f t="shared" si="1"/>
        <v>1906.96</v>
      </c>
      <c r="E32" s="25">
        <f t="shared" si="2"/>
        <v>95.97</v>
      </c>
      <c r="F32" s="25">
        <f t="shared" si="4"/>
        <v>95.97</v>
      </c>
      <c r="G32" s="25">
        <f t="shared" si="5"/>
        <v>95.97</v>
      </c>
      <c r="H32" s="25">
        <f>G32/230*100+100*0.03</f>
        <v>44.72608695652174</v>
      </c>
    </row>
    <row r="33" spans="1:8" ht="15.75">
      <c r="A33" s="23">
        <v>2247</v>
      </c>
      <c r="B33" s="45" t="s">
        <v>76</v>
      </c>
      <c r="C33" s="25">
        <v>7</v>
      </c>
      <c r="D33" s="25">
        <f t="shared" si="1"/>
        <v>9.96</v>
      </c>
      <c r="E33" s="25">
        <f t="shared" si="2"/>
        <v>0.5</v>
      </c>
      <c r="F33" s="25">
        <f t="shared" si="4"/>
        <v>0.5</v>
      </c>
      <c r="G33" s="25">
        <f t="shared" si="5"/>
        <v>0.5</v>
      </c>
      <c r="H33" s="25">
        <f t="shared" si="3"/>
        <v>0.21739130434782608</v>
      </c>
    </row>
    <row r="34" spans="1:8" ht="15.75">
      <c r="A34" s="23">
        <v>2249</v>
      </c>
      <c r="B34" s="32" t="s">
        <v>13</v>
      </c>
      <c r="C34" s="25">
        <v>33</v>
      </c>
      <c r="D34" s="25">
        <f t="shared" si="1"/>
        <v>46.95</v>
      </c>
      <c r="E34" s="25">
        <f t="shared" si="2"/>
        <v>2.36</v>
      </c>
      <c r="F34" s="25">
        <f t="shared" si="4"/>
        <v>2.36</v>
      </c>
      <c r="G34" s="25">
        <f t="shared" si="5"/>
        <v>2.36</v>
      </c>
      <c r="H34" s="25">
        <f t="shared" si="3"/>
        <v>1.026086956521739</v>
      </c>
    </row>
    <row r="35" spans="1:8" ht="15.75">
      <c r="A35" s="23">
        <v>2251</v>
      </c>
      <c r="B35" s="32" t="s">
        <v>77</v>
      </c>
      <c r="C35" s="25">
        <v>100</v>
      </c>
      <c r="D35" s="25">
        <f t="shared" si="1"/>
        <v>142.29</v>
      </c>
      <c r="E35" s="25">
        <f t="shared" si="2"/>
        <v>7.16</v>
      </c>
      <c r="F35" s="25">
        <f t="shared" si="4"/>
        <v>7.16</v>
      </c>
      <c r="G35" s="25">
        <f t="shared" si="5"/>
        <v>7.16</v>
      </c>
      <c r="H35" s="25">
        <f t="shared" si="3"/>
        <v>3.1130434782608694</v>
      </c>
    </row>
    <row r="36" spans="1:8" ht="15.75" hidden="1">
      <c r="A36" s="23">
        <v>2252</v>
      </c>
      <c r="B36" s="32" t="s">
        <v>7</v>
      </c>
      <c r="C36" s="25"/>
      <c r="D36" s="25">
        <f t="shared" si="1"/>
        <v>0</v>
      </c>
      <c r="E36" s="25">
        <f t="shared" si="2"/>
        <v>0</v>
      </c>
      <c r="F36" s="25">
        <f t="shared" si="4"/>
        <v>0</v>
      </c>
      <c r="G36" s="25">
        <f t="shared" si="5"/>
        <v>0</v>
      </c>
      <c r="H36" s="25">
        <f t="shared" si="3"/>
        <v>0</v>
      </c>
    </row>
    <row r="37" spans="1:8" ht="15.75" hidden="1">
      <c r="A37" s="23">
        <v>2259</v>
      </c>
      <c r="B37" s="32" t="s">
        <v>8</v>
      </c>
      <c r="C37" s="25"/>
      <c r="D37" s="25">
        <f t="shared" si="1"/>
        <v>0</v>
      </c>
      <c r="E37" s="25">
        <f t="shared" si="2"/>
        <v>0</v>
      </c>
      <c r="F37" s="25">
        <f t="shared" si="4"/>
        <v>0</v>
      </c>
      <c r="G37" s="25">
        <f t="shared" si="5"/>
        <v>0</v>
      </c>
      <c r="H37" s="25">
        <f t="shared" si="3"/>
        <v>0</v>
      </c>
    </row>
    <row r="38" spans="1:8" ht="15.75">
      <c r="A38" s="23">
        <v>2261</v>
      </c>
      <c r="B38" s="32" t="s">
        <v>14</v>
      </c>
      <c r="C38" s="25">
        <v>18</v>
      </c>
      <c r="D38" s="25">
        <f t="shared" si="1"/>
        <v>25.61</v>
      </c>
      <c r="E38" s="25">
        <f t="shared" si="2"/>
        <v>1.29</v>
      </c>
      <c r="F38" s="25">
        <f t="shared" si="4"/>
        <v>1.29</v>
      </c>
      <c r="G38" s="25">
        <f t="shared" si="5"/>
        <v>1.29</v>
      </c>
      <c r="H38" s="25">
        <f t="shared" si="3"/>
        <v>0.5608695652173913</v>
      </c>
    </row>
    <row r="39" spans="1:8" ht="15.75">
      <c r="A39" s="23">
        <v>2262</v>
      </c>
      <c r="B39" s="32" t="s">
        <v>15</v>
      </c>
      <c r="C39" s="25">
        <v>79</v>
      </c>
      <c r="D39" s="25">
        <f t="shared" si="1"/>
        <v>112.41</v>
      </c>
      <c r="E39" s="25">
        <f t="shared" si="2"/>
        <v>5.66</v>
      </c>
      <c r="F39" s="25">
        <f t="shared" si="4"/>
        <v>5.66</v>
      </c>
      <c r="G39" s="25">
        <f t="shared" si="5"/>
        <v>5.66</v>
      </c>
      <c r="H39" s="25">
        <f t="shared" si="3"/>
        <v>2.4608695652173913</v>
      </c>
    </row>
    <row r="40" spans="1:8" ht="15.75">
      <c r="A40" s="23">
        <v>2263</v>
      </c>
      <c r="B40" s="32" t="s">
        <v>16</v>
      </c>
      <c r="C40" s="25">
        <v>292</v>
      </c>
      <c r="D40" s="25">
        <f t="shared" si="1"/>
        <v>415.48</v>
      </c>
      <c r="E40" s="25">
        <f t="shared" si="2"/>
        <v>20.91</v>
      </c>
      <c r="F40" s="25">
        <f t="shared" si="4"/>
        <v>20.91</v>
      </c>
      <c r="G40" s="25">
        <f t="shared" si="5"/>
        <v>20.91</v>
      </c>
      <c r="H40" s="25">
        <f t="shared" si="3"/>
        <v>9.091304347826087</v>
      </c>
    </row>
    <row r="41" spans="1:8" ht="15.75">
      <c r="A41" s="23">
        <v>2264</v>
      </c>
      <c r="B41" s="32" t="s">
        <v>17</v>
      </c>
      <c r="C41" s="25">
        <v>1</v>
      </c>
      <c r="D41" s="25">
        <f t="shared" si="1"/>
        <v>1.42</v>
      </c>
      <c r="E41" s="25">
        <f t="shared" si="2"/>
        <v>0.07</v>
      </c>
      <c r="F41" s="25">
        <f t="shared" si="4"/>
        <v>0.07</v>
      </c>
      <c r="G41" s="25">
        <f t="shared" si="5"/>
        <v>0.07</v>
      </c>
      <c r="H41" s="25">
        <f t="shared" si="3"/>
        <v>0.030434782608695653</v>
      </c>
    </row>
    <row r="42" spans="1:8" ht="15.75">
      <c r="A42" s="23">
        <v>2279</v>
      </c>
      <c r="B42" s="32" t="s">
        <v>18</v>
      </c>
      <c r="C42" s="25">
        <v>335</v>
      </c>
      <c r="D42" s="25">
        <f t="shared" si="1"/>
        <v>476.66</v>
      </c>
      <c r="E42" s="25">
        <f t="shared" si="2"/>
        <v>23.99</v>
      </c>
      <c r="F42" s="25">
        <f t="shared" si="4"/>
        <v>23.99</v>
      </c>
      <c r="G42" s="25">
        <f t="shared" si="5"/>
        <v>23.99</v>
      </c>
      <c r="H42" s="25">
        <f t="shared" si="3"/>
        <v>10.430434782608696</v>
      </c>
    </row>
    <row r="43" spans="1:8" ht="15.75">
      <c r="A43" s="23">
        <v>2311</v>
      </c>
      <c r="B43" s="32" t="s">
        <v>19</v>
      </c>
      <c r="C43" s="25">
        <v>30</v>
      </c>
      <c r="D43" s="25">
        <f t="shared" si="1"/>
        <v>42.69</v>
      </c>
      <c r="E43" s="25">
        <f t="shared" si="2"/>
        <v>2.15</v>
      </c>
      <c r="F43" s="25">
        <f t="shared" si="4"/>
        <v>2.15</v>
      </c>
      <c r="G43" s="25">
        <f t="shared" si="5"/>
        <v>2.15</v>
      </c>
      <c r="H43" s="25">
        <f t="shared" si="3"/>
        <v>0.9347826086956522</v>
      </c>
    </row>
    <row r="44" spans="1:8" ht="15.75">
      <c r="A44" s="23">
        <v>2312</v>
      </c>
      <c r="B44" s="32" t="s">
        <v>20</v>
      </c>
      <c r="C44" s="25">
        <v>57</v>
      </c>
      <c r="D44" s="25">
        <f t="shared" si="1"/>
        <v>81.1</v>
      </c>
      <c r="E44" s="25">
        <f t="shared" si="2"/>
        <v>4.08</v>
      </c>
      <c r="F44" s="25">
        <f t="shared" si="4"/>
        <v>4.08</v>
      </c>
      <c r="G44" s="25">
        <f t="shared" si="5"/>
        <v>4.08</v>
      </c>
      <c r="H44" s="25">
        <f t="shared" si="3"/>
        <v>1.7739130434782608</v>
      </c>
    </row>
    <row r="45" spans="1:8" ht="15.75">
      <c r="A45" s="23">
        <v>2321</v>
      </c>
      <c r="B45" s="32" t="s">
        <v>21</v>
      </c>
      <c r="C45" s="25">
        <v>106</v>
      </c>
      <c r="D45" s="25">
        <f t="shared" si="1"/>
        <v>150.82</v>
      </c>
      <c r="E45" s="25">
        <f t="shared" si="2"/>
        <v>7.59</v>
      </c>
      <c r="F45" s="25">
        <f t="shared" si="4"/>
        <v>7.59</v>
      </c>
      <c r="G45" s="25">
        <f t="shared" si="5"/>
        <v>7.59</v>
      </c>
      <c r="H45" s="25">
        <f t="shared" si="3"/>
        <v>3.3000000000000003</v>
      </c>
    </row>
    <row r="46" spans="1:8" ht="15.75">
      <c r="A46" s="23">
        <v>2322</v>
      </c>
      <c r="B46" s="32" t="s">
        <v>22</v>
      </c>
      <c r="C46" s="25">
        <v>106</v>
      </c>
      <c r="D46" s="25">
        <f t="shared" si="1"/>
        <v>150.82</v>
      </c>
      <c r="E46" s="25">
        <f t="shared" si="2"/>
        <v>7.59</v>
      </c>
      <c r="F46" s="25">
        <f t="shared" si="4"/>
        <v>7.59</v>
      </c>
      <c r="G46" s="25">
        <f t="shared" si="5"/>
        <v>7.59</v>
      </c>
      <c r="H46" s="25">
        <f t="shared" si="3"/>
        <v>3.3000000000000003</v>
      </c>
    </row>
    <row r="47" spans="1:8" ht="15.75">
      <c r="A47" s="23">
        <v>2341</v>
      </c>
      <c r="B47" s="32" t="s">
        <v>23</v>
      </c>
      <c r="C47" s="25">
        <v>42</v>
      </c>
      <c r="D47" s="25">
        <f t="shared" si="1"/>
        <v>59.76</v>
      </c>
      <c r="E47" s="25">
        <f t="shared" si="2"/>
        <v>3.01</v>
      </c>
      <c r="F47" s="25">
        <f t="shared" si="4"/>
        <v>3.01</v>
      </c>
      <c r="G47" s="25">
        <f t="shared" si="5"/>
        <v>3.01</v>
      </c>
      <c r="H47" s="25">
        <f t="shared" si="3"/>
        <v>1.308695652173913</v>
      </c>
    </row>
    <row r="48" spans="1:8" ht="15.75">
      <c r="A48" s="23">
        <v>2344</v>
      </c>
      <c r="B48" s="32" t="s">
        <v>24</v>
      </c>
      <c r="C48" s="25">
        <v>1</v>
      </c>
      <c r="D48" s="25">
        <f t="shared" si="1"/>
        <v>1.42</v>
      </c>
      <c r="E48" s="25">
        <f t="shared" si="2"/>
        <v>0.07</v>
      </c>
      <c r="F48" s="25">
        <f t="shared" si="4"/>
        <v>0.07</v>
      </c>
      <c r="G48" s="25">
        <f t="shared" si="5"/>
        <v>0.07</v>
      </c>
      <c r="H48" s="25">
        <f t="shared" si="3"/>
        <v>0.030434782608695653</v>
      </c>
    </row>
    <row r="49" spans="1:8" ht="15.75">
      <c r="A49" s="23">
        <v>2350</v>
      </c>
      <c r="B49" s="32" t="s">
        <v>25</v>
      </c>
      <c r="C49" s="25">
        <v>260</v>
      </c>
      <c r="D49" s="25">
        <f t="shared" si="1"/>
        <v>369.95</v>
      </c>
      <c r="E49" s="25">
        <f t="shared" si="2"/>
        <v>18.62</v>
      </c>
      <c r="F49" s="25">
        <f t="shared" si="4"/>
        <v>18.62</v>
      </c>
      <c r="G49" s="25">
        <f t="shared" si="5"/>
        <v>18.62</v>
      </c>
      <c r="H49" s="25">
        <f t="shared" si="3"/>
        <v>8.095652173913043</v>
      </c>
    </row>
    <row r="50" spans="1:8" ht="15.75">
      <c r="A50" s="23">
        <v>2361</v>
      </c>
      <c r="B50" s="32" t="s">
        <v>26</v>
      </c>
      <c r="C50" s="25">
        <v>159</v>
      </c>
      <c r="D50" s="25">
        <f t="shared" si="1"/>
        <v>226.24</v>
      </c>
      <c r="E50" s="25">
        <f t="shared" si="2"/>
        <v>11.39</v>
      </c>
      <c r="F50" s="25">
        <f t="shared" si="4"/>
        <v>11.39</v>
      </c>
      <c r="G50" s="25">
        <f t="shared" si="5"/>
        <v>11.39</v>
      </c>
      <c r="H50" s="25">
        <f t="shared" si="3"/>
        <v>4.952173913043478</v>
      </c>
    </row>
    <row r="51" spans="1:8" ht="15.75" hidden="1">
      <c r="A51" s="23">
        <v>2362</v>
      </c>
      <c r="B51" s="32" t="s">
        <v>27</v>
      </c>
      <c r="C51" s="25"/>
      <c r="D51" s="25">
        <f t="shared" si="1"/>
        <v>0</v>
      </c>
      <c r="E51" s="25">
        <f t="shared" si="2"/>
        <v>0</v>
      </c>
      <c r="F51" s="25">
        <f t="shared" si="4"/>
        <v>0</v>
      </c>
      <c r="G51" s="25">
        <f t="shared" si="5"/>
        <v>0</v>
      </c>
      <c r="H51" s="25">
        <f t="shared" si="3"/>
        <v>0</v>
      </c>
    </row>
    <row r="52" spans="1:8" ht="15.75" hidden="1">
      <c r="A52" s="23">
        <v>2363</v>
      </c>
      <c r="B52" s="32" t="s">
        <v>28</v>
      </c>
      <c r="C52" s="25"/>
      <c r="D52" s="25">
        <f t="shared" si="1"/>
        <v>0</v>
      </c>
      <c r="E52" s="25">
        <f t="shared" si="2"/>
        <v>0</v>
      </c>
      <c r="F52" s="25">
        <f t="shared" si="4"/>
        <v>0</v>
      </c>
      <c r="G52" s="25">
        <f t="shared" si="5"/>
        <v>0</v>
      </c>
      <c r="H52" s="25">
        <f t="shared" si="3"/>
        <v>0</v>
      </c>
    </row>
    <row r="53" spans="1:8" ht="15.75" hidden="1">
      <c r="A53" s="23">
        <v>2370</v>
      </c>
      <c r="B53" s="32" t="s">
        <v>29</v>
      </c>
      <c r="C53" s="25"/>
      <c r="D53" s="25">
        <f t="shared" si="1"/>
        <v>0</v>
      </c>
      <c r="E53" s="25">
        <f t="shared" si="2"/>
        <v>0</v>
      </c>
      <c r="F53" s="25">
        <f t="shared" si="4"/>
        <v>0</v>
      </c>
      <c r="G53" s="25">
        <f t="shared" si="5"/>
        <v>0</v>
      </c>
      <c r="H53" s="25">
        <f t="shared" si="3"/>
        <v>0</v>
      </c>
    </row>
    <row r="54" spans="1:8" ht="15.75">
      <c r="A54" s="23">
        <v>2400</v>
      </c>
      <c r="B54" s="32" t="s">
        <v>43</v>
      </c>
      <c r="C54" s="25">
        <v>12</v>
      </c>
      <c r="D54" s="25">
        <f t="shared" si="1"/>
        <v>17.07</v>
      </c>
      <c r="E54" s="25">
        <f t="shared" si="2"/>
        <v>0.86</v>
      </c>
      <c r="F54" s="25">
        <f t="shared" si="4"/>
        <v>0.86</v>
      </c>
      <c r="G54" s="25">
        <f t="shared" si="5"/>
        <v>0.86</v>
      </c>
      <c r="H54" s="25">
        <f t="shared" si="3"/>
        <v>0.3739130434782609</v>
      </c>
    </row>
    <row r="55" spans="1:8" ht="15.75" hidden="1">
      <c r="A55" s="23">
        <v>2512</v>
      </c>
      <c r="B55" s="32" t="s">
        <v>30</v>
      </c>
      <c r="C55" s="25">
        <v>0</v>
      </c>
      <c r="D55" s="25">
        <f t="shared" si="1"/>
        <v>0</v>
      </c>
      <c r="E55" s="25">
        <f t="shared" si="2"/>
        <v>0</v>
      </c>
      <c r="F55" s="25">
        <f t="shared" si="4"/>
        <v>0</v>
      </c>
      <c r="G55" s="25">
        <f t="shared" si="5"/>
        <v>0</v>
      </c>
      <c r="H55" s="25">
        <f t="shared" si="3"/>
        <v>0</v>
      </c>
    </row>
    <row r="56" spans="1:8" ht="15.75">
      <c r="A56" s="23">
        <v>2513</v>
      </c>
      <c r="B56" s="32" t="s">
        <v>31</v>
      </c>
      <c r="C56" s="25">
        <v>212</v>
      </c>
      <c r="D56" s="25">
        <f t="shared" si="1"/>
        <v>301.65</v>
      </c>
      <c r="E56" s="25">
        <f t="shared" si="2"/>
        <v>15.18</v>
      </c>
      <c r="F56" s="25">
        <f t="shared" si="4"/>
        <v>15.18</v>
      </c>
      <c r="G56" s="25">
        <f t="shared" si="5"/>
        <v>15.18</v>
      </c>
      <c r="H56" s="25">
        <f t="shared" si="3"/>
        <v>6.6000000000000005</v>
      </c>
    </row>
    <row r="57" spans="1:8" ht="15.75">
      <c r="A57" s="23">
        <v>2515</v>
      </c>
      <c r="B57" s="32" t="s">
        <v>78</v>
      </c>
      <c r="C57" s="25">
        <v>8</v>
      </c>
      <c r="D57" s="25">
        <f t="shared" si="1"/>
        <v>11.38</v>
      </c>
      <c r="E57" s="25">
        <f t="shared" si="2"/>
        <v>0.57</v>
      </c>
      <c r="F57" s="25">
        <f t="shared" si="4"/>
        <v>0.57</v>
      </c>
      <c r="G57" s="25">
        <f t="shared" si="5"/>
        <v>0.57</v>
      </c>
      <c r="H57" s="25">
        <f t="shared" si="3"/>
        <v>0.2478260869565217</v>
      </c>
    </row>
    <row r="58" spans="1:8" ht="15.75">
      <c r="A58" s="23">
        <v>2519</v>
      </c>
      <c r="B58" s="32" t="s">
        <v>34</v>
      </c>
      <c r="C58" s="25">
        <v>52</v>
      </c>
      <c r="D58" s="25">
        <f t="shared" si="1"/>
        <v>73.99</v>
      </c>
      <c r="E58" s="25">
        <f t="shared" si="2"/>
        <v>3.72</v>
      </c>
      <c r="F58" s="25">
        <f t="shared" si="4"/>
        <v>3.72</v>
      </c>
      <c r="G58" s="25">
        <f t="shared" si="5"/>
        <v>3.72</v>
      </c>
      <c r="H58" s="25">
        <f t="shared" si="3"/>
        <v>1.617391304347826</v>
      </c>
    </row>
    <row r="59" spans="1:8" ht="15.75" hidden="1">
      <c r="A59" s="23">
        <v>6240</v>
      </c>
      <c r="B59" s="32"/>
      <c r="C59" s="25"/>
      <c r="D59" s="25">
        <f t="shared" si="1"/>
        <v>0</v>
      </c>
      <c r="E59" s="25">
        <f t="shared" si="2"/>
        <v>0</v>
      </c>
      <c r="F59" s="25">
        <f t="shared" si="4"/>
        <v>0</v>
      </c>
      <c r="G59" s="25">
        <f t="shared" si="5"/>
        <v>0</v>
      </c>
      <c r="H59" s="25">
        <f t="shared" si="3"/>
        <v>0</v>
      </c>
    </row>
    <row r="60" spans="1:8" ht="15.75" hidden="1">
      <c r="A60" s="23">
        <v>6290</v>
      </c>
      <c r="B60" s="32"/>
      <c r="C60" s="25"/>
      <c r="D60" s="25">
        <f t="shared" si="1"/>
        <v>0</v>
      </c>
      <c r="E60" s="25">
        <f t="shared" si="2"/>
        <v>0</v>
      </c>
      <c r="F60" s="25">
        <f t="shared" si="4"/>
        <v>0</v>
      </c>
      <c r="G60" s="25">
        <f t="shared" si="5"/>
        <v>0</v>
      </c>
      <c r="H60" s="25">
        <f t="shared" si="3"/>
        <v>0</v>
      </c>
    </row>
    <row r="61" spans="1:8" ht="15.75">
      <c r="A61" s="23">
        <v>5121</v>
      </c>
      <c r="B61" s="32" t="s">
        <v>32</v>
      </c>
      <c r="C61" s="25">
        <v>37</v>
      </c>
      <c r="D61" s="25">
        <f t="shared" si="1"/>
        <v>52.65</v>
      </c>
      <c r="E61" s="25">
        <f t="shared" si="2"/>
        <v>2.65</v>
      </c>
      <c r="F61" s="25">
        <f t="shared" si="4"/>
        <v>2.65</v>
      </c>
      <c r="G61" s="25">
        <f t="shared" si="5"/>
        <v>2.65</v>
      </c>
      <c r="H61" s="25">
        <f t="shared" si="3"/>
        <v>1.1521739130434783</v>
      </c>
    </row>
    <row r="62" spans="1:8" ht="15.75">
      <c r="A62" s="23">
        <v>5232</v>
      </c>
      <c r="B62" s="32" t="s">
        <v>33</v>
      </c>
      <c r="C62" s="25">
        <v>4</v>
      </c>
      <c r="D62" s="25">
        <f t="shared" si="1"/>
        <v>5.69</v>
      </c>
      <c r="E62" s="25">
        <f t="shared" si="2"/>
        <v>0.29</v>
      </c>
      <c r="F62" s="25">
        <v>0.4</v>
      </c>
      <c r="G62" s="25">
        <v>0.51</v>
      </c>
      <c r="H62" s="25">
        <f t="shared" si="3"/>
        <v>0.2217391304347826</v>
      </c>
    </row>
    <row r="63" spans="1:8" ht="15.75" hidden="1">
      <c r="A63" s="23">
        <v>5238</v>
      </c>
      <c r="B63" s="32" t="s">
        <v>35</v>
      </c>
      <c r="C63" s="25">
        <v>0</v>
      </c>
      <c r="D63" s="25">
        <f t="shared" si="1"/>
        <v>0</v>
      </c>
      <c r="E63" s="25">
        <v>0</v>
      </c>
      <c r="F63" s="25">
        <f>E63/4570*20</f>
        <v>0</v>
      </c>
      <c r="G63" s="25">
        <f t="shared" si="5"/>
        <v>0</v>
      </c>
      <c r="H63" s="25">
        <f t="shared" si="3"/>
        <v>0</v>
      </c>
    </row>
    <row r="64" spans="1:8" ht="15.75">
      <c r="A64" s="23">
        <v>5240</v>
      </c>
      <c r="B64" s="32" t="s">
        <v>36</v>
      </c>
      <c r="C64" s="25">
        <v>1</v>
      </c>
      <c r="D64" s="25">
        <v>5.82</v>
      </c>
      <c r="E64" s="25">
        <v>0.3</v>
      </c>
      <c r="F64" s="25">
        <f>E64</f>
        <v>0.3</v>
      </c>
      <c r="G64" s="25">
        <f t="shared" si="5"/>
        <v>0.3</v>
      </c>
      <c r="H64" s="25">
        <f t="shared" si="3"/>
        <v>0.13043478260869565</v>
      </c>
    </row>
    <row r="65" spans="1:8" ht="15.75" hidden="1">
      <c r="A65" s="23">
        <v>5250</v>
      </c>
      <c r="B65" s="32" t="s">
        <v>37</v>
      </c>
      <c r="C65" s="25">
        <v>0</v>
      </c>
      <c r="D65" s="32"/>
      <c r="E65" s="25">
        <v>0</v>
      </c>
      <c r="F65" s="25">
        <f>E65/4570*20</f>
        <v>0</v>
      </c>
      <c r="G65" s="25">
        <f t="shared" si="5"/>
        <v>0</v>
      </c>
      <c r="H65" s="25">
        <f t="shared" si="3"/>
        <v>0</v>
      </c>
    </row>
    <row r="66" spans="1:8" ht="15.75">
      <c r="A66" s="29"/>
      <c r="B66" s="48" t="s">
        <v>79</v>
      </c>
      <c r="C66" s="28">
        <f aca="true" t="shared" si="6" ref="C66:H66">SUM(C22:C65)</f>
        <v>9534.220000000001</v>
      </c>
      <c r="D66" s="28">
        <f t="shared" si="6"/>
        <v>13570.359999999999</v>
      </c>
      <c r="E66" s="28">
        <f t="shared" si="6"/>
        <v>682.9799999999999</v>
      </c>
      <c r="F66" s="28">
        <f t="shared" si="6"/>
        <v>695.8299999999999</v>
      </c>
      <c r="G66" s="28">
        <f t="shared" si="6"/>
        <v>695.9399999999999</v>
      </c>
      <c r="H66" s="28">
        <f t="shared" si="6"/>
        <v>305.5826086956523</v>
      </c>
    </row>
    <row r="67" spans="1:8" ht="15.75">
      <c r="A67" s="29"/>
      <c r="B67" s="48" t="s">
        <v>80</v>
      </c>
      <c r="C67" s="28">
        <f aca="true" t="shared" si="7" ref="C67:H67">C66+C20</f>
        <v>21387.6</v>
      </c>
      <c r="D67" s="28">
        <f t="shared" si="7"/>
        <v>30436.199999999997</v>
      </c>
      <c r="E67" s="28">
        <f t="shared" si="7"/>
        <v>1531.7999999999997</v>
      </c>
      <c r="F67" s="28">
        <f t="shared" si="7"/>
        <v>1575.5</v>
      </c>
      <c r="G67" s="28">
        <f t="shared" si="7"/>
        <v>1796.3000000000002</v>
      </c>
      <c r="H67" s="28">
        <f t="shared" si="7"/>
        <v>806</v>
      </c>
    </row>
    <row r="68" spans="1:8" ht="15.75">
      <c r="A68" s="9"/>
      <c r="B68" s="14"/>
      <c r="C68" s="35"/>
      <c r="D68" s="35"/>
      <c r="E68" s="35"/>
      <c r="F68" s="35"/>
      <c r="G68" s="35"/>
      <c r="H68" s="35"/>
    </row>
    <row r="69" spans="1:8" ht="15.75">
      <c r="A69" s="212" t="s">
        <v>45</v>
      </c>
      <c r="B69" s="213"/>
      <c r="C69" s="36">
        <v>4570</v>
      </c>
      <c r="D69" s="36">
        <v>4570</v>
      </c>
      <c r="E69" s="42">
        <v>230</v>
      </c>
      <c r="F69" s="42">
        <v>230</v>
      </c>
      <c r="G69" s="42">
        <v>230</v>
      </c>
      <c r="H69" s="162">
        <v>100</v>
      </c>
    </row>
    <row r="70" spans="1:8" ht="15.75">
      <c r="A70" s="212" t="s">
        <v>91</v>
      </c>
      <c r="B70" s="213"/>
      <c r="C70" s="100">
        <f>C67/C69</f>
        <v>4.68</v>
      </c>
      <c r="D70" s="99">
        <f>ROUND(D67/D69,2)</f>
        <v>6.66</v>
      </c>
      <c r="E70" s="28">
        <f>ROUND(E67/E69,2)</f>
        <v>6.66</v>
      </c>
      <c r="F70" s="28">
        <f>ROUND(F67/F69,2)</f>
        <v>6.85</v>
      </c>
      <c r="G70" s="28">
        <f>ROUND(G67/G69,2)</f>
        <v>7.81</v>
      </c>
      <c r="H70" s="164">
        <f>ROUND(H67/H69,2)</f>
        <v>8.06</v>
      </c>
    </row>
    <row r="71" spans="1:8" ht="15.75">
      <c r="A71" s="14"/>
      <c r="B71" s="11"/>
      <c r="C71" s="11"/>
      <c r="D71" s="11"/>
      <c r="E71" s="11"/>
      <c r="F71" s="100"/>
      <c r="G71" s="100"/>
      <c r="H71" s="100"/>
    </row>
    <row r="72" spans="1:8" ht="15.75">
      <c r="A72" s="212" t="s">
        <v>46</v>
      </c>
      <c r="B72" s="213"/>
      <c r="C72" s="72"/>
      <c r="D72" s="72"/>
      <c r="E72" s="37"/>
      <c r="F72" s="37"/>
      <c r="G72" s="37"/>
      <c r="H72" s="37"/>
    </row>
    <row r="73" spans="1:8" ht="15.75">
      <c r="A73" s="212" t="s">
        <v>55</v>
      </c>
      <c r="B73" s="213"/>
      <c r="C73" s="72"/>
      <c r="D73" s="72"/>
      <c r="E73" s="37"/>
      <c r="F73" s="37"/>
      <c r="G73" s="37"/>
      <c r="H73" s="37"/>
    </row>
    <row r="74" spans="1:8" ht="15.75">
      <c r="A74" s="38"/>
      <c r="B74" s="38"/>
      <c r="C74" s="38"/>
      <c r="D74" s="38"/>
      <c r="E74" s="38"/>
      <c r="F74" s="38"/>
      <c r="G74" s="38"/>
      <c r="H74" s="38"/>
    </row>
    <row r="75" spans="1:8" ht="15.75">
      <c r="A75" s="38" t="s">
        <v>47</v>
      </c>
      <c r="B75" s="38"/>
      <c r="C75" s="38"/>
      <c r="D75" s="38"/>
      <c r="E75" s="38"/>
      <c r="F75" s="38"/>
      <c r="G75" s="38"/>
      <c r="H75" s="38"/>
    </row>
    <row r="76" spans="1:8" ht="15.75">
      <c r="A76" s="38"/>
      <c r="B76" s="38"/>
      <c r="C76" s="38"/>
      <c r="D76" s="38"/>
      <c r="E76" s="38"/>
      <c r="F76" s="38"/>
      <c r="G76" s="38"/>
      <c r="H76" s="38"/>
    </row>
    <row r="77" spans="1:8" ht="15.75">
      <c r="A77" s="38"/>
      <c r="B77" s="39"/>
      <c r="C77" s="38"/>
      <c r="D77" s="38"/>
      <c r="E77" s="38"/>
      <c r="F77" s="38"/>
      <c r="G77" s="38"/>
      <c r="H77" s="38"/>
    </row>
    <row r="78" spans="1:8" ht="15.75">
      <c r="A78" s="38"/>
      <c r="B78" s="40"/>
      <c r="C78" s="38"/>
      <c r="D78" s="38"/>
      <c r="E78" s="38"/>
      <c r="F78" s="38"/>
      <c r="G78" s="38"/>
      <c r="H78" s="38"/>
    </row>
    <row r="79" spans="2:5" ht="15">
      <c r="B79" s="220"/>
      <c r="C79" s="220"/>
      <c r="D79" s="220"/>
      <c r="E79" s="220"/>
    </row>
  </sheetData>
  <sheetProtection/>
  <mergeCells count="12">
    <mergeCell ref="A73:B73"/>
    <mergeCell ref="B79:E79"/>
    <mergeCell ref="B7:E7"/>
    <mergeCell ref="B8:E8"/>
    <mergeCell ref="B10:E10"/>
    <mergeCell ref="A69:B69"/>
    <mergeCell ref="A70:B70"/>
    <mergeCell ref="A72:B72"/>
    <mergeCell ref="A3:H3"/>
    <mergeCell ref="B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1">
      <selection activeCell="B22" sqref="B22"/>
    </sheetView>
  </sheetViews>
  <sheetFormatPr defaultColWidth="9.140625" defaultRowHeight="12.75"/>
  <cols>
    <col min="1" max="1" width="12.00390625" style="7" customWidth="1"/>
    <col min="2" max="2" width="95.8515625" style="7" customWidth="1"/>
    <col min="3" max="3" width="18.28125" style="7" hidden="1" customWidth="1"/>
    <col min="4" max="4" width="0.42578125" style="7" hidden="1" customWidth="1"/>
    <col min="5" max="5" width="31.57421875" style="15" customWidth="1"/>
  </cols>
  <sheetData>
    <row r="1" spans="1:5" ht="15.75">
      <c r="A1" s="15"/>
      <c r="B1" s="75"/>
      <c r="C1" s="75"/>
      <c r="D1" s="75"/>
      <c r="E1" s="13"/>
    </row>
    <row r="2" spans="1:5" ht="15.75">
      <c r="A2" s="208" t="s">
        <v>6</v>
      </c>
      <c r="B2" s="208"/>
      <c r="C2" s="208"/>
      <c r="D2" s="208"/>
      <c r="E2" s="208"/>
    </row>
    <row r="3" spans="1:5" ht="15.75">
      <c r="A3" s="195" t="s">
        <v>1</v>
      </c>
      <c r="B3" s="195"/>
      <c r="C3" s="8"/>
      <c r="D3" s="8"/>
      <c r="E3" s="14"/>
    </row>
    <row r="4" spans="1:5" ht="15.75">
      <c r="A4" s="195" t="s">
        <v>0</v>
      </c>
      <c r="B4" s="195"/>
      <c r="C4" s="25"/>
      <c r="D4" s="85"/>
      <c r="E4" s="14"/>
    </row>
    <row r="5" spans="1:5" ht="15.75">
      <c r="A5" s="8"/>
      <c r="B5" s="8" t="s">
        <v>44</v>
      </c>
      <c r="C5" s="25"/>
      <c r="D5" s="15"/>
      <c r="E5" s="14"/>
    </row>
    <row r="6" spans="1:5" ht="15.75">
      <c r="A6" s="8"/>
      <c r="B6" s="8" t="s">
        <v>87</v>
      </c>
      <c r="C6" s="85"/>
      <c r="D6" s="85"/>
      <c r="E6" s="14"/>
    </row>
    <row r="7" spans="1:5" ht="15.75">
      <c r="A7" s="8"/>
      <c r="B7" s="8" t="s">
        <v>95</v>
      </c>
      <c r="C7" s="15"/>
      <c r="D7" s="85"/>
      <c r="E7" s="14"/>
    </row>
    <row r="8" spans="1:5" ht="15.75">
      <c r="A8" s="8"/>
      <c r="B8" s="8" t="s">
        <v>249</v>
      </c>
      <c r="C8" s="8"/>
      <c r="D8" s="8"/>
      <c r="E8" s="14"/>
    </row>
    <row r="9" spans="1:5" ht="15.75">
      <c r="A9" s="8" t="s">
        <v>2</v>
      </c>
      <c r="B9" s="8" t="s">
        <v>205</v>
      </c>
      <c r="C9" s="8"/>
      <c r="D9" s="8"/>
      <c r="E9" s="14"/>
    </row>
    <row r="10" spans="1:5" ht="15.75" hidden="1">
      <c r="A10" s="15"/>
      <c r="B10" s="16"/>
      <c r="C10" s="16"/>
      <c r="D10" s="16"/>
      <c r="E10" s="14"/>
    </row>
    <row r="11" spans="1:5" ht="47.25">
      <c r="A11" s="59" t="s">
        <v>3</v>
      </c>
      <c r="B11" s="59" t="s">
        <v>4</v>
      </c>
      <c r="C11" s="59"/>
      <c r="D11" s="59"/>
      <c r="E11" s="59" t="s">
        <v>5</v>
      </c>
    </row>
    <row r="12" spans="1:5" ht="15.75">
      <c r="A12" s="18">
        <v>1</v>
      </c>
      <c r="B12" s="19">
        <v>2</v>
      </c>
      <c r="C12" s="19"/>
      <c r="D12" s="19"/>
      <c r="E12" s="19">
        <v>3</v>
      </c>
    </row>
    <row r="13" spans="1:5" ht="15.75">
      <c r="A13" s="18"/>
      <c r="B13" s="21" t="s">
        <v>68</v>
      </c>
      <c r="C13" s="21"/>
      <c r="D13" s="21"/>
      <c r="E13" s="23"/>
    </row>
    <row r="14" spans="1:5" ht="15.75">
      <c r="A14" s="23">
        <v>1100</v>
      </c>
      <c r="B14" s="24" t="s">
        <v>59</v>
      </c>
      <c r="C14" s="25">
        <v>278.33</v>
      </c>
      <c r="D14" s="25">
        <v>353.48</v>
      </c>
      <c r="E14" s="25">
        <f>D14/100*100+100*0.18</f>
        <v>371.48</v>
      </c>
    </row>
    <row r="15" spans="1:5" ht="16.5" customHeight="1">
      <c r="A15" s="23">
        <v>1200</v>
      </c>
      <c r="B15" s="26" t="s">
        <v>60</v>
      </c>
      <c r="C15" s="25">
        <v>65.66</v>
      </c>
      <c r="D15" s="25">
        <v>85.15</v>
      </c>
      <c r="E15" s="25">
        <f>D15/100*100+100*0.04</f>
        <v>89.15</v>
      </c>
    </row>
    <row r="16" spans="1:5" ht="15.75">
      <c r="A16" s="23">
        <v>2222</v>
      </c>
      <c r="B16" s="26" t="s">
        <v>39</v>
      </c>
      <c r="C16" s="25">
        <v>1.56</v>
      </c>
      <c r="D16" s="25">
        <v>1.56</v>
      </c>
      <c r="E16" s="25">
        <f aca="true" t="shared" si="0" ref="E16:E24">D16/100*100</f>
        <v>1.56</v>
      </c>
    </row>
    <row r="17" spans="1:5" ht="15.75">
      <c r="A17" s="31">
        <v>2341</v>
      </c>
      <c r="B17" s="26" t="s">
        <v>23</v>
      </c>
      <c r="C17" s="25">
        <v>77.37</v>
      </c>
      <c r="D17" s="25">
        <v>77.37</v>
      </c>
      <c r="E17" s="25">
        <f t="shared" si="0"/>
        <v>77.37</v>
      </c>
    </row>
    <row r="18" spans="1:5" ht="15.75">
      <c r="A18" s="23">
        <v>2223</v>
      </c>
      <c r="B18" s="26" t="s">
        <v>40</v>
      </c>
      <c r="C18" s="25">
        <v>6.2</v>
      </c>
      <c r="D18" s="25">
        <v>6.2</v>
      </c>
      <c r="E18" s="25">
        <f t="shared" si="0"/>
        <v>6.2</v>
      </c>
    </row>
    <row r="19" spans="1:5" ht="15.75">
      <c r="A19" s="23">
        <v>2321</v>
      </c>
      <c r="B19" s="26" t="s">
        <v>21</v>
      </c>
      <c r="C19" s="25">
        <v>7.55</v>
      </c>
      <c r="D19" s="25">
        <v>7.55</v>
      </c>
      <c r="E19" s="25">
        <f t="shared" si="0"/>
        <v>7.55</v>
      </c>
    </row>
    <row r="20" spans="1:5" ht="15.75" hidden="1">
      <c r="A20" s="23">
        <v>2243</v>
      </c>
      <c r="B20" s="26" t="s">
        <v>11</v>
      </c>
      <c r="C20" s="25">
        <v>0</v>
      </c>
      <c r="D20" s="25">
        <v>0</v>
      </c>
      <c r="E20" s="25">
        <f t="shared" si="0"/>
        <v>0</v>
      </c>
    </row>
    <row r="21" spans="1:5" ht="15.75">
      <c r="A21" s="23">
        <v>5232</v>
      </c>
      <c r="B21" s="26" t="s">
        <v>33</v>
      </c>
      <c r="C21" s="25">
        <v>7.22</v>
      </c>
      <c r="D21" s="25">
        <v>7.22</v>
      </c>
      <c r="E21" s="25">
        <f t="shared" si="0"/>
        <v>7.22</v>
      </c>
    </row>
    <row r="22" spans="1:5" ht="15.75">
      <c r="A22" s="23">
        <v>2312</v>
      </c>
      <c r="B22" s="26" t="s">
        <v>20</v>
      </c>
      <c r="C22" s="25">
        <v>1.28</v>
      </c>
      <c r="D22" s="25">
        <v>1.28</v>
      </c>
      <c r="E22" s="25">
        <f t="shared" si="0"/>
        <v>1.28</v>
      </c>
    </row>
    <row r="23" spans="1:5" ht="15.75">
      <c r="A23" s="23">
        <v>2311</v>
      </c>
      <c r="B23" s="26" t="s">
        <v>19</v>
      </c>
      <c r="C23" s="25">
        <v>1</v>
      </c>
      <c r="D23" s="25">
        <v>1</v>
      </c>
      <c r="E23" s="25">
        <f t="shared" si="0"/>
        <v>1</v>
      </c>
    </row>
    <row r="24" spans="1:5" ht="15.75">
      <c r="A24" s="23">
        <v>2361</v>
      </c>
      <c r="B24" s="26" t="s">
        <v>96</v>
      </c>
      <c r="C24" s="25">
        <v>1</v>
      </c>
      <c r="D24" s="25">
        <v>1</v>
      </c>
      <c r="E24" s="25">
        <f t="shared" si="0"/>
        <v>1</v>
      </c>
    </row>
    <row r="25" spans="1:5" ht="15.75">
      <c r="A25" s="22"/>
      <c r="B25" s="27" t="s">
        <v>67</v>
      </c>
      <c r="C25" s="28">
        <f>SUM(C14:C24)</f>
        <v>447.17</v>
      </c>
      <c r="D25" s="28">
        <f>SUM(D14:D24)</f>
        <v>541.81</v>
      </c>
      <c r="E25" s="28">
        <f>SUM(E14:E24)</f>
        <v>563.81</v>
      </c>
    </row>
    <row r="26" spans="1:5" ht="15.75">
      <c r="A26" s="29"/>
      <c r="B26" s="24" t="s">
        <v>61</v>
      </c>
      <c r="C26" s="28"/>
      <c r="D26" s="28"/>
      <c r="E26" s="28"/>
    </row>
    <row r="27" spans="1:5" ht="15.75">
      <c r="A27" s="23">
        <v>1100</v>
      </c>
      <c r="B27" s="24" t="s">
        <v>59</v>
      </c>
      <c r="C27" s="25">
        <v>112.75</v>
      </c>
      <c r="D27" s="25">
        <v>112.3</v>
      </c>
      <c r="E27" s="25">
        <f aca="true" t="shared" si="1" ref="E27:E69">D27/100*100</f>
        <v>112.3</v>
      </c>
    </row>
    <row r="28" spans="1:5" ht="15.75" customHeight="1">
      <c r="A28" s="23">
        <v>1200</v>
      </c>
      <c r="B28" s="26" t="s">
        <v>60</v>
      </c>
      <c r="C28" s="25">
        <v>26.6</v>
      </c>
      <c r="D28" s="25">
        <v>27.05</v>
      </c>
      <c r="E28" s="25">
        <f t="shared" si="1"/>
        <v>27.05</v>
      </c>
    </row>
    <row r="29" spans="1:5" ht="15.75">
      <c r="A29" s="31">
        <v>2210</v>
      </c>
      <c r="B29" s="26" t="s">
        <v>38</v>
      </c>
      <c r="C29" s="25">
        <v>0.89</v>
      </c>
      <c r="D29" s="25">
        <v>0.89</v>
      </c>
      <c r="E29" s="25">
        <f t="shared" si="1"/>
        <v>0.89</v>
      </c>
    </row>
    <row r="30" spans="1:5" ht="15.75">
      <c r="A30" s="23">
        <v>2222</v>
      </c>
      <c r="B30" s="26" t="s">
        <v>39</v>
      </c>
      <c r="C30" s="25">
        <v>3.09</v>
      </c>
      <c r="D30" s="25">
        <v>3.09</v>
      </c>
      <c r="E30" s="25">
        <f t="shared" si="1"/>
        <v>3.09</v>
      </c>
    </row>
    <row r="31" spans="1:5" ht="15.75">
      <c r="A31" s="23">
        <v>2223</v>
      </c>
      <c r="B31" s="26" t="s">
        <v>40</v>
      </c>
      <c r="C31" s="25">
        <v>4.56</v>
      </c>
      <c r="D31" s="25">
        <v>4.56</v>
      </c>
      <c r="E31" s="25">
        <f t="shared" si="1"/>
        <v>4.56</v>
      </c>
    </row>
    <row r="32" spans="1:5" ht="15.75">
      <c r="A32" s="23">
        <v>2230</v>
      </c>
      <c r="B32" s="26" t="s">
        <v>41</v>
      </c>
      <c r="C32" s="25">
        <v>2.58</v>
      </c>
      <c r="D32" s="25">
        <v>2.58</v>
      </c>
      <c r="E32" s="25">
        <f t="shared" si="1"/>
        <v>2.58</v>
      </c>
    </row>
    <row r="33" spans="1:5" ht="15.75">
      <c r="A33" s="23">
        <v>2241</v>
      </c>
      <c r="B33" s="26" t="s">
        <v>9</v>
      </c>
      <c r="C33" s="25">
        <v>3.44</v>
      </c>
      <c r="D33" s="25">
        <v>3.44</v>
      </c>
      <c r="E33" s="25">
        <f t="shared" si="1"/>
        <v>3.44</v>
      </c>
    </row>
    <row r="34" spans="1:5" ht="15.75">
      <c r="A34" s="23">
        <v>2242</v>
      </c>
      <c r="B34" s="26" t="s">
        <v>10</v>
      </c>
      <c r="C34" s="25">
        <v>1.41</v>
      </c>
      <c r="D34" s="25">
        <v>1.41</v>
      </c>
      <c r="E34" s="25">
        <f t="shared" si="1"/>
        <v>1.41</v>
      </c>
    </row>
    <row r="35" spans="1:5" ht="15.75">
      <c r="A35" s="23">
        <v>2243</v>
      </c>
      <c r="B35" s="26" t="s">
        <v>11</v>
      </c>
      <c r="C35" s="25">
        <v>3.53</v>
      </c>
      <c r="D35" s="25">
        <v>3.53</v>
      </c>
      <c r="E35" s="25">
        <f t="shared" si="1"/>
        <v>3.53</v>
      </c>
    </row>
    <row r="36" spans="1:5" ht="15.75">
      <c r="A36" s="22">
        <v>2244</v>
      </c>
      <c r="B36" s="26" t="s">
        <v>12</v>
      </c>
      <c r="C36" s="25">
        <v>6.07</v>
      </c>
      <c r="D36" s="25">
        <v>6.07</v>
      </c>
      <c r="E36" s="25">
        <f>D36/100*100+100*0.03</f>
        <v>9.07</v>
      </c>
    </row>
    <row r="37" spans="1:5" ht="15.75">
      <c r="A37" s="22">
        <v>2247</v>
      </c>
      <c r="B37" s="21" t="s">
        <v>62</v>
      </c>
      <c r="C37" s="25">
        <v>1.32</v>
      </c>
      <c r="D37" s="25">
        <v>1.32</v>
      </c>
      <c r="E37" s="25">
        <f t="shared" si="1"/>
        <v>1.32</v>
      </c>
    </row>
    <row r="38" spans="1:5" ht="15.75">
      <c r="A38" s="22">
        <v>2249</v>
      </c>
      <c r="B38" s="26" t="s">
        <v>13</v>
      </c>
      <c r="C38" s="25">
        <v>3.08</v>
      </c>
      <c r="D38" s="25">
        <v>3.08</v>
      </c>
      <c r="E38" s="25">
        <f t="shared" si="1"/>
        <v>3.08</v>
      </c>
    </row>
    <row r="39" spans="1:5" ht="15.75">
      <c r="A39" s="22">
        <v>2251</v>
      </c>
      <c r="B39" s="26" t="s">
        <v>63</v>
      </c>
      <c r="C39" s="25">
        <v>2.07</v>
      </c>
      <c r="D39" s="25">
        <v>2.07</v>
      </c>
      <c r="E39" s="25">
        <f t="shared" si="1"/>
        <v>2.07</v>
      </c>
    </row>
    <row r="40" spans="1:5" ht="15.75" hidden="1">
      <c r="A40" s="22">
        <v>2252</v>
      </c>
      <c r="B40" s="26" t="s">
        <v>7</v>
      </c>
      <c r="C40" s="25"/>
      <c r="D40" s="25"/>
      <c r="E40" s="25">
        <f t="shared" si="1"/>
        <v>0</v>
      </c>
    </row>
    <row r="41" spans="1:5" ht="15.75" hidden="1">
      <c r="A41" s="22">
        <v>2259</v>
      </c>
      <c r="B41" s="26" t="s">
        <v>8</v>
      </c>
      <c r="C41" s="25"/>
      <c r="D41" s="25"/>
      <c r="E41" s="25">
        <f t="shared" si="1"/>
        <v>0</v>
      </c>
    </row>
    <row r="42" spans="1:5" ht="15.75">
      <c r="A42" s="22">
        <v>2261</v>
      </c>
      <c r="B42" s="26" t="s">
        <v>14</v>
      </c>
      <c r="C42" s="25">
        <v>1.44</v>
      </c>
      <c r="D42" s="25">
        <v>1.44</v>
      </c>
      <c r="E42" s="25">
        <f t="shared" si="1"/>
        <v>1.44</v>
      </c>
    </row>
    <row r="43" spans="1:5" ht="15.75">
      <c r="A43" s="22">
        <v>2262</v>
      </c>
      <c r="B43" s="26" t="s">
        <v>15</v>
      </c>
      <c r="C43" s="25">
        <v>1.47</v>
      </c>
      <c r="D43" s="25">
        <v>1.47</v>
      </c>
      <c r="E43" s="25">
        <f t="shared" si="1"/>
        <v>1.47</v>
      </c>
    </row>
    <row r="44" spans="1:5" ht="15.75">
      <c r="A44" s="22">
        <v>2263</v>
      </c>
      <c r="B44" s="26" t="s">
        <v>16</v>
      </c>
      <c r="C44" s="25">
        <v>2.39</v>
      </c>
      <c r="D44" s="25">
        <v>2.39</v>
      </c>
      <c r="E44" s="25">
        <f t="shared" si="1"/>
        <v>2.39</v>
      </c>
    </row>
    <row r="45" spans="1:5" ht="15.75" hidden="1">
      <c r="A45" s="23">
        <v>2264</v>
      </c>
      <c r="B45" s="26" t="s">
        <v>17</v>
      </c>
      <c r="C45" s="25"/>
      <c r="D45" s="25"/>
      <c r="E45" s="25">
        <f t="shared" si="1"/>
        <v>0</v>
      </c>
    </row>
    <row r="46" spans="1:5" ht="15.75">
      <c r="A46" s="23">
        <v>2279</v>
      </c>
      <c r="B46" s="26" t="s">
        <v>18</v>
      </c>
      <c r="C46" s="25">
        <v>1.41</v>
      </c>
      <c r="D46" s="25">
        <v>1.41</v>
      </c>
      <c r="E46" s="25">
        <f t="shared" si="1"/>
        <v>1.41</v>
      </c>
    </row>
    <row r="47" spans="1:5" ht="15.75">
      <c r="A47" s="23">
        <v>2311</v>
      </c>
      <c r="B47" s="26" t="s">
        <v>19</v>
      </c>
      <c r="C47" s="25">
        <v>0.82</v>
      </c>
      <c r="D47" s="25">
        <v>0.82</v>
      </c>
      <c r="E47" s="25">
        <f t="shared" si="1"/>
        <v>0.8199999999999998</v>
      </c>
    </row>
    <row r="48" spans="1:5" ht="15.75">
      <c r="A48" s="23">
        <v>2312</v>
      </c>
      <c r="B48" s="26" t="s">
        <v>20</v>
      </c>
      <c r="C48" s="25">
        <v>1.43</v>
      </c>
      <c r="D48" s="25">
        <v>1.43</v>
      </c>
      <c r="E48" s="25">
        <f t="shared" si="1"/>
        <v>1.43</v>
      </c>
    </row>
    <row r="49" spans="1:5" ht="15.75">
      <c r="A49" s="23">
        <v>2321</v>
      </c>
      <c r="B49" s="26" t="s">
        <v>21</v>
      </c>
      <c r="C49" s="25">
        <v>4.33</v>
      </c>
      <c r="D49" s="25">
        <v>4.33</v>
      </c>
      <c r="E49" s="25">
        <f t="shared" si="1"/>
        <v>4.33</v>
      </c>
    </row>
    <row r="50" spans="1:5" ht="15.75">
      <c r="A50" s="23">
        <v>2322</v>
      </c>
      <c r="B50" s="26" t="s">
        <v>22</v>
      </c>
      <c r="C50" s="25">
        <v>3.26</v>
      </c>
      <c r="D50" s="25">
        <v>3.26</v>
      </c>
      <c r="E50" s="25">
        <f t="shared" si="1"/>
        <v>3.26</v>
      </c>
    </row>
    <row r="51" spans="1:5" ht="15.75">
      <c r="A51" s="23">
        <v>2341</v>
      </c>
      <c r="B51" s="26" t="s">
        <v>23</v>
      </c>
      <c r="C51" s="25">
        <v>1.72</v>
      </c>
      <c r="D51" s="25">
        <v>1.72</v>
      </c>
      <c r="E51" s="25">
        <f t="shared" si="1"/>
        <v>1.72</v>
      </c>
    </row>
    <row r="52" spans="1:5" ht="15.75" hidden="1">
      <c r="A52" s="23">
        <v>2344</v>
      </c>
      <c r="B52" s="26" t="s">
        <v>24</v>
      </c>
      <c r="C52" s="25"/>
      <c r="D52" s="25"/>
      <c r="E52" s="25">
        <f t="shared" si="1"/>
        <v>0</v>
      </c>
    </row>
    <row r="53" spans="1:5" ht="15.75">
      <c r="A53" s="23">
        <v>2350</v>
      </c>
      <c r="B53" s="26" t="s">
        <v>25</v>
      </c>
      <c r="C53" s="25">
        <v>3.21</v>
      </c>
      <c r="D53" s="25">
        <v>3.21</v>
      </c>
      <c r="E53" s="25">
        <f t="shared" si="1"/>
        <v>3.2099999999999995</v>
      </c>
    </row>
    <row r="54" spans="1:5" ht="15.75">
      <c r="A54" s="23">
        <v>2361</v>
      </c>
      <c r="B54" s="26" t="s">
        <v>26</v>
      </c>
      <c r="C54" s="25">
        <v>3.06</v>
      </c>
      <c r="D54" s="25">
        <v>3.06</v>
      </c>
      <c r="E54" s="25">
        <f t="shared" si="1"/>
        <v>3.06</v>
      </c>
    </row>
    <row r="55" spans="1:5" ht="15.75" hidden="1">
      <c r="A55" s="23">
        <v>2362</v>
      </c>
      <c r="B55" s="26" t="s">
        <v>27</v>
      </c>
      <c r="C55" s="25"/>
      <c r="D55" s="25"/>
      <c r="E55" s="25">
        <f t="shared" si="1"/>
        <v>0</v>
      </c>
    </row>
    <row r="56" spans="1:5" ht="15.75" hidden="1">
      <c r="A56" s="23">
        <v>2363</v>
      </c>
      <c r="B56" s="26" t="s">
        <v>28</v>
      </c>
      <c r="C56" s="25"/>
      <c r="D56" s="25"/>
      <c r="E56" s="25">
        <f t="shared" si="1"/>
        <v>0</v>
      </c>
    </row>
    <row r="57" spans="1:5" ht="15.75" hidden="1">
      <c r="A57" s="23">
        <v>2370</v>
      </c>
      <c r="B57" s="26" t="s">
        <v>29</v>
      </c>
      <c r="C57" s="25"/>
      <c r="D57" s="25"/>
      <c r="E57" s="25">
        <f t="shared" si="1"/>
        <v>0</v>
      </c>
    </row>
    <row r="58" spans="1:5" ht="15.75">
      <c r="A58" s="23">
        <v>2400</v>
      </c>
      <c r="B58" s="26" t="s">
        <v>43</v>
      </c>
      <c r="C58" s="25">
        <v>0.6</v>
      </c>
      <c r="D58" s="25">
        <v>0.6</v>
      </c>
      <c r="E58" s="25">
        <f t="shared" si="1"/>
        <v>0.6</v>
      </c>
    </row>
    <row r="59" spans="1:5" ht="15.75" hidden="1">
      <c r="A59" s="23">
        <v>2512</v>
      </c>
      <c r="B59" s="26" t="s">
        <v>30</v>
      </c>
      <c r="C59" s="25"/>
      <c r="D59" s="25"/>
      <c r="E59" s="25">
        <f t="shared" si="1"/>
        <v>0</v>
      </c>
    </row>
    <row r="60" spans="1:5" ht="16.5" customHeight="1">
      <c r="A60" s="23">
        <v>2513</v>
      </c>
      <c r="B60" s="26" t="s">
        <v>31</v>
      </c>
      <c r="C60" s="25">
        <v>3.21</v>
      </c>
      <c r="D60" s="25">
        <v>3.21</v>
      </c>
      <c r="E60" s="25">
        <f t="shared" si="1"/>
        <v>3.2099999999999995</v>
      </c>
    </row>
    <row r="61" spans="1:5" ht="15.75">
      <c r="A61" s="23">
        <v>2515</v>
      </c>
      <c r="B61" s="26" t="s">
        <v>64</v>
      </c>
      <c r="C61" s="25">
        <v>0.87</v>
      </c>
      <c r="D61" s="25">
        <v>0.87</v>
      </c>
      <c r="E61" s="25">
        <f t="shared" si="1"/>
        <v>0.8699999999999999</v>
      </c>
    </row>
    <row r="62" spans="1:5" ht="15.75">
      <c r="A62" s="23">
        <v>2519</v>
      </c>
      <c r="B62" s="26" t="s">
        <v>34</v>
      </c>
      <c r="C62" s="25">
        <v>1.27</v>
      </c>
      <c r="D62" s="25">
        <v>1.27</v>
      </c>
      <c r="E62" s="25">
        <f t="shared" si="1"/>
        <v>1.27</v>
      </c>
    </row>
    <row r="63" spans="1:5" ht="15.75" hidden="1">
      <c r="A63" s="23">
        <v>6240</v>
      </c>
      <c r="B63" s="26"/>
      <c r="C63" s="25"/>
      <c r="D63" s="25"/>
      <c r="E63" s="25">
        <f t="shared" si="1"/>
        <v>0</v>
      </c>
    </row>
    <row r="64" spans="1:5" ht="15.75" hidden="1">
      <c r="A64" s="23">
        <v>6290</v>
      </c>
      <c r="B64" s="26"/>
      <c r="C64" s="25"/>
      <c r="D64" s="25"/>
      <c r="E64" s="25">
        <f t="shared" si="1"/>
        <v>0</v>
      </c>
    </row>
    <row r="65" spans="1:5" ht="15.75">
      <c r="A65" s="23">
        <v>5121</v>
      </c>
      <c r="B65" s="26" t="s">
        <v>32</v>
      </c>
      <c r="C65" s="25">
        <v>0.1</v>
      </c>
      <c r="D65" s="25">
        <v>0.1</v>
      </c>
      <c r="E65" s="25">
        <f t="shared" si="1"/>
        <v>0.1</v>
      </c>
    </row>
    <row r="66" spans="1:5" ht="15.75">
      <c r="A66" s="23">
        <v>5232</v>
      </c>
      <c r="B66" s="26" t="s">
        <v>33</v>
      </c>
      <c r="C66" s="25">
        <v>0.37</v>
      </c>
      <c r="D66" s="25">
        <v>0.73</v>
      </c>
      <c r="E66" s="25">
        <f t="shared" si="1"/>
        <v>0.73</v>
      </c>
    </row>
    <row r="67" spans="1:5" ht="15.75">
      <c r="A67" s="23">
        <v>5238</v>
      </c>
      <c r="B67" s="26" t="s">
        <v>35</v>
      </c>
      <c r="C67" s="25">
        <v>0.19</v>
      </c>
      <c r="D67" s="25">
        <v>0.19</v>
      </c>
      <c r="E67" s="25">
        <f t="shared" si="1"/>
        <v>0.19</v>
      </c>
    </row>
    <row r="68" spans="1:5" ht="15.75">
      <c r="A68" s="23">
        <v>5240</v>
      </c>
      <c r="B68" s="26" t="s">
        <v>36</v>
      </c>
      <c r="C68" s="25">
        <v>0.29</v>
      </c>
      <c r="D68" s="25">
        <v>0.29</v>
      </c>
      <c r="E68" s="25">
        <f t="shared" si="1"/>
        <v>0.29</v>
      </c>
    </row>
    <row r="69" spans="1:5" ht="15.75">
      <c r="A69" s="22">
        <v>5250</v>
      </c>
      <c r="B69" s="26" t="s">
        <v>37</v>
      </c>
      <c r="C69" s="25">
        <v>0</v>
      </c>
      <c r="D69" s="25">
        <v>0</v>
      </c>
      <c r="E69" s="25">
        <f t="shared" si="1"/>
        <v>0</v>
      </c>
    </row>
    <row r="70" spans="1:5" ht="15.75">
      <c r="A70" s="33"/>
      <c r="B70" s="34" t="s">
        <v>65</v>
      </c>
      <c r="C70" s="28">
        <f>SUM(C27:C69)</f>
        <v>202.82999999999998</v>
      </c>
      <c r="D70" s="28">
        <f>SUM(D27:D69)</f>
        <v>203.18999999999997</v>
      </c>
      <c r="E70" s="28">
        <f>SUM(E27:E69)</f>
        <v>206.18999999999997</v>
      </c>
    </row>
    <row r="71" spans="1:5" ht="15.75">
      <c r="A71" s="33"/>
      <c r="B71" s="34" t="s">
        <v>66</v>
      </c>
      <c r="C71" s="28">
        <f>C70+C25</f>
        <v>650</v>
      </c>
      <c r="D71" s="28">
        <f>D70+D25</f>
        <v>744.9999999999999</v>
      </c>
      <c r="E71" s="28">
        <f>E70+E25</f>
        <v>769.9999999999999</v>
      </c>
    </row>
    <row r="72" spans="1:5" ht="15.75">
      <c r="A72" s="9"/>
      <c r="B72" s="14"/>
      <c r="C72" s="62"/>
      <c r="D72" s="62"/>
      <c r="E72" s="62"/>
    </row>
    <row r="73" spans="1:5" ht="15.75">
      <c r="A73" s="212" t="s">
        <v>45</v>
      </c>
      <c r="B73" s="213"/>
      <c r="C73" s="17">
        <v>100</v>
      </c>
      <c r="D73" s="17">
        <v>100</v>
      </c>
      <c r="E73" s="160">
        <v>100</v>
      </c>
    </row>
    <row r="74" spans="1:5" ht="15.75">
      <c r="A74" s="212" t="s">
        <v>54</v>
      </c>
      <c r="B74" s="213"/>
      <c r="C74" s="28">
        <f>ROUND(C71/C73,2)</f>
        <v>6.5</v>
      </c>
      <c r="D74" s="28">
        <f>ROUND(D71/D73,2)</f>
        <v>7.45</v>
      </c>
      <c r="E74" s="164">
        <f>ROUND(E71/E73,2)</f>
        <v>7.7</v>
      </c>
    </row>
    <row r="75" spans="1:5" ht="15.75">
      <c r="A75" s="50"/>
      <c r="B75" s="43"/>
      <c r="C75" s="43"/>
      <c r="D75" s="43"/>
      <c r="E75" s="51"/>
    </row>
    <row r="76" spans="1:5" ht="15.75">
      <c r="A76" s="214" t="s">
        <v>46</v>
      </c>
      <c r="B76" s="215"/>
      <c r="C76" s="73"/>
      <c r="D76" s="73"/>
      <c r="E76" s="44"/>
    </row>
    <row r="77" spans="1:5" ht="15.75">
      <c r="A77" s="214" t="s">
        <v>56</v>
      </c>
      <c r="B77" s="215"/>
      <c r="C77" s="73"/>
      <c r="D77" s="73"/>
      <c r="E77" s="44"/>
    </row>
    <row r="78" spans="1:5" ht="15.75">
      <c r="A78" s="38" t="s">
        <v>47</v>
      </c>
      <c r="B78" s="38"/>
      <c r="C78" s="38"/>
      <c r="D78" s="38"/>
      <c r="E78" s="38"/>
    </row>
    <row r="79" spans="1:5" ht="15.75">
      <c r="A79" s="38"/>
      <c r="B79" s="38"/>
      <c r="C79" s="38"/>
      <c r="D79" s="38"/>
      <c r="E79" s="38"/>
    </row>
    <row r="80" spans="1:5" ht="15.75">
      <c r="A80" s="38"/>
      <c r="B80" s="39"/>
      <c r="C80" s="39"/>
      <c r="D80" s="39"/>
      <c r="E80" s="38"/>
    </row>
    <row r="81" spans="1:5" ht="15.75">
      <c r="A81" s="38"/>
      <c r="B81" s="40"/>
      <c r="C81" s="40"/>
      <c r="D81" s="40"/>
      <c r="E81" s="38"/>
    </row>
    <row r="82" spans="1:5" ht="15.75">
      <c r="A82" s="15"/>
      <c r="B82" s="13"/>
      <c r="C82" s="13"/>
      <c r="D82" s="13"/>
      <c r="E82" s="98"/>
    </row>
  </sheetData>
  <sheetProtection/>
  <mergeCells count="7">
    <mergeCell ref="A74:B74"/>
    <mergeCell ref="A76:B76"/>
    <mergeCell ref="A77:B77"/>
    <mergeCell ref="A2:E2"/>
    <mergeCell ref="A3:B3"/>
    <mergeCell ref="A4:B4"/>
    <mergeCell ref="A73:B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view="pageLayout" workbookViewId="0" topLeftCell="A1">
      <selection activeCell="B18" sqref="B18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4.421875" style="4" hidden="1" customWidth="1"/>
    <col min="4" max="4" width="18.00390625" style="4" hidden="1" customWidth="1"/>
    <col min="5" max="7" width="21.57421875" style="4" hidden="1" customWidth="1"/>
    <col min="8" max="8" width="32.421875" style="4" customWidth="1"/>
  </cols>
  <sheetData>
    <row r="1" spans="2:8" ht="15.75">
      <c r="B1" s="12"/>
      <c r="C1" s="12"/>
      <c r="D1" s="12"/>
      <c r="E1" s="76"/>
      <c r="F1" s="76"/>
      <c r="G1" s="76"/>
      <c r="H1" s="13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15"/>
      <c r="G5" s="15"/>
      <c r="H5" s="15"/>
    </row>
    <row r="6" spans="1:8" ht="15.75">
      <c r="A6" s="195" t="s">
        <v>0</v>
      </c>
      <c r="B6" s="195"/>
      <c r="C6" s="195"/>
      <c r="D6" s="195"/>
      <c r="E6" s="195"/>
      <c r="F6" s="25"/>
      <c r="G6" s="85"/>
      <c r="H6" s="14"/>
    </row>
    <row r="7" spans="1:8" ht="15.75">
      <c r="A7" s="8"/>
      <c r="B7" s="195" t="s">
        <v>44</v>
      </c>
      <c r="C7" s="195"/>
      <c r="D7" s="195"/>
      <c r="E7" s="195"/>
      <c r="F7" s="25"/>
      <c r="G7" s="15"/>
      <c r="H7" s="14"/>
    </row>
    <row r="8" spans="1:8" ht="15.75">
      <c r="A8" s="8"/>
      <c r="B8" s="195" t="s">
        <v>87</v>
      </c>
      <c r="C8" s="195"/>
      <c r="D8" s="195"/>
      <c r="E8" s="195"/>
      <c r="F8" s="85"/>
      <c r="G8" s="85"/>
      <c r="H8" s="15"/>
    </row>
    <row r="9" spans="1:8" ht="15.75">
      <c r="A9" s="8"/>
      <c r="B9" s="195" t="s">
        <v>97</v>
      </c>
      <c r="C9" s="195"/>
      <c r="D9" s="195"/>
      <c r="E9" s="195"/>
      <c r="F9" s="15"/>
      <c r="G9" s="85"/>
      <c r="H9" s="15"/>
    </row>
    <row r="10" spans="1:8" ht="15.75">
      <c r="A10" s="8" t="s">
        <v>2</v>
      </c>
      <c r="B10" s="8" t="s">
        <v>205</v>
      </c>
      <c r="C10" s="8"/>
      <c r="D10" s="8"/>
      <c r="E10" s="8"/>
      <c r="F10" s="15"/>
      <c r="G10" s="15"/>
      <c r="H10" s="15"/>
    </row>
    <row r="11" spans="1:8" ht="15.75" hidden="1">
      <c r="A11" s="15"/>
      <c r="B11" s="16"/>
      <c r="C11" s="77"/>
      <c r="D11" s="16"/>
      <c r="E11" s="77"/>
      <c r="F11" s="15"/>
      <c r="G11" s="15"/>
      <c r="H11" s="15"/>
    </row>
    <row r="12" spans="1:8" ht="47.25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8">
        <v>3</v>
      </c>
      <c r="D13" s="19"/>
      <c r="E13" s="18">
        <v>3</v>
      </c>
      <c r="F13" s="19">
        <v>4</v>
      </c>
      <c r="G13" s="19"/>
      <c r="H13" s="19">
        <v>3</v>
      </c>
    </row>
    <row r="14" spans="1:8" ht="15.75">
      <c r="A14" s="20"/>
      <c r="B14" s="45" t="s">
        <v>71</v>
      </c>
      <c r="C14" s="97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28.6</v>
      </c>
      <c r="D15" s="25">
        <f>ROUND(C15/0.702804,2)</f>
        <v>40.69</v>
      </c>
      <c r="E15" s="25">
        <f>ROUND(D15/20*2,2)</f>
        <v>4.07</v>
      </c>
      <c r="F15" s="25">
        <v>6.35</v>
      </c>
      <c r="G15" s="25">
        <v>8.06</v>
      </c>
      <c r="H15" s="25">
        <f>G15/3*5+5*0.145</f>
        <v>14.158333333333335</v>
      </c>
    </row>
    <row r="16" spans="1:8" ht="15.75">
      <c r="A16" s="23">
        <v>1200</v>
      </c>
      <c r="B16" s="32" t="s">
        <v>73</v>
      </c>
      <c r="C16" s="47">
        <v>6.75</v>
      </c>
      <c r="D16" s="25">
        <f>ROUND(C16/0.702804,2)</f>
        <v>9.6</v>
      </c>
      <c r="E16" s="25">
        <f>ROUND(D16/20*2,2)</f>
        <v>0.96</v>
      </c>
      <c r="F16" s="25">
        <v>1.5</v>
      </c>
      <c r="G16" s="25">
        <v>1.94</v>
      </c>
      <c r="H16" s="25">
        <f>G16/3*5+5*0.035</f>
        <v>3.4083333333333328</v>
      </c>
    </row>
    <row r="17" spans="1:8" ht="15.75">
      <c r="A17" s="31">
        <v>2341</v>
      </c>
      <c r="B17" s="32" t="s">
        <v>23</v>
      </c>
      <c r="C17" s="25">
        <v>0.7</v>
      </c>
      <c r="D17" s="25">
        <f>ROUND(C17/0.702804,2)</f>
        <v>1</v>
      </c>
      <c r="E17" s="25">
        <f>ROUND(D17/20*2,2)</f>
        <v>0.1</v>
      </c>
      <c r="F17" s="25">
        <f>ROUND(D17/20*3,2)</f>
        <v>0.15</v>
      </c>
      <c r="G17" s="25">
        <f>F17</f>
        <v>0.15</v>
      </c>
      <c r="H17" s="25">
        <f>G17/3*5</f>
        <v>0.24999999999999997</v>
      </c>
    </row>
    <row r="18" spans="1:8" ht="15.75">
      <c r="A18" s="23">
        <v>2249</v>
      </c>
      <c r="B18" s="32" t="s">
        <v>13</v>
      </c>
      <c r="C18" s="25">
        <v>3.9</v>
      </c>
      <c r="D18" s="25">
        <f>ROUND(C18/0.702804,2)</f>
        <v>5.55</v>
      </c>
      <c r="E18" s="25">
        <f>ROUND(D18/20*2,2)</f>
        <v>0.56</v>
      </c>
      <c r="F18" s="25">
        <f>ROUND(D18/20*3,2)</f>
        <v>0.83</v>
      </c>
      <c r="G18" s="25">
        <f>F18</f>
        <v>0.83</v>
      </c>
      <c r="H18" s="25">
        <f>G18/3*5</f>
        <v>1.3833333333333333</v>
      </c>
    </row>
    <row r="19" spans="1:8" ht="15.75" hidden="1">
      <c r="A19" s="23"/>
      <c r="B19" s="23"/>
      <c r="C19" s="25"/>
      <c r="D19" s="23"/>
      <c r="E19" s="25"/>
      <c r="F19" s="23"/>
      <c r="G19" s="23"/>
      <c r="H19" s="68"/>
    </row>
    <row r="20" spans="1:8" ht="15.75">
      <c r="A20" s="23"/>
      <c r="B20" s="46" t="s">
        <v>74</v>
      </c>
      <c r="C20" s="28">
        <f aca="true" t="shared" si="0" ref="C20:H20">SUM(C15:C19)</f>
        <v>39.95</v>
      </c>
      <c r="D20" s="28">
        <f t="shared" si="0"/>
        <v>56.839999999999996</v>
      </c>
      <c r="E20" s="28">
        <f t="shared" si="0"/>
        <v>5.6899999999999995</v>
      </c>
      <c r="F20" s="28">
        <f t="shared" si="0"/>
        <v>8.83</v>
      </c>
      <c r="G20" s="28">
        <f t="shared" si="0"/>
        <v>10.98</v>
      </c>
      <c r="H20" s="28">
        <f t="shared" si="0"/>
        <v>19.2</v>
      </c>
    </row>
    <row r="21" spans="1:8" ht="15.75">
      <c r="A21" s="29"/>
      <c r="B21" s="23" t="s">
        <v>75</v>
      </c>
      <c r="C21" s="25"/>
      <c r="D21" s="23"/>
      <c r="E21" s="25"/>
      <c r="F21" s="23"/>
      <c r="G21" s="23"/>
      <c r="H21" s="68"/>
    </row>
    <row r="22" spans="1:8" ht="15.75">
      <c r="A22" s="23">
        <v>1100</v>
      </c>
      <c r="B22" s="23" t="s">
        <v>72</v>
      </c>
      <c r="C22" s="25">
        <v>15.38</v>
      </c>
      <c r="D22" s="25">
        <f aca="true" t="shared" si="1" ref="D22:D55">ROUND(C22/0.702804,2)</f>
        <v>21.88</v>
      </c>
      <c r="E22" s="25">
        <f aca="true" t="shared" si="2" ref="E22:E55">ROUND(D22/20*2,2)</f>
        <v>2.19</v>
      </c>
      <c r="F22" s="25">
        <v>3.38</v>
      </c>
      <c r="G22" s="25">
        <v>3.37</v>
      </c>
      <c r="H22" s="25">
        <f aca="true" t="shared" si="3" ref="H22:H65">G22/3*5</f>
        <v>5.616666666666666</v>
      </c>
    </row>
    <row r="23" spans="1:8" ht="15.75">
      <c r="A23" s="23">
        <v>1200</v>
      </c>
      <c r="B23" s="32" t="s">
        <v>73</v>
      </c>
      <c r="C23" s="47">
        <v>3.63</v>
      </c>
      <c r="D23" s="25">
        <f t="shared" si="1"/>
        <v>5.17</v>
      </c>
      <c r="E23" s="25">
        <f t="shared" si="2"/>
        <v>0.52</v>
      </c>
      <c r="F23" s="25">
        <v>0.8</v>
      </c>
      <c r="G23" s="25">
        <v>0.81</v>
      </c>
      <c r="H23" s="25">
        <f t="shared" si="3"/>
        <v>1.35</v>
      </c>
    </row>
    <row r="24" spans="1:8" ht="15.75" hidden="1">
      <c r="A24" s="23">
        <v>2100</v>
      </c>
      <c r="B24" s="30" t="s">
        <v>42</v>
      </c>
      <c r="C24" s="25"/>
      <c r="D24" s="25">
        <f t="shared" si="1"/>
        <v>0</v>
      </c>
      <c r="E24" s="25">
        <f t="shared" si="2"/>
        <v>0</v>
      </c>
      <c r="F24" s="25">
        <f aca="true" t="shared" si="4" ref="F24:F39">ROUND(D24/20*3,2)</f>
        <v>0</v>
      </c>
      <c r="G24" s="25">
        <f aca="true" t="shared" si="5" ref="G24:G65">F24</f>
        <v>0</v>
      </c>
      <c r="H24" s="25">
        <f t="shared" si="3"/>
        <v>0</v>
      </c>
    </row>
    <row r="25" spans="1:8" ht="15.75" hidden="1">
      <c r="A25" s="31">
        <v>2210</v>
      </c>
      <c r="B25" s="32" t="s">
        <v>38</v>
      </c>
      <c r="C25" s="25">
        <v>0</v>
      </c>
      <c r="D25" s="25">
        <f t="shared" si="1"/>
        <v>0</v>
      </c>
      <c r="E25" s="25">
        <f t="shared" si="2"/>
        <v>0</v>
      </c>
      <c r="F25" s="25">
        <f t="shared" si="4"/>
        <v>0</v>
      </c>
      <c r="G25" s="25">
        <f t="shared" si="5"/>
        <v>0</v>
      </c>
      <c r="H25" s="25">
        <f t="shared" si="3"/>
        <v>0</v>
      </c>
    </row>
    <row r="26" spans="1:8" ht="15.75">
      <c r="A26" s="23">
        <v>2222</v>
      </c>
      <c r="B26" s="32" t="s">
        <v>39</v>
      </c>
      <c r="C26" s="25">
        <v>1</v>
      </c>
      <c r="D26" s="25">
        <f t="shared" si="1"/>
        <v>1.42</v>
      </c>
      <c r="E26" s="25">
        <f t="shared" si="2"/>
        <v>0.14</v>
      </c>
      <c r="F26" s="25">
        <f t="shared" si="4"/>
        <v>0.21</v>
      </c>
      <c r="G26" s="25">
        <f t="shared" si="5"/>
        <v>0.21</v>
      </c>
      <c r="H26" s="25">
        <f t="shared" si="3"/>
        <v>0.35</v>
      </c>
    </row>
    <row r="27" spans="1:8" ht="15.75">
      <c r="A27" s="23">
        <v>2223</v>
      </c>
      <c r="B27" s="32" t="s">
        <v>40</v>
      </c>
      <c r="C27" s="25">
        <v>1</v>
      </c>
      <c r="D27" s="25">
        <f t="shared" si="1"/>
        <v>1.42</v>
      </c>
      <c r="E27" s="25">
        <f t="shared" si="2"/>
        <v>0.14</v>
      </c>
      <c r="F27" s="25">
        <f t="shared" si="4"/>
        <v>0.21</v>
      </c>
      <c r="G27" s="25">
        <f t="shared" si="5"/>
        <v>0.21</v>
      </c>
      <c r="H27" s="25">
        <f t="shared" si="3"/>
        <v>0.35</v>
      </c>
    </row>
    <row r="28" spans="1:8" ht="15.75" hidden="1">
      <c r="A28" s="23">
        <v>2230</v>
      </c>
      <c r="B28" s="32" t="s">
        <v>41</v>
      </c>
      <c r="C28" s="25">
        <v>0</v>
      </c>
      <c r="D28" s="25">
        <f t="shared" si="1"/>
        <v>0</v>
      </c>
      <c r="E28" s="25">
        <f t="shared" si="2"/>
        <v>0</v>
      </c>
      <c r="F28" s="25">
        <f t="shared" si="4"/>
        <v>0</v>
      </c>
      <c r="G28" s="25">
        <f t="shared" si="5"/>
        <v>0</v>
      </c>
      <c r="H28" s="25">
        <f t="shared" si="3"/>
        <v>0</v>
      </c>
    </row>
    <row r="29" spans="1:8" ht="15.75" hidden="1">
      <c r="A29" s="23">
        <v>2241</v>
      </c>
      <c r="B29" s="32" t="s">
        <v>9</v>
      </c>
      <c r="C29" s="25"/>
      <c r="D29" s="25">
        <f t="shared" si="1"/>
        <v>0</v>
      </c>
      <c r="E29" s="25">
        <f t="shared" si="2"/>
        <v>0</v>
      </c>
      <c r="F29" s="25">
        <f t="shared" si="4"/>
        <v>0</v>
      </c>
      <c r="G29" s="25">
        <f t="shared" si="5"/>
        <v>0</v>
      </c>
      <c r="H29" s="25">
        <f t="shared" si="3"/>
        <v>0</v>
      </c>
    </row>
    <row r="30" spans="1:8" ht="15.75" hidden="1">
      <c r="A30" s="23">
        <v>2242</v>
      </c>
      <c r="B30" s="32" t="s">
        <v>10</v>
      </c>
      <c r="C30" s="25">
        <v>0</v>
      </c>
      <c r="D30" s="25">
        <f t="shared" si="1"/>
        <v>0</v>
      </c>
      <c r="E30" s="25">
        <f t="shared" si="2"/>
        <v>0</v>
      </c>
      <c r="F30" s="25">
        <f t="shared" si="4"/>
        <v>0</v>
      </c>
      <c r="G30" s="25">
        <f t="shared" si="5"/>
        <v>0</v>
      </c>
      <c r="H30" s="25">
        <f t="shared" si="3"/>
        <v>0</v>
      </c>
    </row>
    <row r="31" spans="1:8" ht="15.75" hidden="1">
      <c r="A31" s="23">
        <v>2243</v>
      </c>
      <c r="B31" s="32" t="s">
        <v>11</v>
      </c>
      <c r="C31" s="25">
        <v>0</v>
      </c>
      <c r="D31" s="25">
        <f t="shared" si="1"/>
        <v>0</v>
      </c>
      <c r="E31" s="25">
        <f t="shared" si="2"/>
        <v>0</v>
      </c>
      <c r="F31" s="25">
        <f t="shared" si="4"/>
        <v>0</v>
      </c>
      <c r="G31" s="25">
        <f t="shared" si="5"/>
        <v>0</v>
      </c>
      <c r="H31" s="25">
        <f t="shared" si="3"/>
        <v>0</v>
      </c>
    </row>
    <row r="32" spans="1:8" ht="15.75">
      <c r="A32" s="23">
        <v>2244</v>
      </c>
      <c r="B32" s="32" t="s">
        <v>12</v>
      </c>
      <c r="C32" s="25">
        <v>3.05</v>
      </c>
      <c r="D32" s="25">
        <f t="shared" si="1"/>
        <v>4.34</v>
      </c>
      <c r="E32" s="25">
        <v>0.44</v>
      </c>
      <c r="F32" s="25">
        <f t="shared" si="4"/>
        <v>0.65</v>
      </c>
      <c r="G32" s="25">
        <f t="shared" si="5"/>
        <v>0.65</v>
      </c>
      <c r="H32" s="25">
        <f>G32/3*5+5*0.03</f>
        <v>1.2333333333333334</v>
      </c>
    </row>
    <row r="33" spans="1:8" ht="15.75" hidden="1">
      <c r="A33" s="23">
        <v>2247</v>
      </c>
      <c r="B33" s="45" t="s">
        <v>76</v>
      </c>
      <c r="C33" s="25">
        <v>0</v>
      </c>
      <c r="D33" s="25">
        <f t="shared" si="1"/>
        <v>0</v>
      </c>
      <c r="E33" s="25">
        <f t="shared" si="2"/>
        <v>0</v>
      </c>
      <c r="F33" s="25">
        <f t="shared" si="4"/>
        <v>0</v>
      </c>
      <c r="G33" s="25">
        <f t="shared" si="5"/>
        <v>0</v>
      </c>
      <c r="H33" s="25">
        <f t="shared" si="3"/>
        <v>0</v>
      </c>
    </row>
    <row r="34" spans="1:8" ht="15.75">
      <c r="A34" s="23">
        <v>2249</v>
      </c>
      <c r="B34" s="32" t="s">
        <v>13</v>
      </c>
      <c r="C34" s="25">
        <v>1</v>
      </c>
      <c r="D34" s="25">
        <f t="shared" si="1"/>
        <v>1.42</v>
      </c>
      <c r="E34" s="25">
        <f t="shared" si="2"/>
        <v>0.14</v>
      </c>
      <c r="F34" s="25">
        <f t="shared" si="4"/>
        <v>0.21</v>
      </c>
      <c r="G34" s="25">
        <f t="shared" si="5"/>
        <v>0.21</v>
      </c>
      <c r="H34" s="25">
        <f t="shared" si="3"/>
        <v>0.35</v>
      </c>
    </row>
    <row r="35" spans="1:8" ht="15.75">
      <c r="A35" s="23">
        <v>2251</v>
      </c>
      <c r="B35" s="32" t="s">
        <v>77</v>
      </c>
      <c r="C35" s="25">
        <v>1</v>
      </c>
      <c r="D35" s="25">
        <f t="shared" si="1"/>
        <v>1.42</v>
      </c>
      <c r="E35" s="25">
        <f t="shared" si="2"/>
        <v>0.14</v>
      </c>
      <c r="F35" s="25">
        <f t="shared" si="4"/>
        <v>0.21</v>
      </c>
      <c r="G35" s="25">
        <f t="shared" si="5"/>
        <v>0.21</v>
      </c>
      <c r="H35" s="25">
        <f t="shared" si="3"/>
        <v>0.35</v>
      </c>
    </row>
    <row r="36" spans="1:8" ht="15.75" hidden="1">
      <c r="A36" s="23">
        <v>2252</v>
      </c>
      <c r="B36" s="32" t="s">
        <v>7</v>
      </c>
      <c r="C36" s="25">
        <v>0</v>
      </c>
      <c r="D36" s="25">
        <f t="shared" si="1"/>
        <v>0</v>
      </c>
      <c r="E36" s="25">
        <f t="shared" si="2"/>
        <v>0</v>
      </c>
      <c r="F36" s="25">
        <f t="shared" si="4"/>
        <v>0</v>
      </c>
      <c r="G36" s="25">
        <f t="shared" si="5"/>
        <v>0</v>
      </c>
      <c r="H36" s="25">
        <f t="shared" si="3"/>
        <v>0</v>
      </c>
    </row>
    <row r="37" spans="1:8" ht="15.75" hidden="1">
      <c r="A37" s="23">
        <v>2259</v>
      </c>
      <c r="B37" s="32" t="s">
        <v>8</v>
      </c>
      <c r="C37" s="25">
        <v>0</v>
      </c>
      <c r="D37" s="25">
        <f t="shared" si="1"/>
        <v>0</v>
      </c>
      <c r="E37" s="25">
        <f t="shared" si="2"/>
        <v>0</v>
      </c>
      <c r="F37" s="25">
        <f t="shared" si="4"/>
        <v>0</v>
      </c>
      <c r="G37" s="25">
        <f t="shared" si="5"/>
        <v>0</v>
      </c>
      <c r="H37" s="25">
        <f t="shared" si="3"/>
        <v>0</v>
      </c>
    </row>
    <row r="38" spans="1:8" ht="15.75" hidden="1">
      <c r="A38" s="23">
        <v>2261</v>
      </c>
      <c r="B38" s="32" t="s">
        <v>14</v>
      </c>
      <c r="C38" s="25">
        <v>0</v>
      </c>
      <c r="D38" s="25">
        <f t="shared" si="1"/>
        <v>0</v>
      </c>
      <c r="E38" s="25">
        <f t="shared" si="2"/>
        <v>0</v>
      </c>
      <c r="F38" s="25">
        <f t="shared" si="4"/>
        <v>0</v>
      </c>
      <c r="G38" s="25">
        <f t="shared" si="5"/>
        <v>0</v>
      </c>
      <c r="H38" s="25">
        <f t="shared" si="3"/>
        <v>0</v>
      </c>
    </row>
    <row r="39" spans="1:8" ht="15.75" hidden="1">
      <c r="A39" s="23">
        <v>2262</v>
      </c>
      <c r="B39" s="32" t="s">
        <v>15</v>
      </c>
      <c r="C39" s="25">
        <v>0</v>
      </c>
      <c r="D39" s="25">
        <f t="shared" si="1"/>
        <v>0</v>
      </c>
      <c r="E39" s="25">
        <f t="shared" si="2"/>
        <v>0</v>
      </c>
      <c r="F39" s="25">
        <f t="shared" si="4"/>
        <v>0</v>
      </c>
      <c r="G39" s="25">
        <f t="shared" si="5"/>
        <v>0</v>
      </c>
      <c r="H39" s="25">
        <f t="shared" si="3"/>
        <v>0</v>
      </c>
    </row>
    <row r="40" spans="1:8" ht="15.75">
      <c r="A40" s="23">
        <v>2263</v>
      </c>
      <c r="B40" s="32" t="s">
        <v>16</v>
      </c>
      <c r="C40" s="25">
        <v>1</v>
      </c>
      <c r="D40" s="25">
        <f t="shared" si="1"/>
        <v>1.42</v>
      </c>
      <c r="E40" s="25">
        <f t="shared" si="2"/>
        <v>0.14</v>
      </c>
      <c r="F40" s="25">
        <v>0.2</v>
      </c>
      <c r="G40" s="25">
        <f t="shared" si="5"/>
        <v>0.2</v>
      </c>
      <c r="H40" s="25">
        <f t="shared" si="3"/>
        <v>0.3333333333333333</v>
      </c>
    </row>
    <row r="41" spans="1:8" ht="15.75" hidden="1">
      <c r="A41" s="23">
        <v>2264</v>
      </c>
      <c r="B41" s="32" t="s">
        <v>17</v>
      </c>
      <c r="C41" s="25">
        <v>0</v>
      </c>
      <c r="D41" s="25">
        <f t="shared" si="1"/>
        <v>0</v>
      </c>
      <c r="E41" s="25">
        <f t="shared" si="2"/>
        <v>0</v>
      </c>
      <c r="F41" s="25">
        <f aca="true" t="shared" si="6" ref="F41:F55">ROUND(D41/20*3,2)</f>
        <v>0</v>
      </c>
      <c r="G41" s="25">
        <f t="shared" si="5"/>
        <v>0</v>
      </c>
      <c r="H41" s="25">
        <f t="shared" si="3"/>
        <v>0</v>
      </c>
    </row>
    <row r="42" spans="1:8" ht="15.75">
      <c r="A42" s="23">
        <v>2279</v>
      </c>
      <c r="B42" s="32" t="s">
        <v>18</v>
      </c>
      <c r="C42" s="25">
        <v>1</v>
      </c>
      <c r="D42" s="25">
        <f t="shared" si="1"/>
        <v>1.42</v>
      </c>
      <c r="E42" s="25">
        <f t="shared" si="2"/>
        <v>0.14</v>
      </c>
      <c r="F42" s="25">
        <f t="shared" si="6"/>
        <v>0.21</v>
      </c>
      <c r="G42" s="25">
        <f t="shared" si="5"/>
        <v>0.21</v>
      </c>
      <c r="H42" s="25">
        <f t="shared" si="3"/>
        <v>0.35</v>
      </c>
    </row>
    <row r="43" spans="1:8" ht="15.75" hidden="1">
      <c r="A43" s="23">
        <v>2311</v>
      </c>
      <c r="B43" s="32" t="s">
        <v>19</v>
      </c>
      <c r="C43" s="25">
        <v>0</v>
      </c>
      <c r="D43" s="25">
        <f t="shared" si="1"/>
        <v>0</v>
      </c>
      <c r="E43" s="25">
        <f t="shared" si="2"/>
        <v>0</v>
      </c>
      <c r="F43" s="25">
        <f t="shared" si="6"/>
        <v>0</v>
      </c>
      <c r="G43" s="25">
        <f t="shared" si="5"/>
        <v>0</v>
      </c>
      <c r="H43" s="25">
        <f t="shared" si="3"/>
        <v>0</v>
      </c>
    </row>
    <row r="44" spans="1:8" ht="15.75" hidden="1">
      <c r="A44" s="23">
        <v>2312</v>
      </c>
      <c r="B44" s="32" t="s">
        <v>20</v>
      </c>
      <c r="C44" s="25">
        <v>0</v>
      </c>
      <c r="D44" s="25">
        <f t="shared" si="1"/>
        <v>0</v>
      </c>
      <c r="E44" s="25">
        <f t="shared" si="2"/>
        <v>0</v>
      </c>
      <c r="F44" s="25">
        <f t="shared" si="6"/>
        <v>0</v>
      </c>
      <c r="G44" s="25">
        <f t="shared" si="5"/>
        <v>0</v>
      </c>
      <c r="H44" s="25">
        <f t="shared" si="3"/>
        <v>0</v>
      </c>
    </row>
    <row r="45" spans="1:8" ht="15.75">
      <c r="A45" s="23">
        <v>2321</v>
      </c>
      <c r="B45" s="32" t="s">
        <v>21</v>
      </c>
      <c r="C45" s="25">
        <v>1</v>
      </c>
      <c r="D45" s="25">
        <f t="shared" si="1"/>
        <v>1.42</v>
      </c>
      <c r="E45" s="25">
        <f t="shared" si="2"/>
        <v>0.14</v>
      </c>
      <c r="F45" s="25">
        <f t="shared" si="6"/>
        <v>0.21</v>
      </c>
      <c r="G45" s="25">
        <f t="shared" si="5"/>
        <v>0.21</v>
      </c>
      <c r="H45" s="25">
        <f t="shared" si="3"/>
        <v>0.35</v>
      </c>
    </row>
    <row r="46" spans="1:8" ht="15.75" hidden="1">
      <c r="A46" s="23">
        <v>2322</v>
      </c>
      <c r="B46" s="32" t="s">
        <v>22</v>
      </c>
      <c r="C46" s="25">
        <v>0</v>
      </c>
      <c r="D46" s="25">
        <f t="shared" si="1"/>
        <v>0</v>
      </c>
      <c r="E46" s="25">
        <f t="shared" si="2"/>
        <v>0</v>
      </c>
      <c r="F46" s="25">
        <f t="shared" si="6"/>
        <v>0</v>
      </c>
      <c r="G46" s="25">
        <f t="shared" si="5"/>
        <v>0</v>
      </c>
      <c r="H46" s="25">
        <f t="shared" si="3"/>
        <v>0</v>
      </c>
    </row>
    <row r="47" spans="1:8" ht="15.75" hidden="1">
      <c r="A47" s="23">
        <v>2341</v>
      </c>
      <c r="B47" s="32" t="s">
        <v>23</v>
      </c>
      <c r="C47" s="25">
        <v>0</v>
      </c>
      <c r="D47" s="25">
        <f t="shared" si="1"/>
        <v>0</v>
      </c>
      <c r="E47" s="25">
        <f t="shared" si="2"/>
        <v>0</v>
      </c>
      <c r="F47" s="25">
        <f t="shared" si="6"/>
        <v>0</v>
      </c>
      <c r="G47" s="25">
        <f t="shared" si="5"/>
        <v>0</v>
      </c>
      <c r="H47" s="25">
        <f t="shared" si="3"/>
        <v>0</v>
      </c>
    </row>
    <row r="48" spans="1:8" ht="15.75" hidden="1">
      <c r="A48" s="23">
        <v>2344</v>
      </c>
      <c r="B48" s="32" t="s">
        <v>24</v>
      </c>
      <c r="C48" s="25">
        <v>0</v>
      </c>
      <c r="D48" s="25">
        <f t="shared" si="1"/>
        <v>0</v>
      </c>
      <c r="E48" s="25">
        <f t="shared" si="2"/>
        <v>0</v>
      </c>
      <c r="F48" s="25">
        <f t="shared" si="6"/>
        <v>0</v>
      </c>
      <c r="G48" s="25">
        <f t="shared" si="5"/>
        <v>0</v>
      </c>
      <c r="H48" s="25">
        <f t="shared" si="3"/>
        <v>0</v>
      </c>
    </row>
    <row r="49" spans="1:8" ht="15.75">
      <c r="A49" s="23">
        <v>2350</v>
      </c>
      <c r="B49" s="32" t="s">
        <v>25</v>
      </c>
      <c r="C49" s="25">
        <v>1</v>
      </c>
      <c r="D49" s="25">
        <f t="shared" si="1"/>
        <v>1.42</v>
      </c>
      <c r="E49" s="25">
        <f t="shared" si="2"/>
        <v>0.14</v>
      </c>
      <c r="F49" s="25">
        <f t="shared" si="6"/>
        <v>0.21</v>
      </c>
      <c r="G49" s="25">
        <f t="shared" si="5"/>
        <v>0.21</v>
      </c>
      <c r="H49" s="25">
        <f t="shared" si="3"/>
        <v>0.35</v>
      </c>
    </row>
    <row r="50" spans="1:8" ht="15.75">
      <c r="A50" s="23">
        <v>2361</v>
      </c>
      <c r="B50" s="32" t="s">
        <v>26</v>
      </c>
      <c r="C50" s="25">
        <v>1</v>
      </c>
      <c r="D50" s="25">
        <v>1.41</v>
      </c>
      <c r="E50" s="25">
        <f t="shared" si="2"/>
        <v>0.14</v>
      </c>
      <c r="F50" s="25">
        <f t="shared" si="6"/>
        <v>0.21</v>
      </c>
      <c r="G50" s="25">
        <f t="shared" si="5"/>
        <v>0.21</v>
      </c>
      <c r="H50" s="25">
        <f t="shared" si="3"/>
        <v>0.35</v>
      </c>
    </row>
    <row r="51" spans="1:8" ht="15.75" hidden="1">
      <c r="A51" s="23">
        <v>2362</v>
      </c>
      <c r="B51" s="32" t="s">
        <v>27</v>
      </c>
      <c r="C51" s="25">
        <v>0</v>
      </c>
      <c r="D51" s="25">
        <f t="shared" si="1"/>
        <v>0</v>
      </c>
      <c r="E51" s="25">
        <f t="shared" si="2"/>
        <v>0</v>
      </c>
      <c r="F51" s="25">
        <f t="shared" si="6"/>
        <v>0</v>
      </c>
      <c r="G51" s="25">
        <f t="shared" si="5"/>
        <v>0</v>
      </c>
      <c r="H51" s="25">
        <f t="shared" si="3"/>
        <v>0</v>
      </c>
    </row>
    <row r="52" spans="1:8" ht="15.75" hidden="1">
      <c r="A52" s="23">
        <v>2363</v>
      </c>
      <c r="B52" s="32" t="s">
        <v>28</v>
      </c>
      <c r="C52" s="25">
        <v>0</v>
      </c>
      <c r="D52" s="25">
        <f t="shared" si="1"/>
        <v>0</v>
      </c>
      <c r="E52" s="25">
        <f t="shared" si="2"/>
        <v>0</v>
      </c>
      <c r="F52" s="25">
        <f t="shared" si="6"/>
        <v>0</v>
      </c>
      <c r="G52" s="25">
        <f t="shared" si="5"/>
        <v>0</v>
      </c>
      <c r="H52" s="25">
        <f t="shared" si="3"/>
        <v>0</v>
      </c>
    </row>
    <row r="53" spans="1:8" ht="15.75" hidden="1">
      <c r="A53" s="23">
        <v>2370</v>
      </c>
      <c r="B53" s="32" t="s">
        <v>29</v>
      </c>
      <c r="C53" s="25">
        <v>0</v>
      </c>
      <c r="D53" s="25">
        <f t="shared" si="1"/>
        <v>0</v>
      </c>
      <c r="E53" s="25">
        <f t="shared" si="2"/>
        <v>0</v>
      </c>
      <c r="F53" s="25">
        <f t="shared" si="6"/>
        <v>0</v>
      </c>
      <c r="G53" s="25">
        <f t="shared" si="5"/>
        <v>0</v>
      </c>
      <c r="H53" s="25">
        <f t="shared" si="3"/>
        <v>0</v>
      </c>
    </row>
    <row r="54" spans="1:8" ht="15.75" hidden="1">
      <c r="A54" s="23">
        <v>2400</v>
      </c>
      <c r="B54" s="32" t="s">
        <v>43</v>
      </c>
      <c r="C54" s="25">
        <v>0</v>
      </c>
      <c r="D54" s="25">
        <f t="shared" si="1"/>
        <v>0</v>
      </c>
      <c r="E54" s="25">
        <f t="shared" si="2"/>
        <v>0</v>
      </c>
      <c r="F54" s="25">
        <f t="shared" si="6"/>
        <v>0</v>
      </c>
      <c r="G54" s="25">
        <f t="shared" si="5"/>
        <v>0</v>
      </c>
      <c r="H54" s="25">
        <f t="shared" si="3"/>
        <v>0</v>
      </c>
    </row>
    <row r="55" spans="1:8" ht="15.75" hidden="1">
      <c r="A55" s="23">
        <v>2512</v>
      </c>
      <c r="B55" s="32" t="s">
        <v>30</v>
      </c>
      <c r="C55" s="25">
        <v>0</v>
      </c>
      <c r="D55" s="25">
        <f t="shared" si="1"/>
        <v>0</v>
      </c>
      <c r="E55" s="25">
        <f t="shared" si="2"/>
        <v>0</v>
      </c>
      <c r="F55" s="25">
        <f t="shared" si="6"/>
        <v>0</v>
      </c>
      <c r="G55" s="25">
        <f t="shared" si="5"/>
        <v>0</v>
      </c>
      <c r="H55" s="25">
        <f t="shared" si="3"/>
        <v>0</v>
      </c>
    </row>
    <row r="56" spans="1:8" ht="15.75" hidden="1">
      <c r="A56" s="23">
        <v>2513</v>
      </c>
      <c r="B56" s="32" t="s">
        <v>31</v>
      </c>
      <c r="C56" s="25">
        <v>0</v>
      </c>
      <c r="D56" s="32"/>
      <c r="E56" s="25">
        <v>0</v>
      </c>
      <c r="F56" s="25">
        <f>E56/50*20</f>
        <v>0</v>
      </c>
      <c r="G56" s="25">
        <f t="shared" si="5"/>
        <v>0</v>
      </c>
      <c r="H56" s="25">
        <f t="shared" si="3"/>
        <v>0</v>
      </c>
    </row>
    <row r="57" spans="1:8" ht="15.75" hidden="1">
      <c r="A57" s="23">
        <v>2515</v>
      </c>
      <c r="B57" s="32" t="s">
        <v>78</v>
      </c>
      <c r="C57" s="25">
        <v>0</v>
      </c>
      <c r="D57" s="32"/>
      <c r="E57" s="25">
        <v>0</v>
      </c>
      <c r="F57" s="25">
        <f>E57/50*20</f>
        <v>0</v>
      </c>
      <c r="G57" s="25">
        <f t="shared" si="5"/>
        <v>0</v>
      </c>
      <c r="H57" s="25">
        <f t="shared" si="3"/>
        <v>0</v>
      </c>
    </row>
    <row r="58" spans="1:8" ht="15.75" hidden="1">
      <c r="A58" s="23">
        <v>2519</v>
      </c>
      <c r="B58" s="32" t="s">
        <v>34</v>
      </c>
      <c r="C58" s="25">
        <v>0</v>
      </c>
      <c r="D58" s="32"/>
      <c r="E58" s="25">
        <v>0</v>
      </c>
      <c r="F58" s="25">
        <f>E58/50*20</f>
        <v>0</v>
      </c>
      <c r="G58" s="25">
        <f t="shared" si="5"/>
        <v>0</v>
      </c>
      <c r="H58" s="25">
        <f t="shared" si="3"/>
        <v>0</v>
      </c>
    </row>
    <row r="59" spans="1:8" ht="15.75" hidden="1">
      <c r="A59" s="23">
        <v>6240</v>
      </c>
      <c r="B59" s="32"/>
      <c r="C59" s="25">
        <v>0</v>
      </c>
      <c r="D59" s="32"/>
      <c r="E59" s="25">
        <v>0</v>
      </c>
      <c r="F59" s="25">
        <f aca="true" t="shared" si="7" ref="F59:F65">E59/4570*20</f>
        <v>0</v>
      </c>
      <c r="G59" s="25">
        <f t="shared" si="5"/>
        <v>0</v>
      </c>
      <c r="H59" s="25">
        <f t="shared" si="3"/>
        <v>0</v>
      </c>
    </row>
    <row r="60" spans="1:8" ht="15.75" hidden="1">
      <c r="A60" s="23">
        <v>6290</v>
      </c>
      <c r="B60" s="32"/>
      <c r="C60" s="25">
        <v>0</v>
      </c>
      <c r="D60" s="32"/>
      <c r="E60" s="25">
        <v>0</v>
      </c>
      <c r="F60" s="25">
        <f t="shared" si="7"/>
        <v>0</v>
      </c>
      <c r="G60" s="25">
        <f t="shared" si="5"/>
        <v>0</v>
      </c>
      <c r="H60" s="25">
        <f t="shared" si="3"/>
        <v>0</v>
      </c>
    </row>
    <row r="61" spans="1:8" ht="15.75" hidden="1">
      <c r="A61" s="23">
        <v>5121</v>
      </c>
      <c r="B61" s="32" t="s">
        <v>32</v>
      </c>
      <c r="C61" s="25">
        <v>0</v>
      </c>
      <c r="D61" s="32"/>
      <c r="E61" s="25">
        <v>0</v>
      </c>
      <c r="F61" s="25">
        <f t="shared" si="7"/>
        <v>0</v>
      </c>
      <c r="G61" s="25">
        <f t="shared" si="5"/>
        <v>0</v>
      </c>
      <c r="H61" s="25">
        <f t="shared" si="3"/>
        <v>0</v>
      </c>
    </row>
    <row r="62" spans="1:8" ht="15.75">
      <c r="A62" s="23">
        <v>5232</v>
      </c>
      <c r="B62" s="32" t="s">
        <v>33</v>
      </c>
      <c r="C62" s="25">
        <v>0</v>
      </c>
      <c r="D62" s="32"/>
      <c r="E62" s="25">
        <v>0</v>
      </c>
      <c r="F62" s="25">
        <f t="shared" si="7"/>
        <v>0</v>
      </c>
      <c r="G62" s="25">
        <v>0.01</v>
      </c>
      <c r="H62" s="25">
        <f t="shared" si="3"/>
        <v>0.016666666666666666</v>
      </c>
    </row>
    <row r="63" spans="1:8" ht="15.75" hidden="1">
      <c r="A63" s="23">
        <v>5238</v>
      </c>
      <c r="B63" s="32" t="s">
        <v>35</v>
      </c>
      <c r="C63" s="25">
        <v>0</v>
      </c>
      <c r="D63" s="32"/>
      <c r="E63" s="25">
        <v>0</v>
      </c>
      <c r="F63" s="25">
        <f t="shared" si="7"/>
        <v>0</v>
      </c>
      <c r="G63" s="25">
        <f t="shared" si="5"/>
        <v>0</v>
      </c>
      <c r="H63" s="25">
        <f t="shared" si="3"/>
        <v>0</v>
      </c>
    </row>
    <row r="64" spans="1:8" ht="15.75" hidden="1">
      <c r="A64" s="23">
        <v>5240</v>
      </c>
      <c r="B64" s="32" t="s">
        <v>36</v>
      </c>
      <c r="C64" s="25">
        <v>0</v>
      </c>
      <c r="D64" s="32"/>
      <c r="E64" s="25">
        <v>0</v>
      </c>
      <c r="F64" s="25">
        <f t="shared" si="7"/>
        <v>0</v>
      </c>
      <c r="G64" s="25">
        <f t="shared" si="5"/>
        <v>0</v>
      </c>
      <c r="H64" s="25">
        <f t="shared" si="3"/>
        <v>0</v>
      </c>
    </row>
    <row r="65" spans="1:8" ht="15.75" hidden="1">
      <c r="A65" s="23">
        <v>5250</v>
      </c>
      <c r="B65" s="32" t="s">
        <v>37</v>
      </c>
      <c r="C65" s="25">
        <v>0</v>
      </c>
      <c r="D65" s="32"/>
      <c r="E65" s="25">
        <v>0</v>
      </c>
      <c r="F65" s="25">
        <f t="shared" si="7"/>
        <v>0</v>
      </c>
      <c r="G65" s="25">
        <f t="shared" si="5"/>
        <v>0</v>
      </c>
      <c r="H65" s="25">
        <f t="shared" si="3"/>
        <v>0</v>
      </c>
    </row>
    <row r="66" spans="1:8" ht="15.75">
      <c r="A66" s="29"/>
      <c r="B66" s="48" t="s">
        <v>79</v>
      </c>
      <c r="C66" s="28">
        <f aca="true" t="shared" si="8" ref="C66:H66">SUM(C22:C65)</f>
        <v>31.060000000000002</v>
      </c>
      <c r="D66" s="28">
        <f t="shared" si="8"/>
        <v>44.16000000000001</v>
      </c>
      <c r="E66" s="28">
        <f t="shared" si="8"/>
        <v>4.41</v>
      </c>
      <c r="F66" s="28">
        <f t="shared" si="8"/>
        <v>6.71</v>
      </c>
      <c r="G66" s="28">
        <f t="shared" si="8"/>
        <v>6.72</v>
      </c>
      <c r="H66" s="28">
        <f t="shared" si="8"/>
        <v>11.349999999999998</v>
      </c>
    </row>
    <row r="67" spans="1:8" ht="15.75">
      <c r="A67" s="29"/>
      <c r="B67" s="48" t="s">
        <v>80</v>
      </c>
      <c r="C67" s="28">
        <f aca="true" t="shared" si="9" ref="C67:H67">C66+C20</f>
        <v>71.01</v>
      </c>
      <c r="D67" s="28">
        <f t="shared" si="9"/>
        <v>101</v>
      </c>
      <c r="E67" s="28">
        <f t="shared" si="9"/>
        <v>10.1</v>
      </c>
      <c r="F67" s="28">
        <f t="shared" si="9"/>
        <v>15.54</v>
      </c>
      <c r="G67" s="28">
        <f t="shared" si="9"/>
        <v>17.7</v>
      </c>
      <c r="H67" s="28">
        <f t="shared" si="9"/>
        <v>30.549999999999997</v>
      </c>
    </row>
    <row r="68" spans="1:8" ht="15.75">
      <c r="A68" s="9"/>
      <c r="B68" s="14"/>
      <c r="C68" s="35"/>
      <c r="D68" s="35"/>
      <c r="E68" s="35"/>
      <c r="F68" s="35"/>
      <c r="G68" s="35"/>
      <c r="H68" s="35"/>
    </row>
    <row r="69" spans="1:8" ht="15.75">
      <c r="A69" s="212" t="s">
        <v>45</v>
      </c>
      <c r="B69" s="213"/>
      <c r="C69" s="36">
        <v>20</v>
      </c>
      <c r="D69" s="36">
        <v>20</v>
      </c>
      <c r="E69" s="17">
        <v>2</v>
      </c>
      <c r="F69" s="17">
        <v>3</v>
      </c>
      <c r="G69" s="17">
        <v>3</v>
      </c>
      <c r="H69" s="160">
        <v>5</v>
      </c>
    </row>
    <row r="70" spans="1:8" ht="15.75">
      <c r="A70" s="212" t="s">
        <v>54</v>
      </c>
      <c r="B70" s="213"/>
      <c r="C70" s="100">
        <f>C67/C69</f>
        <v>3.5505000000000004</v>
      </c>
      <c r="D70" s="99">
        <f>ROUND(D67/D69,2)</f>
        <v>5.05</v>
      </c>
      <c r="E70" s="82">
        <f>ROUND(E67/E69,2)</f>
        <v>5.05</v>
      </c>
      <c r="F70" s="82">
        <f>ROUND(F67/F69,2)</f>
        <v>5.18</v>
      </c>
      <c r="G70" s="82">
        <f>ROUND(G67/G69,2)</f>
        <v>5.9</v>
      </c>
      <c r="H70" s="161">
        <f>ROUND(H67/H69,2)</f>
        <v>6.11</v>
      </c>
    </row>
    <row r="71" spans="1:8" ht="15.75">
      <c r="A71" s="14"/>
      <c r="B71" s="11"/>
      <c r="C71" s="11"/>
      <c r="D71" s="11"/>
      <c r="E71" s="11"/>
      <c r="F71" s="100"/>
      <c r="G71" s="100"/>
      <c r="H71" s="100"/>
    </row>
    <row r="72" spans="1:8" ht="15.75">
      <c r="A72" s="212" t="s">
        <v>46</v>
      </c>
      <c r="B72" s="213"/>
      <c r="C72" s="37"/>
      <c r="D72" s="72"/>
      <c r="E72" s="37"/>
      <c r="F72" s="37"/>
      <c r="G72" s="37"/>
      <c r="H72" s="37"/>
    </row>
    <row r="73" spans="1:8" ht="15.75">
      <c r="A73" s="212" t="s">
        <v>55</v>
      </c>
      <c r="B73" s="213"/>
      <c r="C73" s="72"/>
      <c r="D73" s="72"/>
      <c r="E73" s="37"/>
      <c r="F73" s="37"/>
      <c r="G73" s="37"/>
      <c r="H73" s="37"/>
    </row>
    <row r="74" spans="1:8" ht="15.75">
      <c r="A74" s="38"/>
      <c r="B74" s="38"/>
      <c r="C74" s="38"/>
      <c r="D74" s="38"/>
      <c r="E74" s="38"/>
      <c r="F74" s="38"/>
      <c r="G74" s="38"/>
      <c r="H74" s="38"/>
    </row>
    <row r="75" spans="1:8" ht="15.75">
      <c r="A75" s="38" t="s">
        <v>47</v>
      </c>
      <c r="B75" s="38"/>
      <c r="C75" s="38"/>
      <c r="D75" s="38"/>
      <c r="E75" s="38"/>
      <c r="F75" s="38"/>
      <c r="G75" s="38"/>
      <c r="H75" s="38"/>
    </row>
    <row r="76" spans="1:8" ht="15.75">
      <c r="A76" s="38"/>
      <c r="B76" s="38"/>
      <c r="C76" s="38"/>
      <c r="D76" s="38"/>
      <c r="E76" s="38"/>
      <c r="F76" s="38"/>
      <c r="G76" s="38"/>
      <c r="H76" s="38"/>
    </row>
    <row r="77" spans="1:8" ht="15.75">
      <c r="A77" s="38"/>
      <c r="B77" s="39"/>
      <c r="C77" s="39"/>
      <c r="D77" s="39"/>
      <c r="E77" s="39"/>
      <c r="F77" s="38"/>
      <c r="G77" s="38"/>
      <c r="H77" s="38"/>
    </row>
    <row r="78" spans="1:8" ht="15.75">
      <c r="A78" s="38"/>
      <c r="B78" s="101"/>
      <c r="C78" s="101"/>
      <c r="D78" s="101"/>
      <c r="E78" s="39"/>
      <c r="F78" s="38"/>
      <c r="G78" s="38"/>
      <c r="H78" s="38"/>
    </row>
    <row r="79" spans="2:5" ht="15">
      <c r="B79" s="232"/>
      <c r="C79" s="232"/>
      <c r="D79" s="232"/>
      <c r="E79" s="232"/>
    </row>
    <row r="80" spans="2:5" ht="15">
      <c r="B80" s="232"/>
      <c r="C80" s="232"/>
      <c r="D80" s="232"/>
      <c r="E80" s="232"/>
    </row>
    <row r="81" spans="2:5" ht="15">
      <c r="B81" s="2"/>
      <c r="C81" s="2"/>
      <c r="D81" s="2"/>
      <c r="E81" s="2"/>
    </row>
    <row r="82" spans="2:5" ht="15">
      <c r="B82" s="2"/>
      <c r="C82" s="2"/>
      <c r="D82" s="2"/>
      <c r="E82" s="2"/>
    </row>
    <row r="83" spans="2:5" ht="15">
      <c r="B83" s="2"/>
      <c r="C83" s="2"/>
      <c r="D83" s="2"/>
      <c r="E83" s="2"/>
    </row>
    <row r="84" spans="2:5" ht="15">
      <c r="B84" s="2"/>
      <c r="C84" s="2"/>
      <c r="D84" s="2"/>
      <c r="E84" s="2"/>
    </row>
    <row r="85" spans="2:5" ht="15">
      <c r="B85" s="2"/>
      <c r="C85" s="2"/>
      <c r="D85" s="2"/>
      <c r="E85" s="2"/>
    </row>
    <row r="86" spans="2:5" ht="15">
      <c r="B86" s="2"/>
      <c r="C86" s="2"/>
      <c r="D86" s="2"/>
      <c r="E86" s="2"/>
    </row>
    <row r="87" spans="2:5" ht="15">
      <c r="B87" s="2"/>
      <c r="C87" s="2"/>
      <c r="D87" s="2"/>
      <c r="E87" s="2"/>
    </row>
    <row r="88" spans="2:5" ht="15">
      <c r="B88" s="2"/>
      <c r="C88" s="2"/>
      <c r="D88" s="2"/>
      <c r="E88" s="2"/>
    </row>
    <row r="89" spans="2:5" ht="15">
      <c r="B89" s="2"/>
      <c r="C89" s="2"/>
      <c r="D89" s="2"/>
      <c r="E89" s="2"/>
    </row>
  </sheetData>
  <sheetProtection/>
  <mergeCells count="13">
    <mergeCell ref="A73:B73"/>
    <mergeCell ref="B79:E79"/>
    <mergeCell ref="B80:E80"/>
    <mergeCell ref="B7:E7"/>
    <mergeCell ref="B8:E8"/>
    <mergeCell ref="B9:E9"/>
    <mergeCell ref="A69:B69"/>
    <mergeCell ref="A70:B70"/>
    <mergeCell ref="A72:B72"/>
    <mergeCell ref="A3:H3"/>
    <mergeCell ref="B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view="pageLayout" workbookViewId="0" topLeftCell="A1">
      <selection activeCell="B8" sqref="B8:E8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3.57421875" style="4" hidden="1" customWidth="1"/>
    <col min="4" max="4" width="12.00390625" style="4" hidden="1" customWidth="1"/>
    <col min="5" max="7" width="21.57421875" style="4" hidden="1" customWidth="1"/>
    <col min="8" max="8" width="33.140625" style="4" customWidth="1"/>
  </cols>
  <sheetData>
    <row r="1" spans="2:8" ht="15.75">
      <c r="B1" s="12"/>
      <c r="C1" s="12"/>
      <c r="D1" s="12"/>
      <c r="E1" s="76"/>
      <c r="F1" s="76"/>
      <c r="G1" s="76"/>
      <c r="H1" s="9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25"/>
      <c r="G5" s="85"/>
      <c r="H5" s="15"/>
    </row>
    <row r="6" spans="1:8" ht="15.75">
      <c r="A6" s="195" t="s">
        <v>0</v>
      </c>
      <c r="B6" s="195"/>
      <c r="C6" s="195"/>
      <c r="D6" s="195"/>
      <c r="E6" s="195"/>
      <c r="F6" s="25"/>
      <c r="G6" s="15"/>
      <c r="H6" s="14"/>
    </row>
    <row r="7" spans="1:8" ht="15.75">
      <c r="A7" s="8"/>
      <c r="B7" s="195" t="s">
        <v>44</v>
      </c>
      <c r="C7" s="195"/>
      <c r="D7" s="195"/>
      <c r="E7" s="195"/>
      <c r="F7" s="85"/>
      <c r="G7" s="85"/>
      <c r="H7" s="14"/>
    </row>
    <row r="8" spans="1:8" ht="15.75">
      <c r="A8" s="8"/>
      <c r="B8" s="195" t="s">
        <v>87</v>
      </c>
      <c r="C8" s="195"/>
      <c r="D8" s="195"/>
      <c r="E8" s="195"/>
      <c r="F8" s="15"/>
      <c r="G8" s="85"/>
      <c r="H8" s="15"/>
    </row>
    <row r="9" spans="1:8" ht="15.75">
      <c r="A9" s="8"/>
      <c r="B9" s="8" t="s">
        <v>98</v>
      </c>
      <c r="C9" s="14"/>
      <c r="D9"/>
      <c r="E9"/>
      <c r="F9"/>
      <c r="G9"/>
      <c r="H9"/>
    </row>
    <row r="10" spans="1:8" ht="15.75">
      <c r="A10" s="8"/>
      <c r="B10" s="8" t="s">
        <v>125</v>
      </c>
      <c r="C10" s="14"/>
      <c r="D10"/>
      <c r="E10"/>
      <c r="F10"/>
      <c r="G10"/>
      <c r="H10"/>
    </row>
    <row r="11" spans="1:8" ht="15.75">
      <c r="A11" s="8" t="s">
        <v>2</v>
      </c>
      <c r="B11" s="8" t="s">
        <v>205</v>
      </c>
      <c r="C11" s="14"/>
      <c r="D11"/>
      <c r="E11"/>
      <c r="F11"/>
      <c r="G11"/>
      <c r="H11"/>
    </row>
    <row r="12" spans="1:8" ht="47.25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9"/>
      <c r="D13" s="19"/>
      <c r="E13" s="18">
        <v>3</v>
      </c>
      <c r="F13" s="19">
        <v>4</v>
      </c>
      <c r="G13" s="19"/>
      <c r="H13" s="19">
        <v>3</v>
      </c>
    </row>
    <row r="14" spans="1:8" ht="15.75">
      <c r="A14" s="20"/>
      <c r="B14" s="45" t="s">
        <v>71</v>
      </c>
      <c r="C14" s="45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114.41</v>
      </c>
      <c r="D15" s="25">
        <f aca="true" t="shared" si="0" ref="D15:D60">ROUND(C15/0.702804,2)</f>
        <v>162.79</v>
      </c>
      <c r="E15" s="25">
        <f>ROUND(D15/20*2,2)</f>
        <v>16.28</v>
      </c>
      <c r="F15" s="25">
        <v>25.7</v>
      </c>
      <c r="G15" s="25">
        <v>32.64</v>
      </c>
      <c r="H15" s="25">
        <f>G15/3*5+5*1.27</f>
        <v>60.75000000000001</v>
      </c>
    </row>
    <row r="16" spans="1:8" ht="15.75">
      <c r="A16" s="23">
        <v>1200</v>
      </c>
      <c r="B16" s="32" t="s">
        <v>73</v>
      </c>
      <c r="C16" s="47">
        <v>26.99</v>
      </c>
      <c r="D16" s="25">
        <f t="shared" si="0"/>
        <v>38.4</v>
      </c>
      <c r="E16" s="25">
        <f>ROUND(D16/20*2,2)</f>
        <v>3.84</v>
      </c>
      <c r="F16" s="25">
        <v>6.06</v>
      </c>
      <c r="G16" s="25">
        <v>7.86</v>
      </c>
      <c r="H16" s="25">
        <f>G16/3*5+5*0.31</f>
        <v>14.650000000000002</v>
      </c>
    </row>
    <row r="17" spans="1:8" ht="15.75">
      <c r="A17" s="31">
        <v>2341</v>
      </c>
      <c r="B17" s="32" t="s">
        <v>23</v>
      </c>
      <c r="C17" s="25">
        <v>1.94</v>
      </c>
      <c r="D17" s="25">
        <f t="shared" si="0"/>
        <v>2.76</v>
      </c>
      <c r="E17" s="25">
        <f>ROUND(D17/20*2,2)</f>
        <v>0.28</v>
      </c>
      <c r="F17" s="25">
        <f>ROUND(D17/20*3,2)</f>
        <v>0.41</v>
      </c>
      <c r="G17" s="25">
        <f>F17</f>
        <v>0.41</v>
      </c>
      <c r="H17" s="25">
        <f>G17/3*5</f>
        <v>0.6833333333333333</v>
      </c>
    </row>
    <row r="18" spans="1:8" ht="15.75">
      <c r="A18" s="23">
        <v>2249</v>
      </c>
      <c r="B18" s="32" t="s">
        <v>13</v>
      </c>
      <c r="C18" s="25">
        <v>3.9</v>
      </c>
      <c r="D18" s="25">
        <f t="shared" si="0"/>
        <v>5.55</v>
      </c>
      <c r="E18" s="25">
        <f>ROUND(D18/20*2,2)</f>
        <v>0.56</v>
      </c>
      <c r="F18" s="25">
        <f>ROUND(D18/20*3,2)</f>
        <v>0.83</v>
      </c>
      <c r="G18" s="25">
        <f>F18</f>
        <v>0.83</v>
      </c>
      <c r="H18" s="25">
        <f>G18/3*5</f>
        <v>1.3833333333333333</v>
      </c>
    </row>
    <row r="19" spans="1:8" ht="15.75">
      <c r="A19" s="23"/>
      <c r="B19" s="46" t="s">
        <v>74</v>
      </c>
      <c r="C19" s="28">
        <f aca="true" t="shared" si="1" ref="C19:H19">SUM(C15:C18)</f>
        <v>147.24</v>
      </c>
      <c r="D19" s="28">
        <f t="shared" si="1"/>
        <v>209.5</v>
      </c>
      <c r="E19" s="28">
        <f t="shared" si="1"/>
        <v>20.96</v>
      </c>
      <c r="F19" s="28">
        <f t="shared" si="1"/>
        <v>32.99999999999999</v>
      </c>
      <c r="G19" s="28">
        <f t="shared" si="1"/>
        <v>41.739999999999995</v>
      </c>
      <c r="H19" s="28">
        <f t="shared" si="1"/>
        <v>77.46666666666668</v>
      </c>
    </row>
    <row r="20" spans="1:8" ht="15.75">
      <c r="A20" s="29"/>
      <c r="B20" s="23" t="s">
        <v>75</v>
      </c>
      <c r="C20" s="25"/>
      <c r="D20" s="25"/>
      <c r="E20" s="25"/>
      <c r="F20" s="23"/>
      <c r="G20" s="23"/>
      <c r="H20" s="68"/>
    </row>
    <row r="21" spans="1:8" ht="15.75">
      <c r="A21" s="23">
        <v>1100</v>
      </c>
      <c r="B21" s="23" t="s">
        <v>72</v>
      </c>
      <c r="C21" s="25">
        <v>89.4</v>
      </c>
      <c r="D21" s="25">
        <f t="shared" si="0"/>
        <v>127.2</v>
      </c>
      <c r="E21" s="25">
        <f aca="true" t="shared" si="2" ref="E21:E60">ROUND(D21/20*2,2)</f>
        <v>12.72</v>
      </c>
      <c r="F21" s="25">
        <v>19.65</v>
      </c>
      <c r="G21" s="25">
        <v>19.57</v>
      </c>
      <c r="H21" s="25">
        <f aca="true" t="shared" si="3" ref="H21:H64">G21/3*5</f>
        <v>32.61666666666667</v>
      </c>
    </row>
    <row r="22" spans="1:8" ht="15.75">
      <c r="A22" s="23">
        <v>1200</v>
      </c>
      <c r="B22" s="32" t="s">
        <v>73</v>
      </c>
      <c r="C22" s="25">
        <v>27.6</v>
      </c>
      <c r="D22" s="25">
        <f t="shared" si="0"/>
        <v>39.27</v>
      </c>
      <c r="E22" s="25">
        <f t="shared" si="2"/>
        <v>3.93</v>
      </c>
      <c r="F22" s="25">
        <v>4.64</v>
      </c>
      <c r="G22" s="25">
        <v>4.72</v>
      </c>
      <c r="H22" s="25">
        <f t="shared" si="3"/>
        <v>7.866666666666666</v>
      </c>
    </row>
    <row r="23" spans="1:8" ht="15.75" hidden="1">
      <c r="A23" s="23">
        <v>2100</v>
      </c>
      <c r="B23" s="30" t="s">
        <v>42</v>
      </c>
      <c r="C23" s="25"/>
      <c r="D23" s="25">
        <f t="shared" si="0"/>
        <v>0</v>
      </c>
      <c r="E23" s="25">
        <f t="shared" si="2"/>
        <v>0</v>
      </c>
      <c r="F23" s="25">
        <f aca="true" t="shared" si="4" ref="F23:F59">ROUND(D23/20*3,2)</f>
        <v>0</v>
      </c>
      <c r="G23" s="25">
        <f aca="true" t="shared" si="5" ref="G23:G64">F23</f>
        <v>0</v>
      </c>
      <c r="H23" s="25">
        <f t="shared" si="3"/>
        <v>0</v>
      </c>
    </row>
    <row r="24" spans="1:8" ht="15.75">
      <c r="A24" s="31">
        <v>2210</v>
      </c>
      <c r="B24" s="32" t="s">
        <v>38</v>
      </c>
      <c r="C24" s="25">
        <v>1</v>
      </c>
      <c r="D24" s="25">
        <f t="shared" si="0"/>
        <v>1.42</v>
      </c>
      <c r="E24" s="25">
        <f t="shared" si="2"/>
        <v>0.14</v>
      </c>
      <c r="F24" s="25">
        <f t="shared" si="4"/>
        <v>0.21</v>
      </c>
      <c r="G24" s="25">
        <f t="shared" si="5"/>
        <v>0.21</v>
      </c>
      <c r="H24" s="25">
        <f t="shared" si="3"/>
        <v>0.35</v>
      </c>
    </row>
    <row r="25" spans="1:8" ht="15.75">
      <c r="A25" s="23">
        <v>2222</v>
      </c>
      <c r="B25" s="32" t="s">
        <v>39</v>
      </c>
      <c r="C25" s="25">
        <v>2</v>
      </c>
      <c r="D25" s="25">
        <f t="shared" si="0"/>
        <v>2.85</v>
      </c>
      <c r="E25" s="25">
        <f t="shared" si="2"/>
        <v>0.29</v>
      </c>
      <c r="F25" s="25">
        <f t="shared" si="4"/>
        <v>0.43</v>
      </c>
      <c r="G25" s="25">
        <f t="shared" si="5"/>
        <v>0.43</v>
      </c>
      <c r="H25" s="25">
        <f t="shared" si="3"/>
        <v>0.7166666666666667</v>
      </c>
    </row>
    <row r="26" spans="1:8" ht="15.75">
      <c r="A26" s="23">
        <v>2223</v>
      </c>
      <c r="B26" s="32" t="s">
        <v>40</v>
      </c>
      <c r="C26" s="25">
        <v>1</v>
      </c>
      <c r="D26" s="25">
        <f t="shared" si="0"/>
        <v>1.42</v>
      </c>
      <c r="E26" s="25">
        <f t="shared" si="2"/>
        <v>0.14</v>
      </c>
      <c r="F26" s="25">
        <f t="shared" si="4"/>
        <v>0.21</v>
      </c>
      <c r="G26" s="25">
        <f t="shared" si="5"/>
        <v>0.21</v>
      </c>
      <c r="H26" s="25">
        <f t="shared" si="3"/>
        <v>0.35</v>
      </c>
    </row>
    <row r="27" spans="1:8" ht="15.75">
      <c r="A27" s="23">
        <v>2230</v>
      </c>
      <c r="B27" s="32" t="s">
        <v>41</v>
      </c>
      <c r="C27" s="25">
        <v>1</v>
      </c>
      <c r="D27" s="25">
        <f t="shared" si="0"/>
        <v>1.42</v>
      </c>
      <c r="E27" s="25">
        <f t="shared" si="2"/>
        <v>0.14</v>
      </c>
      <c r="F27" s="25">
        <f t="shared" si="4"/>
        <v>0.21</v>
      </c>
      <c r="G27" s="25">
        <f t="shared" si="5"/>
        <v>0.21</v>
      </c>
      <c r="H27" s="25">
        <f t="shared" si="3"/>
        <v>0.35</v>
      </c>
    </row>
    <row r="28" spans="1:8" ht="15.75" hidden="1">
      <c r="A28" s="23">
        <v>2241</v>
      </c>
      <c r="B28" s="32" t="s">
        <v>9</v>
      </c>
      <c r="C28" s="25"/>
      <c r="D28" s="25">
        <f t="shared" si="0"/>
        <v>0</v>
      </c>
      <c r="E28" s="25">
        <f t="shared" si="2"/>
        <v>0</v>
      </c>
      <c r="F28" s="25">
        <f t="shared" si="4"/>
        <v>0</v>
      </c>
      <c r="G28" s="25">
        <f t="shared" si="5"/>
        <v>0</v>
      </c>
      <c r="H28" s="25">
        <f t="shared" si="3"/>
        <v>0</v>
      </c>
    </row>
    <row r="29" spans="1:8" ht="15.75">
      <c r="A29" s="23">
        <v>2242</v>
      </c>
      <c r="B29" s="32" t="s">
        <v>10</v>
      </c>
      <c r="C29" s="25">
        <v>2</v>
      </c>
      <c r="D29" s="25">
        <f t="shared" si="0"/>
        <v>2.85</v>
      </c>
      <c r="E29" s="25">
        <f t="shared" si="2"/>
        <v>0.29</v>
      </c>
      <c r="F29" s="25">
        <f t="shared" si="4"/>
        <v>0.43</v>
      </c>
      <c r="G29" s="25">
        <f t="shared" si="5"/>
        <v>0.43</v>
      </c>
      <c r="H29" s="25">
        <f t="shared" si="3"/>
        <v>0.7166666666666667</v>
      </c>
    </row>
    <row r="30" spans="1:8" ht="15.75">
      <c r="A30" s="23">
        <v>2243</v>
      </c>
      <c r="B30" s="32" t="s">
        <v>11</v>
      </c>
      <c r="C30" s="25">
        <v>2</v>
      </c>
      <c r="D30" s="25">
        <f t="shared" si="0"/>
        <v>2.85</v>
      </c>
      <c r="E30" s="25">
        <f t="shared" si="2"/>
        <v>0.29</v>
      </c>
      <c r="F30" s="25">
        <f t="shared" si="4"/>
        <v>0.43</v>
      </c>
      <c r="G30" s="25">
        <f t="shared" si="5"/>
        <v>0.43</v>
      </c>
      <c r="H30" s="25">
        <f t="shared" si="3"/>
        <v>0.7166666666666667</v>
      </c>
    </row>
    <row r="31" spans="1:8" ht="15.75">
      <c r="A31" s="23">
        <v>2244</v>
      </c>
      <c r="B31" s="32" t="s">
        <v>12</v>
      </c>
      <c r="C31" s="25">
        <v>26.96</v>
      </c>
      <c r="D31" s="25">
        <f t="shared" si="0"/>
        <v>38.36</v>
      </c>
      <c r="E31" s="25">
        <f t="shared" si="2"/>
        <v>3.84</v>
      </c>
      <c r="F31" s="25">
        <f t="shared" si="4"/>
        <v>5.75</v>
      </c>
      <c r="G31" s="25">
        <f t="shared" si="5"/>
        <v>5.75</v>
      </c>
      <c r="H31" s="25">
        <f>G31/3*5+5*0.13</f>
        <v>10.233333333333334</v>
      </c>
    </row>
    <row r="32" spans="1:8" ht="15.75" hidden="1">
      <c r="A32" s="23">
        <v>2247</v>
      </c>
      <c r="B32" s="45" t="s">
        <v>76</v>
      </c>
      <c r="C32" s="25">
        <v>0</v>
      </c>
      <c r="D32" s="25">
        <f t="shared" si="0"/>
        <v>0</v>
      </c>
      <c r="E32" s="25">
        <f t="shared" si="2"/>
        <v>0</v>
      </c>
      <c r="F32" s="25">
        <f t="shared" si="4"/>
        <v>0</v>
      </c>
      <c r="G32" s="25">
        <f t="shared" si="5"/>
        <v>0</v>
      </c>
      <c r="H32" s="25">
        <f t="shared" si="3"/>
        <v>0</v>
      </c>
    </row>
    <row r="33" spans="1:8" ht="15.75">
      <c r="A33" s="23">
        <v>2249</v>
      </c>
      <c r="B33" s="32" t="s">
        <v>13</v>
      </c>
      <c r="C33" s="25">
        <v>2</v>
      </c>
      <c r="D33" s="25">
        <f t="shared" si="0"/>
        <v>2.85</v>
      </c>
      <c r="E33" s="25">
        <f t="shared" si="2"/>
        <v>0.29</v>
      </c>
      <c r="F33" s="25">
        <f t="shared" si="4"/>
        <v>0.43</v>
      </c>
      <c r="G33" s="25">
        <f t="shared" si="5"/>
        <v>0.43</v>
      </c>
      <c r="H33" s="25">
        <f t="shared" si="3"/>
        <v>0.7166666666666667</v>
      </c>
    </row>
    <row r="34" spans="1:8" ht="15.75">
      <c r="A34" s="23">
        <v>2251</v>
      </c>
      <c r="B34" s="32" t="s">
        <v>77</v>
      </c>
      <c r="C34" s="25">
        <v>2</v>
      </c>
      <c r="D34" s="25">
        <f t="shared" si="0"/>
        <v>2.85</v>
      </c>
      <c r="E34" s="25">
        <f t="shared" si="2"/>
        <v>0.29</v>
      </c>
      <c r="F34" s="25">
        <f t="shared" si="4"/>
        <v>0.43</v>
      </c>
      <c r="G34" s="25">
        <f t="shared" si="5"/>
        <v>0.43</v>
      </c>
      <c r="H34" s="25">
        <f t="shared" si="3"/>
        <v>0.7166666666666667</v>
      </c>
    </row>
    <row r="35" spans="1:8" ht="15.75" hidden="1">
      <c r="A35" s="23">
        <v>2252</v>
      </c>
      <c r="B35" s="32" t="s">
        <v>7</v>
      </c>
      <c r="C35" s="25"/>
      <c r="D35" s="25">
        <f t="shared" si="0"/>
        <v>0</v>
      </c>
      <c r="E35" s="25">
        <f t="shared" si="2"/>
        <v>0</v>
      </c>
      <c r="F35" s="25">
        <f t="shared" si="4"/>
        <v>0</v>
      </c>
      <c r="G35" s="25">
        <f t="shared" si="5"/>
        <v>0</v>
      </c>
      <c r="H35" s="25">
        <f t="shared" si="3"/>
        <v>0</v>
      </c>
    </row>
    <row r="36" spans="1:8" ht="15.75" hidden="1">
      <c r="A36" s="23">
        <v>2259</v>
      </c>
      <c r="B36" s="32" t="s">
        <v>8</v>
      </c>
      <c r="C36" s="25"/>
      <c r="D36" s="25">
        <f t="shared" si="0"/>
        <v>0</v>
      </c>
      <c r="E36" s="25">
        <f t="shared" si="2"/>
        <v>0</v>
      </c>
      <c r="F36" s="25">
        <f t="shared" si="4"/>
        <v>0</v>
      </c>
      <c r="G36" s="25">
        <f t="shared" si="5"/>
        <v>0</v>
      </c>
      <c r="H36" s="25">
        <f t="shared" si="3"/>
        <v>0</v>
      </c>
    </row>
    <row r="37" spans="1:8" ht="15.75" hidden="1">
      <c r="A37" s="23">
        <v>2261</v>
      </c>
      <c r="B37" s="32" t="s">
        <v>14</v>
      </c>
      <c r="C37" s="25">
        <v>0</v>
      </c>
      <c r="D37" s="25">
        <f t="shared" si="0"/>
        <v>0</v>
      </c>
      <c r="E37" s="25">
        <f t="shared" si="2"/>
        <v>0</v>
      </c>
      <c r="F37" s="25">
        <f t="shared" si="4"/>
        <v>0</v>
      </c>
      <c r="G37" s="25">
        <f t="shared" si="5"/>
        <v>0</v>
      </c>
      <c r="H37" s="25">
        <f t="shared" si="3"/>
        <v>0</v>
      </c>
    </row>
    <row r="38" spans="1:8" ht="15.75">
      <c r="A38" s="23">
        <v>2262</v>
      </c>
      <c r="B38" s="32" t="s">
        <v>15</v>
      </c>
      <c r="C38" s="25">
        <v>2</v>
      </c>
      <c r="D38" s="25">
        <f t="shared" si="0"/>
        <v>2.85</v>
      </c>
      <c r="E38" s="25">
        <f t="shared" si="2"/>
        <v>0.29</v>
      </c>
      <c r="F38" s="25">
        <f t="shared" si="4"/>
        <v>0.43</v>
      </c>
      <c r="G38" s="25">
        <f t="shared" si="5"/>
        <v>0.43</v>
      </c>
      <c r="H38" s="25">
        <f t="shared" si="3"/>
        <v>0.7166666666666667</v>
      </c>
    </row>
    <row r="39" spans="1:8" ht="15.75">
      <c r="A39" s="23">
        <v>2263</v>
      </c>
      <c r="B39" s="32" t="s">
        <v>16</v>
      </c>
      <c r="C39" s="25">
        <v>6</v>
      </c>
      <c r="D39" s="25">
        <f t="shared" si="0"/>
        <v>8.54</v>
      </c>
      <c r="E39" s="25">
        <f t="shared" si="2"/>
        <v>0.85</v>
      </c>
      <c r="F39" s="25">
        <f t="shared" si="4"/>
        <v>1.28</v>
      </c>
      <c r="G39" s="25">
        <f t="shared" si="5"/>
        <v>1.28</v>
      </c>
      <c r="H39" s="25">
        <f t="shared" si="3"/>
        <v>2.1333333333333333</v>
      </c>
    </row>
    <row r="40" spans="1:8" ht="15.75" hidden="1">
      <c r="A40" s="23">
        <v>2264</v>
      </c>
      <c r="B40" s="32" t="s">
        <v>17</v>
      </c>
      <c r="C40" s="25">
        <v>0</v>
      </c>
      <c r="D40" s="25">
        <f t="shared" si="0"/>
        <v>0</v>
      </c>
      <c r="E40" s="25">
        <f t="shared" si="2"/>
        <v>0</v>
      </c>
      <c r="F40" s="25">
        <f t="shared" si="4"/>
        <v>0</v>
      </c>
      <c r="G40" s="25">
        <f t="shared" si="5"/>
        <v>0</v>
      </c>
      <c r="H40" s="25">
        <f t="shared" si="3"/>
        <v>0</v>
      </c>
    </row>
    <row r="41" spans="1:8" ht="15.75">
      <c r="A41" s="23">
        <v>2279</v>
      </c>
      <c r="B41" s="32" t="s">
        <v>18</v>
      </c>
      <c r="C41" s="25">
        <v>6</v>
      </c>
      <c r="D41" s="25">
        <f t="shared" si="0"/>
        <v>8.54</v>
      </c>
      <c r="E41" s="25">
        <f t="shared" si="2"/>
        <v>0.85</v>
      </c>
      <c r="F41" s="25">
        <f t="shared" si="4"/>
        <v>1.28</v>
      </c>
      <c r="G41" s="25">
        <f t="shared" si="5"/>
        <v>1.28</v>
      </c>
      <c r="H41" s="25">
        <f t="shared" si="3"/>
        <v>2.1333333333333333</v>
      </c>
    </row>
    <row r="42" spans="1:8" ht="15.75">
      <c r="A42" s="23">
        <v>2311</v>
      </c>
      <c r="B42" s="32" t="s">
        <v>19</v>
      </c>
      <c r="C42" s="25">
        <v>2</v>
      </c>
      <c r="D42" s="25">
        <f t="shared" si="0"/>
        <v>2.85</v>
      </c>
      <c r="E42" s="25">
        <f t="shared" si="2"/>
        <v>0.29</v>
      </c>
      <c r="F42" s="25">
        <f t="shared" si="4"/>
        <v>0.43</v>
      </c>
      <c r="G42" s="25">
        <f t="shared" si="5"/>
        <v>0.43</v>
      </c>
      <c r="H42" s="25">
        <f t="shared" si="3"/>
        <v>0.7166666666666667</v>
      </c>
    </row>
    <row r="43" spans="1:8" ht="15.75">
      <c r="A43" s="23">
        <v>2312</v>
      </c>
      <c r="B43" s="32" t="s">
        <v>20</v>
      </c>
      <c r="C43" s="25">
        <v>6</v>
      </c>
      <c r="D43" s="25">
        <f t="shared" si="0"/>
        <v>8.54</v>
      </c>
      <c r="E43" s="25">
        <f t="shared" si="2"/>
        <v>0.85</v>
      </c>
      <c r="F43" s="25">
        <f t="shared" si="4"/>
        <v>1.28</v>
      </c>
      <c r="G43" s="25">
        <f t="shared" si="5"/>
        <v>1.28</v>
      </c>
      <c r="H43" s="25">
        <f t="shared" si="3"/>
        <v>2.1333333333333333</v>
      </c>
    </row>
    <row r="44" spans="1:8" ht="15.75">
      <c r="A44" s="23">
        <v>2321</v>
      </c>
      <c r="B44" s="32" t="s">
        <v>21</v>
      </c>
      <c r="C44" s="25">
        <v>9</v>
      </c>
      <c r="D44" s="25">
        <f t="shared" si="0"/>
        <v>12.81</v>
      </c>
      <c r="E44" s="25">
        <f t="shared" si="2"/>
        <v>1.28</v>
      </c>
      <c r="F44" s="25">
        <f t="shared" si="4"/>
        <v>1.92</v>
      </c>
      <c r="G44" s="25">
        <f t="shared" si="5"/>
        <v>1.92</v>
      </c>
      <c r="H44" s="25">
        <f t="shared" si="3"/>
        <v>3.2</v>
      </c>
    </row>
    <row r="45" spans="1:8" ht="15.75">
      <c r="A45" s="23">
        <v>2322</v>
      </c>
      <c r="B45" s="32" t="s">
        <v>22</v>
      </c>
      <c r="C45" s="25">
        <v>10</v>
      </c>
      <c r="D45" s="25">
        <f t="shared" si="0"/>
        <v>14.23</v>
      </c>
      <c r="E45" s="25">
        <v>1.39</v>
      </c>
      <c r="F45" s="25">
        <f t="shared" si="4"/>
        <v>2.13</v>
      </c>
      <c r="G45" s="25">
        <f t="shared" si="5"/>
        <v>2.13</v>
      </c>
      <c r="H45" s="25">
        <f t="shared" si="3"/>
        <v>3.55</v>
      </c>
    </row>
    <row r="46" spans="1:8" ht="15.75">
      <c r="A46" s="23">
        <v>2341</v>
      </c>
      <c r="B46" s="32" t="s">
        <v>23</v>
      </c>
      <c r="C46" s="25">
        <v>4</v>
      </c>
      <c r="D46" s="25">
        <f t="shared" si="0"/>
        <v>5.69</v>
      </c>
      <c r="E46" s="25">
        <f t="shared" si="2"/>
        <v>0.57</v>
      </c>
      <c r="F46" s="25">
        <f t="shared" si="4"/>
        <v>0.85</v>
      </c>
      <c r="G46" s="25">
        <f t="shared" si="5"/>
        <v>0.85</v>
      </c>
      <c r="H46" s="25">
        <f t="shared" si="3"/>
        <v>1.4166666666666665</v>
      </c>
    </row>
    <row r="47" spans="1:8" ht="15.75" hidden="1">
      <c r="A47" s="23">
        <v>2344</v>
      </c>
      <c r="B47" s="32" t="s">
        <v>24</v>
      </c>
      <c r="C47" s="25"/>
      <c r="D47" s="25">
        <f t="shared" si="0"/>
        <v>0</v>
      </c>
      <c r="E47" s="25">
        <f t="shared" si="2"/>
        <v>0</v>
      </c>
      <c r="F47" s="25">
        <f t="shared" si="4"/>
        <v>0</v>
      </c>
      <c r="G47" s="25">
        <f t="shared" si="5"/>
        <v>0</v>
      </c>
      <c r="H47" s="25">
        <f t="shared" si="3"/>
        <v>0</v>
      </c>
    </row>
    <row r="48" spans="1:8" ht="15.75">
      <c r="A48" s="23">
        <v>2350</v>
      </c>
      <c r="B48" s="32" t="s">
        <v>25</v>
      </c>
      <c r="C48" s="25">
        <v>22</v>
      </c>
      <c r="D48" s="25">
        <f t="shared" si="0"/>
        <v>31.3</v>
      </c>
      <c r="E48" s="25">
        <f t="shared" si="2"/>
        <v>3.13</v>
      </c>
      <c r="F48" s="25">
        <f t="shared" si="4"/>
        <v>4.7</v>
      </c>
      <c r="G48" s="25">
        <f t="shared" si="5"/>
        <v>4.7</v>
      </c>
      <c r="H48" s="25">
        <f t="shared" si="3"/>
        <v>7.833333333333333</v>
      </c>
    </row>
    <row r="49" spans="1:8" ht="15.75">
      <c r="A49" s="23">
        <v>2361</v>
      </c>
      <c r="B49" s="32" t="s">
        <v>26</v>
      </c>
      <c r="C49" s="25">
        <v>14</v>
      </c>
      <c r="D49" s="25">
        <f t="shared" si="0"/>
        <v>19.92</v>
      </c>
      <c r="E49" s="25">
        <f t="shared" si="2"/>
        <v>1.99</v>
      </c>
      <c r="F49" s="25">
        <f t="shared" si="4"/>
        <v>2.99</v>
      </c>
      <c r="G49" s="25">
        <f t="shared" si="5"/>
        <v>2.99</v>
      </c>
      <c r="H49" s="25">
        <f t="shared" si="3"/>
        <v>4.983333333333333</v>
      </c>
    </row>
    <row r="50" spans="1:8" ht="15.75" hidden="1">
      <c r="A50" s="23">
        <v>2362</v>
      </c>
      <c r="B50" s="32" t="s">
        <v>27</v>
      </c>
      <c r="C50" s="25"/>
      <c r="D50" s="25">
        <f t="shared" si="0"/>
        <v>0</v>
      </c>
      <c r="E50" s="25">
        <f t="shared" si="2"/>
        <v>0</v>
      </c>
      <c r="F50" s="25">
        <f t="shared" si="4"/>
        <v>0</v>
      </c>
      <c r="G50" s="25">
        <f t="shared" si="5"/>
        <v>0</v>
      </c>
      <c r="H50" s="25">
        <f t="shared" si="3"/>
        <v>0</v>
      </c>
    </row>
    <row r="51" spans="1:8" ht="15.75" hidden="1">
      <c r="A51" s="23">
        <v>2363</v>
      </c>
      <c r="B51" s="32" t="s">
        <v>28</v>
      </c>
      <c r="C51" s="25"/>
      <c r="D51" s="25">
        <f t="shared" si="0"/>
        <v>0</v>
      </c>
      <c r="E51" s="25">
        <f t="shared" si="2"/>
        <v>0</v>
      </c>
      <c r="F51" s="25">
        <f t="shared" si="4"/>
        <v>0</v>
      </c>
      <c r="G51" s="25">
        <f t="shared" si="5"/>
        <v>0</v>
      </c>
      <c r="H51" s="25">
        <f t="shared" si="3"/>
        <v>0</v>
      </c>
    </row>
    <row r="52" spans="1:8" ht="15.75" hidden="1">
      <c r="A52" s="23">
        <v>2370</v>
      </c>
      <c r="B52" s="32" t="s">
        <v>29</v>
      </c>
      <c r="C52" s="25"/>
      <c r="D52" s="25">
        <f t="shared" si="0"/>
        <v>0</v>
      </c>
      <c r="E52" s="25">
        <f t="shared" si="2"/>
        <v>0</v>
      </c>
      <c r="F52" s="25">
        <f t="shared" si="4"/>
        <v>0</v>
      </c>
      <c r="G52" s="25">
        <f t="shared" si="5"/>
        <v>0</v>
      </c>
      <c r="H52" s="25">
        <f t="shared" si="3"/>
        <v>0</v>
      </c>
    </row>
    <row r="53" spans="1:8" ht="15.75" hidden="1">
      <c r="A53" s="23">
        <v>2400</v>
      </c>
      <c r="B53" s="32" t="s">
        <v>43</v>
      </c>
      <c r="C53" s="25">
        <v>0</v>
      </c>
      <c r="D53" s="25">
        <f t="shared" si="0"/>
        <v>0</v>
      </c>
      <c r="E53" s="25">
        <f t="shared" si="2"/>
        <v>0</v>
      </c>
      <c r="F53" s="25">
        <f t="shared" si="4"/>
        <v>0</v>
      </c>
      <c r="G53" s="25">
        <f t="shared" si="5"/>
        <v>0</v>
      </c>
      <c r="H53" s="25">
        <f t="shared" si="3"/>
        <v>0</v>
      </c>
    </row>
    <row r="54" spans="1:8" ht="15.75" hidden="1">
      <c r="A54" s="23">
        <v>2512</v>
      </c>
      <c r="B54" s="32" t="s">
        <v>30</v>
      </c>
      <c r="C54" s="25">
        <v>0</v>
      </c>
      <c r="D54" s="25">
        <f t="shared" si="0"/>
        <v>0</v>
      </c>
      <c r="E54" s="25">
        <f t="shared" si="2"/>
        <v>0</v>
      </c>
      <c r="F54" s="25">
        <f t="shared" si="4"/>
        <v>0</v>
      </c>
      <c r="G54" s="25">
        <f t="shared" si="5"/>
        <v>0</v>
      </c>
      <c r="H54" s="25">
        <f t="shared" si="3"/>
        <v>0</v>
      </c>
    </row>
    <row r="55" spans="1:8" ht="15.75">
      <c r="A55" s="23">
        <v>2513</v>
      </c>
      <c r="B55" s="32" t="s">
        <v>31</v>
      </c>
      <c r="C55" s="25">
        <v>14</v>
      </c>
      <c r="D55" s="25">
        <f t="shared" si="0"/>
        <v>19.92</v>
      </c>
      <c r="E55" s="25">
        <f t="shared" si="2"/>
        <v>1.99</v>
      </c>
      <c r="F55" s="25">
        <f t="shared" si="4"/>
        <v>2.99</v>
      </c>
      <c r="G55" s="25">
        <f t="shared" si="5"/>
        <v>2.99</v>
      </c>
      <c r="H55" s="25">
        <f t="shared" si="3"/>
        <v>4.983333333333333</v>
      </c>
    </row>
    <row r="56" spans="1:8" ht="15.75" hidden="1">
      <c r="A56" s="23">
        <v>2515</v>
      </c>
      <c r="B56" s="32" t="s">
        <v>78</v>
      </c>
      <c r="C56" s="25">
        <v>0</v>
      </c>
      <c r="D56" s="25">
        <f t="shared" si="0"/>
        <v>0</v>
      </c>
      <c r="E56" s="25">
        <f t="shared" si="2"/>
        <v>0</v>
      </c>
      <c r="F56" s="25">
        <f t="shared" si="4"/>
        <v>0</v>
      </c>
      <c r="G56" s="25">
        <f t="shared" si="5"/>
        <v>0</v>
      </c>
      <c r="H56" s="25">
        <f t="shared" si="3"/>
        <v>0</v>
      </c>
    </row>
    <row r="57" spans="1:8" ht="15.75">
      <c r="A57" s="23">
        <v>2519</v>
      </c>
      <c r="B57" s="32" t="s">
        <v>34</v>
      </c>
      <c r="C57" s="25">
        <v>2</v>
      </c>
      <c r="D57" s="25">
        <f t="shared" si="0"/>
        <v>2.85</v>
      </c>
      <c r="E57" s="25">
        <f t="shared" si="2"/>
        <v>0.29</v>
      </c>
      <c r="F57" s="25">
        <f t="shared" si="4"/>
        <v>0.43</v>
      </c>
      <c r="G57" s="25">
        <f t="shared" si="5"/>
        <v>0.43</v>
      </c>
      <c r="H57" s="25">
        <f t="shared" si="3"/>
        <v>0.7166666666666667</v>
      </c>
    </row>
    <row r="58" spans="1:8" ht="15.75" hidden="1">
      <c r="A58" s="23">
        <v>6240</v>
      </c>
      <c r="B58" s="32"/>
      <c r="C58" s="25"/>
      <c r="D58" s="25">
        <f t="shared" si="0"/>
        <v>0</v>
      </c>
      <c r="E58" s="25">
        <f t="shared" si="2"/>
        <v>0</v>
      </c>
      <c r="F58" s="25">
        <f t="shared" si="4"/>
        <v>0</v>
      </c>
      <c r="G58" s="25">
        <f t="shared" si="5"/>
        <v>0</v>
      </c>
      <c r="H58" s="25">
        <f t="shared" si="3"/>
        <v>0</v>
      </c>
    </row>
    <row r="59" spans="1:8" ht="15.75" hidden="1">
      <c r="A59" s="23">
        <v>6290</v>
      </c>
      <c r="B59" s="32"/>
      <c r="C59" s="25"/>
      <c r="D59" s="25">
        <f t="shared" si="0"/>
        <v>0</v>
      </c>
      <c r="E59" s="25">
        <f t="shared" si="2"/>
        <v>0</v>
      </c>
      <c r="F59" s="25">
        <f t="shared" si="4"/>
        <v>0</v>
      </c>
      <c r="G59" s="25">
        <f t="shared" si="5"/>
        <v>0</v>
      </c>
      <c r="H59" s="25">
        <f t="shared" si="3"/>
        <v>0</v>
      </c>
    </row>
    <row r="60" spans="1:8" ht="15.75">
      <c r="A60" s="23">
        <v>5121</v>
      </c>
      <c r="B60" s="32" t="s">
        <v>32</v>
      </c>
      <c r="C60" s="25">
        <v>2</v>
      </c>
      <c r="D60" s="25">
        <f t="shared" si="0"/>
        <v>2.85</v>
      </c>
      <c r="E60" s="25">
        <f t="shared" si="2"/>
        <v>0.29</v>
      </c>
      <c r="F60" s="25">
        <v>0.41</v>
      </c>
      <c r="G60" s="25">
        <v>0.4</v>
      </c>
      <c r="H60" s="25">
        <f t="shared" si="3"/>
        <v>0.6666666666666666</v>
      </c>
    </row>
    <row r="61" spans="1:8" ht="15.75" customHeight="1" hidden="1">
      <c r="A61" s="23">
        <v>5232</v>
      </c>
      <c r="B61" s="32" t="s">
        <v>33</v>
      </c>
      <c r="C61" s="25">
        <v>0</v>
      </c>
      <c r="D61" s="32"/>
      <c r="E61" s="25">
        <v>0</v>
      </c>
      <c r="F61" s="25">
        <f>E61/4570*20</f>
        <v>0</v>
      </c>
      <c r="G61" s="25">
        <f t="shared" si="5"/>
        <v>0</v>
      </c>
      <c r="H61" s="25">
        <f t="shared" si="3"/>
        <v>0</v>
      </c>
    </row>
    <row r="62" spans="1:8" ht="15.75" hidden="1">
      <c r="A62" s="23">
        <v>5238</v>
      </c>
      <c r="B62" s="32" t="s">
        <v>35</v>
      </c>
      <c r="C62" s="25">
        <v>0</v>
      </c>
      <c r="D62" s="32"/>
      <c r="E62" s="25">
        <v>0</v>
      </c>
      <c r="F62" s="25">
        <f>E62/4570*20</f>
        <v>0</v>
      </c>
      <c r="G62" s="25">
        <f t="shared" si="5"/>
        <v>0</v>
      </c>
      <c r="H62" s="25">
        <f t="shared" si="3"/>
        <v>0</v>
      </c>
    </row>
    <row r="63" spans="1:8" ht="15.75" hidden="1">
      <c r="A63" s="23">
        <v>5240</v>
      </c>
      <c r="B63" s="32" t="s">
        <v>36</v>
      </c>
      <c r="C63" s="25">
        <v>0</v>
      </c>
      <c r="D63" s="32"/>
      <c r="E63" s="25">
        <v>0</v>
      </c>
      <c r="F63" s="25">
        <f>E63/4570*20</f>
        <v>0</v>
      </c>
      <c r="G63" s="25">
        <f t="shared" si="5"/>
        <v>0</v>
      </c>
      <c r="H63" s="25">
        <f t="shared" si="3"/>
        <v>0</v>
      </c>
    </row>
    <row r="64" spans="1:8" ht="15.75" hidden="1">
      <c r="A64" s="23">
        <v>5250</v>
      </c>
      <c r="B64" s="32" t="s">
        <v>37</v>
      </c>
      <c r="C64" s="25"/>
      <c r="D64" s="32"/>
      <c r="E64" s="25"/>
      <c r="F64" s="25">
        <f>E64/4570*20</f>
        <v>0</v>
      </c>
      <c r="G64" s="25">
        <f t="shared" si="5"/>
        <v>0</v>
      </c>
      <c r="H64" s="25">
        <f t="shared" si="3"/>
        <v>0</v>
      </c>
    </row>
    <row r="65" spans="1:8" ht="15.75">
      <c r="A65" s="29"/>
      <c r="B65" s="48" t="s">
        <v>79</v>
      </c>
      <c r="C65" s="28">
        <f aca="true" t="shared" si="6" ref="C65:H65">SUM(C21:C64)</f>
        <v>255.96</v>
      </c>
      <c r="D65" s="28">
        <f t="shared" si="6"/>
        <v>364.22999999999996</v>
      </c>
      <c r="E65" s="28">
        <f t="shared" si="6"/>
        <v>36.42</v>
      </c>
      <c r="F65" s="28">
        <f t="shared" si="6"/>
        <v>53.94000000000001</v>
      </c>
      <c r="G65" s="28">
        <f t="shared" si="6"/>
        <v>53.930000000000014</v>
      </c>
      <c r="H65" s="28">
        <f t="shared" si="6"/>
        <v>90.53333333333336</v>
      </c>
    </row>
    <row r="66" spans="1:8" ht="15.75">
      <c r="A66" s="33"/>
      <c r="B66" s="34" t="s">
        <v>80</v>
      </c>
      <c r="C66" s="82">
        <f aca="true" t="shared" si="7" ref="C66:H66">C65+C19</f>
        <v>403.20000000000005</v>
      </c>
      <c r="D66" s="82">
        <f t="shared" si="7"/>
        <v>573.73</v>
      </c>
      <c r="E66" s="82">
        <f t="shared" si="7"/>
        <v>57.38</v>
      </c>
      <c r="F66" s="82">
        <f t="shared" si="7"/>
        <v>86.94</v>
      </c>
      <c r="G66" s="82">
        <f t="shared" si="7"/>
        <v>95.67000000000002</v>
      </c>
      <c r="H66" s="82">
        <f t="shared" si="7"/>
        <v>168.00000000000006</v>
      </c>
    </row>
    <row r="67" spans="1:8" ht="15.75">
      <c r="A67" s="9"/>
      <c r="B67" s="14"/>
      <c r="C67" s="35"/>
      <c r="D67" s="35"/>
      <c r="E67" s="35"/>
      <c r="F67" s="35"/>
      <c r="G67" s="35"/>
      <c r="H67" s="35"/>
    </row>
    <row r="68" spans="1:8" ht="15.75">
      <c r="A68" s="212" t="s">
        <v>45</v>
      </c>
      <c r="B68" s="213"/>
      <c r="C68" s="36">
        <v>20</v>
      </c>
      <c r="D68" s="36">
        <v>20</v>
      </c>
      <c r="E68" s="42">
        <v>2</v>
      </c>
      <c r="F68" s="42">
        <v>3</v>
      </c>
      <c r="G68" s="42">
        <v>3</v>
      </c>
      <c r="H68" s="162">
        <v>5</v>
      </c>
    </row>
    <row r="69" spans="1:8" ht="15.75">
      <c r="A69" s="212" t="s">
        <v>54</v>
      </c>
      <c r="B69" s="213"/>
      <c r="C69" s="102">
        <f>C66/C68</f>
        <v>20.160000000000004</v>
      </c>
      <c r="D69" s="99">
        <f>ROUND(D66/D68,2)</f>
        <v>28.69</v>
      </c>
      <c r="E69" s="54">
        <f>ROUND(E66/E68,2)</f>
        <v>28.69</v>
      </c>
      <c r="F69" s="54">
        <f>ROUND(F66/F68,2)</f>
        <v>28.98</v>
      </c>
      <c r="G69" s="54">
        <f>ROUND(G66/G68,2)</f>
        <v>31.89</v>
      </c>
      <c r="H69" s="164">
        <f>ROUND(H66/H68,2)</f>
        <v>33.6</v>
      </c>
    </row>
    <row r="70" spans="1:8" ht="15.75">
      <c r="A70" s="71"/>
      <c r="B70" s="103"/>
      <c r="C70" s="102"/>
      <c r="D70" s="99"/>
      <c r="E70" s="99"/>
      <c r="F70" s="99"/>
      <c r="G70" s="99"/>
      <c r="H70" s="99"/>
    </row>
    <row r="71" spans="1:8" ht="15.75">
      <c r="A71" s="212" t="s">
        <v>46</v>
      </c>
      <c r="B71" s="213"/>
      <c r="C71" s="72"/>
      <c r="D71" s="72"/>
      <c r="E71" s="53"/>
      <c r="F71" s="53"/>
      <c r="G71" s="53"/>
      <c r="H71" s="37"/>
    </row>
    <row r="72" spans="1:8" ht="15.75">
      <c r="A72" s="212" t="s">
        <v>56</v>
      </c>
      <c r="B72" s="213"/>
      <c r="C72" s="72"/>
      <c r="D72" s="72"/>
      <c r="E72" s="37"/>
      <c r="F72" s="37"/>
      <c r="G72" s="37"/>
      <c r="H72" s="37"/>
    </row>
    <row r="73" spans="1:8" ht="15.75">
      <c r="A73" s="38"/>
      <c r="B73" s="38"/>
      <c r="C73" s="38"/>
      <c r="D73" s="38"/>
      <c r="E73" s="38"/>
      <c r="F73" s="38"/>
      <c r="G73" s="38"/>
      <c r="H73" s="38"/>
    </row>
    <row r="74" spans="1:8" ht="15.75">
      <c r="A74" s="38" t="s">
        <v>47</v>
      </c>
      <c r="B74" s="38"/>
      <c r="C74" s="38"/>
      <c r="D74" s="38"/>
      <c r="E74" s="38"/>
      <c r="F74" s="38"/>
      <c r="G74" s="38"/>
      <c r="H74" s="38"/>
    </row>
    <row r="75" spans="1:8" ht="15.75">
      <c r="A75" s="38"/>
      <c r="B75" s="38"/>
      <c r="C75" s="38"/>
      <c r="D75" s="38"/>
      <c r="E75" s="38"/>
      <c r="F75" s="38"/>
      <c r="G75" s="38"/>
      <c r="H75" s="38"/>
    </row>
    <row r="76" spans="1:8" ht="15.75">
      <c r="A76" s="38"/>
      <c r="B76" s="39"/>
      <c r="C76" s="39"/>
      <c r="D76" s="39"/>
      <c r="E76" s="38"/>
      <c r="F76" s="38"/>
      <c r="G76" s="38"/>
      <c r="H76" s="38"/>
    </row>
    <row r="77" spans="1:8" ht="15.75">
      <c r="A77" s="38"/>
      <c r="B77" s="40"/>
      <c r="C77" s="40"/>
      <c r="D77" s="40"/>
      <c r="E77" s="38"/>
      <c r="F77" s="38"/>
      <c r="G77" s="38"/>
      <c r="H77" s="38"/>
    </row>
    <row r="78" spans="2:5" ht="15">
      <c r="B78" s="220"/>
      <c r="C78" s="220"/>
      <c r="D78" s="220"/>
      <c r="E78" s="220"/>
    </row>
  </sheetData>
  <sheetProtection/>
  <mergeCells count="11">
    <mergeCell ref="A72:B72"/>
    <mergeCell ref="B78:E78"/>
    <mergeCell ref="B7:E7"/>
    <mergeCell ref="B8:E8"/>
    <mergeCell ref="A68:B68"/>
    <mergeCell ref="A69:B69"/>
    <mergeCell ref="A71:B71"/>
    <mergeCell ref="A3:H3"/>
    <mergeCell ref="B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Layout" workbookViewId="0" topLeftCell="A1">
      <selection activeCell="B5" sqref="B5"/>
    </sheetView>
  </sheetViews>
  <sheetFormatPr defaultColWidth="9.140625" defaultRowHeight="12.75"/>
  <cols>
    <col min="1" max="1" width="19.7109375" style="1" customWidth="1"/>
    <col min="2" max="2" width="94.28125" style="1" customWidth="1"/>
    <col min="3" max="3" width="26.57421875" style="1" hidden="1" customWidth="1"/>
    <col min="4" max="4" width="16.28125" style="1" hidden="1" customWidth="1"/>
    <col min="5" max="5" width="31.421875" style="4" customWidth="1"/>
  </cols>
  <sheetData>
    <row r="1" spans="1:5" ht="15.75">
      <c r="A1" s="4"/>
      <c r="B1" s="75"/>
      <c r="C1" s="75"/>
      <c r="D1" s="75"/>
      <c r="E1" s="9"/>
    </row>
    <row r="2" spans="1:5" ht="18.75">
      <c r="A2" s="193" t="s">
        <v>6</v>
      </c>
      <c r="B2" s="193"/>
      <c r="C2" s="193"/>
      <c r="D2" s="193"/>
      <c r="E2" s="193"/>
    </row>
    <row r="3" spans="1:5" ht="15.75">
      <c r="A3" s="195" t="s">
        <v>1</v>
      </c>
      <c r="B3" s="195"/>
      <c r="C3" s="8"/>
      <c r="D3" s="8"/>
      <c r="E3" s="14"/>
    </row>
    <row r="4" spans="1:5" ht="15.75">
      <c r="A4" s="195" t="s">
        <v>0</v>
      </c>
      <c r="B4" s="195"/>
      <c r="C4" s="8"/>
      <c r="D4" s="8"/>
      <c r="E4" s="14"/>
    </row>
    <row r="5" spans="1:5" ht="15.75">
      <c r="A5" s="8"/>
      <c r="B5" s="8" t="s">
        <v>44</v>
      </c>
      <c r="C5" s="25"/>
      <c r="D5" s="85"/>
      <c r="E5" s="14"/>
    </row>
    <row r="6" spans="1:5" ht="15.75">
      <c r="A6" s="8"/>
      <c r="B6" s="8" t="s">
        <v>87</v>
      </c>
      <c r="C6" s="25"/>
      <c r="D6" s="15"/>
      <c r="E6" s="14"/>
    </row>
    <row r="7" spans="1:5" ht="15.75">
      <c r="A7" s="8"/>
      <c r="B7" s="8" t="s">
        <v>98</v>
      </c>
      <c r="C7" s="85"/>
      <c r="D7" s="85"/>
      <c r="E7" s="14"/>
    </row>
    <row r="8" spans="1:5" ht="15.75">
      <c r="A8" s="8"/>
      <c r="B8" s="8" t="s">
        <v>99</v>
      </c>
      <c r="C8" s="15"/>
      <c r="D8" s="85"/>
      <c r="E8" s="14"/>
    </row>
    <row r="9" spans="1:5" ht="15.75">
      <c r="A9" s="8" t="s">
        <v>2</v>
      </c>
      <c r="B9" s="8" t="s">
        <v>205</v>
      </c>
      <c r="C9" s="8"/>
      <c r="D9" s="8"/>
      <c r="E9" s="14"/>
    </row>
    <row r="10" spans="1:5" ht="15.75" hidden="1">
      <c r="A10" s="15"/>
      <c r="B10" s="16"/>
      <c r="C10" s="16"/>
      <c r="D10" s="16"/>
      <c r="E10" s="14"/>
    </row>
    <row r="11" spans="1:5" ht="47.25">
      <c r="A11" s="59" t="s">
        <v>3</v>
      </c>
      <c r="B11" s="59" t="s">
        <v>4</v>
      </c>
      <c r="C11" s="59"/>
      <c r="D11" s="59"/>
      <c r="E11" s="59" t="s">
        <v>5</v>
      </c>
    </row>
    <row r="12" spans="1:5" ht="15.75">
      <c r="A12" s="18">
        <v>1</v>
      </c>
      <c r="B12" s="19">
        <v>2</v>
      </c>
      <c r="C12" s="19"/>
      <c r="D12" s="19"/>
      <c r="E12" s="19">
        <v>3</v>
      </c>
    </row>
    <row r="13" spans="1:5" ht="15.75">
      <c r="A13" s="18"/>
      <c r="B13" s="21" t="s">
        <v>68</v>
      </c>
      <c r="C13" s="21"/>
      <c r="D13" s="21"/>
      <c r="E13" s="23"/>
    </row>
    <row r="14" spans="1:5" ht="15.75">
      <c r="A14" s="23">
        <v>1100</v>
      </c>
      <c r="B14" s="24" t="s">
        <v>59</v>
      </c>
      <c r="C14" s="25">
        <v>348.7</v>
      </c>
      <c r="D14" s="24">
        <v>442.85</v>
      </c>
      <c r="E14" s="25">
        <f>D14/20*10+10*1.7</f>
        <v>238.425</v>
      </c>
    </row>
    <row r="15" spans="1:5" ht="15.75" customHeight="1">
      <c r="A15" s="23">
        <v>1200</v>
      </c>
      <c r="B15" s="26" t="s">
        <v>60</v>
      </c>
      <c r="C15" s="25">
        <v>82.26</v>
      </c>
      <c r="D15" s="26">
        <v>106.68</v>
      </c>
      <c r="E15" s="25">
        <f>D15/20*10+10*0.41</f>
        <v>57.440000000000005</v>
      </c>
    </row>
    <row r="16" spans="1:5" ht="15.75">
      <c r="A16" s="23">
        <v>2222</v>
      </c>
      <c r="B16" s="26" t="s">
        <v>39</v>
      </c>
      <c r="C16" s="25">
        <v>0.54</v>
      </c>
      <c r="D16" s="104">
        <f>C16</f>
        <v>0.54</v>
      </c>
      <c r="E16" s="25">
        <f aca="true" t="shared" si="0" ref="E16:E24">D16/20*10</f>
        <v>0.27</v>
      </c>
    </row>
    <row r="17" spans="1:5" ht="15.75">
      <c r="A17" s="31">
        <v>2341</v>
      </c>
      <c r="B17" s="26" t="s">
        <v>23</v>
      </c>
      <c r="C17" s="25">
        <v>41.63</v>
      </c>
      <c r="D17" s="104">
        <f aca="true" t="shared" si="1" ref="D17:D24">C17</f>
        <v>41.63</v>
      </c>
      <c r="E17" s="25">
        <f t="shared" si="0"/>
        <v>20.815</v>
      </c>
    </row>
    <row r="18" spans="1:5" ht="15.75">
      <c r="A18" s="23">
        <v>2223</v>
      </c>
      <c r="B18" s="26" t="s">
        <v>40</v>
      </c>
      <c r="C18" s="25">
        <v>7.77</v>
      </c>
      <c r="D18" s="104">
        <f t="shared" si="1"/>
        <v>7.77</v>
      </c>
      <c r="E18" s="25">
        <f t="shared" si="0"/>
        <v>3.885</v>
      </c>
    </row>
    <row r="19" spans="1:5" ht="15.75">
      <c r="A19" s="23">
        <v>2321</v>
      </c>
      <c r="B19" s="26" t="s">
        <v>21</v>
      </c>
      <c r="C19" s="25">
        <v>9.47</v>
      </c>
      <c r="D19" s="104">
        <f t="shared" si="1"/>
        <v>9.47</v>
      </c>
      <c r="E19" s="25">
        <f t="shared" si="0"/>
        <v>4.735</v>
      </c>
    </row>
    <row r="20" spans="1:5" ht="15.75" hidden="1">
      <c r="A20" s="23">
        <v>2243</v>
      </c>
      <c r="B20" s="26" t="s">
        <v>11</v>
      </c>
      <c r="C20" s="25">
        <v>0</v>
      </c>
      <c r="D20" s="104">
        <f t="shared" si="1"/>
        <v>0</v>
      </c>
      <c r="E20" s="25">
        <f t="shared" si="0"/>
        <v>0</v>
      </c>
    </row>
    <row r="21" spans="1:5" ht="15.75">
      <c r="A21" s="23">
        <v>5232</v>
      </c>
      <c r="B21" s="26" t="s">
        <v>33</v>
      </c>
      <c r="C21" s="25">
        <v>9.04</v>
      </c>
      <c r="D21" s="104">
        <f t="shared" si="1"/>
        <v>9.04</v>
      </c>
      <c r="E21" s="25">
        <f t="shared" si="0"/>
        <v>4.52</v>
      </c>
    </row>
    <row r="22" spans="1:5" ht="15.75">
      <c r="A22" s="23">
        <v>2312</v>
      </c>
      <c r="B22" s="26" t="s">
        <v>20</v>
      </c>
      <c r="C22" s="25">
        <v>1.6</v>
      </c>
      <c r="D22" s="104">
        <f t="shared" si="1"/>
        <v>1.6</v>
      </c>
      <c r="E22" s="25">
        <f t="shared" si="0"/>
        <v>0.8</v>
      </c>
    </row>
    <row r="23" spans="1:5" ht="15.75" hidden="1">
      <c r="A23" s="23">
        <v>2311</v>
      </c>
      <c r="B23" s="26" t="s">
        <v>19</v>
      </c>
      <c r="C23" s="25">
        <v>0</v>
      </c>
      <c r="D23" s="104">
        <f t="shared" si="1"/>
        <v>0</v>
      </c>
      <c r="E23" s="25">
        <f t="shared" si="0"/>
        <v>0</v>
      </c>
    </row>
    <row r="24" spans="1:5" ht="15.75" hidden="1">
      <c r="A24" s="23">
        <v>2361</v>
      </c>
      <c r="B24" s="26" t="s">
        <v>96</v>
      </c>
      <c r="C24" s="25">
        <v>19.6</v>
      </c>
      <c r="D24" s="104">
        <f t="shared" si="1"/>
        <v>19.6</v>
      </c>
      <c r="E24" s="25">
        <f t="shared" si="0"/>
        <v>9.8</v>
      </c>
    </row>
    <row r="25" spans="1:5" ht="15.75">
      <c r="A25" s="22"/>
      <c r="B25" s="27" t="s">
        <v>67</v>
      </c>
      <c r="C25" s="28">
        <f>SUM(C14:C24)</f>
        <v>520.61</v>
      </c>
      <c r="D25" s="28">
        <f>SUM(D14:D24)</f>
        <v>639.18</v>
      </c>
      <c r="E25" s="28">
        <f>SUM(E14:E24)</f>
        <v>340.69</v>
      </c>
    </row>
    <row r="26" spans="1:5" ht="15.75">
      <c r="A26" s="29"/>
      <c r="B26" s="24" t="s">
        <v>61</v>
      </c>
      <c r="C26" s="28"/>
      <c r="D26" s="24"/>
      <c r="E26" s="28"/>
    </row>
    <row r="27" spans="1:5" ht="15.75">
      <c r="A27" s="23">
        <v>1100</v>
      </c>
      <c r="B27" s="24" t="s">
        <v>59</v>
      </c>
      <c r="C27" s="25">
        <v>103.16</v>
      </c>
      <c r="D27" s="24">
        <v>102.75</v>
      </c>
      <c r="E27" s="25">
        <f aca="true" t="shared" si="2" ref="E27:E69">D27/20*10</f>
        <v>51.375</v>
      </c>
    </row>
    <row r="28" spans="1:5" ht="16.5" customHeight="1">
      <c r="A28" s="23">
        <v>1200</v>
      </c>
      <c r="B28" s="26" t="s">
        <v>60</v>
      </c>
      <c r="C28" s="25">
        <v>24.34</v>
      </c>
      <c r="D28" s="26">
        <v>24.75</v>
      </c>
      <c r="E28" s="25">
        <f t="shared" si="2"/>
        <v>12.375</v>
      </c>
    </row>
    <row r="29" spans="1:5" ht="15.75">
      <c r="A29" s="31">
        <v>2210</v>
      </c>
      <c r="B29" s="26" t="s">
        <v>38</v>
      </c>
      <c r="C29" s="25">
        <v>1.4</v>
      </c>
      <c r="D29" s="104">
        <f aca="true" t="shared" si="3" ref="D29:D39">C29</f>
        <v>1.4</v>
      </c>
      <c r="E29" s="25">
        <f t="shared" si="2"/>
        <v>0.7</v>
      </c>
    </row>
    <row r="30" spans="1:5" ht="15.75">
      <c r="A30" s="23">
        <v>2222</v>
      </c>
      <c r="B30" s="26" t="s">
        <v>39</v>
      </c>
      <c r="C30" s="25">
        <v>2.78</v>
      </c>
      <c r="D30" s="104">
        <f t="shared" si="3"/>
        <v>2.78</v>
      </c>
      <c r="E30" s="25">
        <f t="shared" si="2"/>
        <v>1.39</v>
      </c>
    </row>
    <row r="31" spans="1:5" ht="15.75">
      <c r="A31" s="23">
        <v>2223</v>
      </c>
      <c r="B31" s="26" t="s">
        <v>40</v>
      </c>
      <c r="C31" s="25">
        <v>4.1</v>
      </c>
      <c r="D31" s="104">
        <f t="shared" si="3"/>
        <v>4.1</v>
      </c>
      <c r="E31" s="25">
        <f t="shared" si="2"/>
        <v>2.05</v>
      </c>
    </row>
    <row r="32" spans="1:5" ht="15.75">
      <c r="A32" s="23">
        <v>2230</v>
      </c>
      <c r="B32" s="26" t="s">
        <v>41</v>
      </c>
      <c r="C32" s="25">
        <v>1.72</v>
      </c>
      <c r="D32" s="104">
        <f t="shared" si="3"/>
        <v>1.72</v>
      </c>
      <c r="E32" s="25">
        <f t="shared" si="2"/>
        <v>0.8599999999999999</v>
      </c>
    </row>
    <row r="33" spans="1:5" ht="15.75">
      <c r="A33" s="23">
        <v>2241</v>
      </c>
      <c r="B33" s="26" t="s">
        <v>9</v>
      </c>
      <c r="C33" s="25">
        <v>3.1</v>
      </c>
      <c r="D33" s="104">
        <f t="shared" si="3"/>
        <v>3.1</v>
      </c>
      <c r="E33" s="25">
        <f t="shared" si="2"/>
        <v>1.55</v>
      </c>
    </row>
    <row r="34" spans="1:5" ht="15.75">
      <c r="A34" s="23">
        <v>2242</v>
      </c>
      <c r="B34" s="26" t="s">
        <v>10</v>
      </c>
      <c r="C34" s="25">
        <v>1.27</v>
      </c>
      <c r="D34" s="104">
        <f t="shared" si="3"/>
        <v>1.27</v>
      </c>
      <c r="E34" s="25">
        <f t="shared" si="2"/>
        <v>0.635</v>
      </c>
    </row>
    <row r="35" spans="1:5" ht="15.75">
      <c r="A35" s="23">
        <v>2243</v>
      </c>
      <c r="B35" s="26" t="s">
        <v>11</v>
      </c>
      <c r="C35" s="25">
        <v>3.18</v>
      </c>
      <c r="D35" s="104">
        <f t="shared" si="3"/>
        <v>3.18</v>
      </c>
      <c r="E35" s="25">
        <f t="shared" si="2"/>
        <v>1.59</v>
      </c>
    </row>
    <row r="36" spans="1:5" ht="15.75">
      <c r="A36" s="22">
        <v>2244</v>
      </c>
      <c r="B36" s="26" t="s">
        <v>12</v>
      </c>
      <c r="C36" s="25">
        <v>5.46</v>
      </c>
      <c r="D36" s="104">
        <f t="shared" si="3"/>
        <v>5.46</v>
      </c>
      <c r="E36" s="25">
        <f>D36/20*10+10*0.16</f>
        <v>4.33</v>
      </c>
    </row>
    <row r="37" spans="1:5" ht="15.75">
      <c r="A37" s="22">
        <v>2247</v>
      </c>
      <c r="B37" s="21" t="s">
        <v>62</v>
      </c>
      <c r="C37" s="25">
        <v>1.19</v>
      </c>
      <c r="D37" s="104">
        <f t="shared" si="3"/>
        <v>1.19</v>
      </c>
      <c r="E37" s="25">
        <f t="shared" si="2"/>
        <v>0.595</v>
      </c>
    </row>
    <row r="38" spans="1:5" ht="15.75">
      <c r="A38" s="22">
        <v>2249</v>
      </c>
      <c r="B38" s="26" t="s">
        <v>13</v>
      </c>
      <c r="C38" s="25">
        <v>2.77</v>
      </c>
      <c r="D38" s="104">
        <f t="shared" si="3"/>
        <v>2.77</v>
      </c>
      <c r="E38" s="25">
        <f t="shared" si="2"/>
        <v>1.3850000000000002</v>
      </c>
    </row>
    <row r="39" spans="1:5" ht="15.75">
      <c r="A39" s="22">
        <v>2251</v>
      </c>
      <c r="B39" s="26" t="s">
        <v>63</v>
      </c>
      <c r="C39" s="25">
        <v>1.86</v>
      </c>
      <c r="D39" s="104">
        <f t="shared" si="3"/>
        <v>1.86</v>
      </c>
      <c r="E39" s="25">
        <f t="shared" si="2"/>
        <v>0.9299999999999999</v>
      </c>
    </row>
    <row r="40" spans="1:5" ht="15.75" hidden="1">
      <c r="A40" s="22">
        <v>2252</v>
      </c>
      <c r="B40" s="26" t="s">
        <v>7</v>
      </c>
      <c r="C40" s="25"/>
      <c r="D40" s="26"/>
      <c r="E40" s="25">
        <f t="shared" si="2"/>
        <v>0</v>
      </c>
    </row>
    <row r="41" spans="1:5" ht="15.75" hidden="1">
      <c r="A41" s="22">
        <v>2259</v>
      </c>
      <c r="B41" s="26" t="s">
        <v>8</v>
      </c>
      <c r="C41" s="25"/>
      <c r="D41" s="26"/>
      <c r="E41" s="25">
        <f t="shared" si="2"/>
        <v>0</v>
      </c>
    </row>
    <row r="42" spans="1:5" ht="15.75">
      <c r="A42" s="22">
        <v>2261</v>
      </c>
      <c r="B42" s="26" t="s">
        <v>14</v>
      </c>
      <c r="C42" s="25">
        <v>1.3</v>
      </c>
      <c r="D42" s="104">
        <f aca="true" t="shared" si="4" ref="D42:D69">C42</f>
        <v>1.3</v>
      </c>
      <c r="E42" s="25">
        <f t="shared" si="2"/>
        <v>0.65</v>
      </c>
    </row>
    <row r="43" spans="1:5" ht="15.75">
      <c r="A43" s="22">
        <v>2262</v>
      </c>
      <c r="B43" s="26" t="s">
        <v>15</v>
      </c>
      <c r="C43" s="25">
        <v>1.32</v>
      </c>
      <c r="D43" s="104">
        <f t="shared" si="4"/>
        <v>1.32</v>
      </c>
      <c r="E43" s="25">
        <f t="shared" si="2"/>
        <v>0.66</v>
      </c>
    </row>
    <row r="44" spans="1:5" ht="15.75">
      <c r="A44" s="22">
        <v>2263</v>
      </c>
      <c r="B44" s="26" t="s">
        <v>16</v>
      </c>
      <c r="C44" s="25">
        <v>2.15</v>
      </c>
      <c r="D44" s="104">
        <f t="shared" si="4"/>
        <v>2.15</v>
      </c>
      <c r="E44" s="25">
        <f t="shared" si="2"/>
        <v>1.075</v>
      </c>
    </row>
    <row r="45" spans="1:5" ht="15.75" hidden="1">
      <c r="A45" s="23">
        <v>2264</v>
      </c>
      <c r="B45" s="26" t="s">
        <v>17</v>
      </c>
      <c r="C45" s="25"/>
      <c r="D45" s="104">
        <f t="shared" si="4"/>
        <v>0</v>
      </c>
      <c r="E45" s="25">
        <f t="shared" si="2"/>
        <v>0</v>
      </c>
    </row>
    <row r="46" spans="1:5" ht="15.75">
      <c r="A46" s="23">
        <v>2279</v>
      </c>
      <c r="B46" s="26" t="s">
        <v>18</v>
      </c>
      <c r="C46" s="25">
        <v>1.27</v>
      </c>
      <c r="D46" s="104">
        <f t="shared" si="4"/>
        <v>1.27</v>
      </c>
      <c r="E46" s="25">
        <f t="shared" si="2"/>
        <v>0.635</v>
      </c>
    </row>
    <row r="47" spans="1:5" ht="15.75">
      <c r="A47" s="23">
        <v>2311</v>
      </c>
      <c r="B47" s="26" t="s">
        <v>19</v>
      </c>
      <c r="C47" s="25">
        <v>0.74</v>
      </c>
      <c r="D47" s="104">
        <f t="shared" si="4"/>
        <v>0.74</v>
      </c>
      <c r="E47" s="25">
        <f t="shared" si="2"/>
        <v>0.37</v>
      </c>
    </row>
    <row r="48" spans="1:5" ht="15.75">
      <c r="A48" s="23">
        <v>2312</v>
      </c>
      <c r="B48" s="26" t="s">
        <v>20</v>
      </c>
      <c r="C48" s="25">
        <v>1.29</v>
      </c>
      <c r="D48" s="104">
        <f t="shared" si="4"/>
        <v>1.29</v>
      </c>
      <c r="E48" s="25">
        <f t="shared" si="2"/>
        <v>0.645</v>
      </c>
    </row>
    <row r="49" spans="1:5" ht="15.75">
      <c r="A49" s="23">
        <v>2321</v>
      </c>
      <c r="B49" s="26" t="s">
        <v>21</v>
      </c>
      <c r="C49" s="25">
        <v>3.6</v>
      </c>
      <c r="D49" s="104">
        <f t="shared" si="4"/>
        <v>3.6</v>
      </c>
      <c r="E49" s="25">
        <f t="shared" si="2"/>
        <v>1.7999999999999998</v>
      </c>
    </row>
    <row r="50" spans="1:5" ht="15.75">
      <c r="A50" s="23">
        <v>2322</v>
      </c>
      <c r="B50" s="26" t="s">
        <v>22</v>
      </c>
      <c r="C50" s="25">
        <v>2.93</v>
      </c>
      <c r="D50" s="104">
        <f t="shared" si="4"/>
        <v>2.93</v>
      </c>
      <c r="E50" s="25">
        <f t="shared" si="2"/>
        <v>1.4650000000000003</v>
      </c>
    </row>
    <row r="51" spans="1:5" ht="15.75">
      <c r="A51" s="23">
        <v>2341</v>
      </c>
      <c r="B51" s="26" t="s">
        <v>23</v>
      </c>
      <c r="C51" s="25">
        <v>1.55</v>
      </c>
      <c r="D51" s="104">
        <f t="shared" si="4"/>
        <v>1.55</v>
      </c>
      <c r="E51" s="25">
        <f t="shared" si="2"/>
        <v>0.775</v>
      </c>
    </row>
    <row r="52" spans="1:5" ht="15.75" hidden="1">
      <c r="A52" s="23">
        <v>2344</v>
      </c>
      <c r="B52" s="26" t="s">
        <v>24</v>
      </c>
      <c r="C52" s="25"/>
      <c r="D52" s="104">
        <f t="shared" si="4"/>
        <v>0</v>
      </c>
      <c r="E52" s="25">
        <f t="shared" si="2"/>
        <v>0</v>
      </c>
    </row>
    <row r="53" spans="1:5" ht="15.75">
      <c r="A53" s="23">
        <v>2350</v>
      </c>
      <c r="B53" s="26" t="s">
        <v>25</v>
      </c>
      <c r="C53" s="25">
        <v>2.89</v>
      </c>
      <c r="D53" s="104">
        <f t="shared" si="4"/>
        <v>2.89</v>
      </c>
      <c r="E53" s="25">
        <f t="shared" si="2"/>
        <v>1.4450000000000003</v>
      </c>
    </row>
    <row r="54" spans="1:5" ht="15.75">
      <c r="A54" s="23">
        <v>2361</v>
      </c>
      <c r="B54" s="26" t="s">
        <v>26</v>
      </c>
      <c r="C54" s="25">
        <v>2.75</v>
      </c>
      <c r="D54" s="104">
        <f t="shared" si="4"/>
        <v>2.75</v>
      </c>
      <c r="E54" s="25">
        <f t="shared" si="2"/>
        <v>1.375</v>
      </c>
    </row>
    <row r="55" spans="1:5" ht="15.75" hidden="1">
      <c r="A55" s="23">
        <v>2362</v>
      </c>
      <c r="B55" s="26" t="s">
        <v>27</v>
      </c>
      <c r="C55" s="25"/>
      <c r="D55" s="104">
        <f t="shared" si="4"/>
        <v>0</v>
      </c>
      <c r="E55" s="25">
        <f t="shared" si="2"/>
        <v>0</v>
      </c>
    </row>
    <row r="56" spans="1:5" ht="15.75" hidden="1">
      <c r="A56" s="23">
        <v>2363</v>
      </c>
      <c r="B56" s="26" t="s">
        <v>28</v>
      </c>
      <c r="C56" s="25"/>
      <c r="D56" s="104">
        <f t="shared" si="4"/>
        <v>0</v>
      </c>
      <c r="E56" s="25">
        <f t="shared" si="2"/>
        <v>0</v>
      </c>
    </row>
    <row r="57" spans="1:5" ht="15.75" hidden="1">
      <c r="A57" s="23">
        <v>2370</v>
      </c>
      <c r="B57" s="26" t="s">
        <v>29</v>
      </c>
      <c r="C57" s="25"/>
      <c r="D57" s="104">
        <f t="shared" si="4"/>
        <v>0</v>
      </c>
      <c r="E57" s="25">
        <f t="shared" si="2"/>
        <v>0</v>
      </c>
    </row>
    <row r="58" spans="1:5" ht="15.75">
      <c r="A58" s="23">
        <v>2400</v>
      </c>
      <c r="B58" s="26" t="s">
        <v>43</v>
      </c>
      <c r="C58" s="25">
        <v>0.54</v>
      </c>
      <c r="D58" s="104">
        <f t="shared" si="4"/>
        <v>0.54</v>
      </c>
      <c r="E58" s="25">
        <f t="shared" si="2"/>
        <v>0.27</v>
      </c>
    </row>
    <row r="59" spans="1:5" ht="15.75" hidden="1">
      <c r="A59" s="23">
        <v>2512</v>
      </c>
      <c r="B59" s="26" t="s">
        <v>30</v>
      </c>
      <c r="C59" s="25"/>
      <c r="D59" s="104">
        <f t="shared" si="4"/>
        <v>0</v>
      </c>
      <c r="E59" s="25">
        <f t="shared" si="2"/>
        <v>0</v>
      </c>
    </row>
    <row r="60" spans="1:5" ht="15.75">
      <c r="A60" s="23">
        <v>2513</v>
      </c>
      <c r="B60" s="26" t="s">
        <v>31</v>
      </c>
      <c r="C60" s="25">
        <v>2.89</v>
      </c>
      <c r="D60" s="104">
        <f t="shared" si="4"/>
        <v>2.89</v>
      </c>
      <c r="E60" s="25">
        <f t="shared" si="2"/>
        <v>1.4450000000000003</v>
      </c>
    </row>
    <row r="61" spans="1:5" ht="15.75">
      <c r="A61" s="23">
        <v>2515</v>
      </c>
      <c r="B61" s="26" t="s">
        <v>64</v>
      </c>
      <c r="C61" s="25">
        <v>0.78</v>
      </c>
      <c r="D61" s="104">
        <f t="shared" si="4"/>
        <v>0.78</v>
      </c>
      <c r="E61" s="25">
        <f t="shared" si="2"/>
        <v>0.39</v>
      </c>
    </row>
    <row r="62" spans="1:5" ht="15.75">
      <c r="A62" s="23">
        <v>2519</v>
      </c>
      <c r="B62" s="26" t="s">
        <v>34</v>
      </c>
      <c r="C62" s="25">
        <v>1.45</v>
      </c>
      <c r="D62" s="104">
        <f t="shared" si="4"/>
        <v>1.45</v>
      </c>
      <c r="E62" s="25">
        <f t="shared" si="2"/>
        <v>0.725</v>
      </c>
    </row>
    <row r="63" spans="1:5" ht="15.75" hidden="1">
      <c r="A63" s="23">
        <v>6240</v>
      </c>
      <c r="B63" s="26"/>
      <c r="C63" s="25"/>
      <c r="D63" s="104">
        <f t="shared" si="4"/>
        <v>0</v>
      </c>
      <c r="E63" s="25">
        <f t="shared" si="2"/>
        <v>0</v>
      </c>
    </row>
    <row r="64" spans="1:5" ht="15.75" hidden="1">
      <c r="A64" s="23">
        <v>6290</v>
      </c>
      <c r="B64" s="26"/>
      <c r="C64" s="25"/>
      <c r="D64" s="104">
        <f t="shared" si="4"/>
        <v>0</v>
      </c>
      <c r="E64" s="25">
        <f t="shared" si="2"/>
        <v>0</v>
      </c>
    </row>
    <row r="65" spans="1:5" ht="15.75">
      <c r="A65" s="23">
        <v>5121</v>
      </c>
      <c r="B65" s="26" t="s">
        <v>32</v>
      </c>
      <c r="C65" s="25">
        <v>0.23</v>
      </c>
      <c r="D65" s="104">
        <f t="shared" si="4"/>
        <v>0.23</v>
      </c>
      <c r="E65" s="25">
        <f t="shared" si="2"/>
        <v>0.11499999999999999</v>
      </c>
    </row>
    <row r="66" spans="1:5" ht="15.75">
      <c r="A66" s="23">
        <v>5232</v>
      </c>
      <c r="B66" s="26" t="s">
        <v>33</v>
      </c>
      <c r="C66" s="25">
        <v>0.31</v>
      </c>
      <c r="D66" s="104">
        <v>0.34</v>
      </c>
      <c r="E66" s="25">
        <f t="shared" si="2"/>
        <v>0.17</v>
      </c>
    </row>
    <row r="67" spans="1:5" ht="15.75">
      <c r="A67" s="23">
        <v>5238</v>
      </c>
      <c r="B67" s="26" t="s">
        <v>35</v>
      </c>
      <c r="C67" s="25">
        <v>0.26</v>
      </c>
      <c r="D67" s="104">
        <f t="shared" si="4"/>
        <v>0.26</v>
      </c>
      <c r="E67" s="25">
        <f t="shared" si="2"/>
        <v>0.13</v>
      </c>
    </row>
    <row r="68" spans="1:5" ht="15.75" hidden="1">
      <c r="A68" s="23">
        <v>5240</v>
      </c>
      <c r="B68" s="26" t="s">
        <v>36</v>
      </c>
      <c r="C68" s="25">
        <v>0</v>
      </c>
      <c r="D68" s="104">
        <f t="shared" si="4"/>
        <v>0</v>
      </c>
      <c r="E68" s="25">
        <f t="shared" si="2"/>
        <v>0</v>
      </c>
    </row>
    <row r="69" spans="1:5" ht="15.75">
      <c r="A69" s="22">
        <v>5250</v>
      </c>
      <c r="B69" s="26" t="s">
        <v>37</v>
      </c>
      <c r="C69" s="25">
        <v>0.81</v>
      </c>
      <c r="D69" s="104">
        <f t="shared" si="4"/>
        <v>0.81</v>
      </c>
      <c r="E69" s="25">
        <f t="shared" si="2"/>
        <v>0.405</v>
      </c>
    </row>
    <row r="70" spans="1:5" ht="15.75">
      <c r="A70" s="33"/>
      <c r="B70" s="34" t="s">
        <v>65</v>
      </c>
      <c r="C70" s="28">
        <f>SUM(C27:C69)</f>
        <v>185.39000000000001</v>
      </c>
      <c r="D70" s="121">
        <f>SUM(D27:D69)</f>
        <v>185.42000000000002</v>
      </c>
      <c r="E70" s="121">
        <f>SUM(E27:E69)</f>
        <v>94.31000000000002</v>
      </c>
    </row>
    <row r="71" spans="1:5" ht="15.75">
      <c r="A71" s="33"/>
      <c r="B71" s="34" t="s">
        <v>66</v>
      </c>
      <c r="C71" s="28">
        <f>C25+C70</f>
        <v>706</v>
      </c>
      <c r="D71" s="121">
        <f>D25+D70</f>
        <v>824.5999999999999</v>
      </c>
      <c r="E71" s="121">
        <f>E25+E70</f>
        <v>435</v>
      </c>
    </row>
    <row r="72" spans="1:5" ht="15.75">
      <c r="A72" s="9"/>
      <c r="B72" s="14"/>
      <c r="C72" s="62"/>
      <c r="D72" s="122"/>
      <c r="E72" s="122"/>
    </row>
    <row r="73" spans="1:5" ht="15.75">
      <c r="A73" s="212" t="s">
        <v>45</v>
      </c>
      <c r="B73" s="213"/>
      <c r="C73" s="17">
        <v>20</v>
      </c>
      <c r="D73" s="123">
        <v>20</v>
      </c>
      <c r="E73" s="160">
        <v>10</v>
      </c>
    </row>
    <row r="74" spans="1:5" ht="15.75">
      <c r="A74" s="212" t="s">
        <v>54</v>
      </c>
      <c r="B74" s="213"/>
      <c r="C74" s="28">
        <f>ROUND(C71/C73,2)</f>
        <v>35.3</v>
      </c>
      <c r="D74" s="121">
        <f>ROUND(D71/D73,2)</f>
        <v>41.23</v>
      </c>
      <c r="E74" s="164">
        <f>ROUND(E71/E73,2)</f>
        <v>43.5</v>
      </c>
    </row>
    <row r="75" spans="1:5" ht="15.75">
      <c r="A75" s="50"/>
      <c r="B75" s="43"/>
      <c r="C75" s="51"/>
      <c r="D75" s="43"/>
      <c r="E75" s="51"/>
    </row>
    <row r="76" spans="1:5" ht="15.75">
      <c r="A76" s="214" t="s">
        <v>46</v>
      </c>
      <c r="B76" s="215"/>
      <c r="C76" s="44"/>
      <c r="D76" s="73"/>
      <c r="E76" s="44"/>
    </row>
    <row r="77" spans="1:5" ht="15.75">
      <c r="A77" s="214" t="s">
        <v>56</v>
      </c>
      <c r="B77" s="215"/>
      <c r="C77" s="73"/>
      <c r="D77" s="73"/>
      <c r="E77" s="44"/>
    </row>
    <row r="78" spans="1:5" ht="15.75">
      <c r="A78" s="38" t="s">
        <v>47</v>
      </c>
      <c r="B78" s="38"/>
      <c r="C78" s="38"/>
      <c r="D78" s="38"/>
      <c r="E78" s="38"/>
    </row>
    <row r="79" spans="1:5" ht="15.75">
      <c r="A79" s="38"/>
      <c r="B79" s="38"/>
      <c r="C79" s="38"/>
      <c r="D79" s="38"/>
      <c r="E79" s="38"/>
    </row>
    <row r="80" spans="1:5" ht="15.75">
      <c r="A80" s="38"/>
      <c r="B80" s="39"/>
      <c r="C80" s="39"/>
      <c r="D80" s="39"/>
      <c r="E80" s="38"/>
    </row>
    <row r="81" spans="1:5" ht="15.75">
      <c r="A81" s="38"/>
      <c r="B81" s="40"/>
      <c r="C81" s="40"/>
      <c r="D81" s="40"/>
      <c r="E81" s="38"/>
    </row>
    <row r="82" spans="1:5" ht="15">
      <c r="A82" s="4"/>
      <c r="B82" s="61"/>
      <c r="C82" s="61"/>
      <c r="D82" s="61"/>
      <c r="E82" s="6"/>
    </row>
  </sheetData>
  <sheetProtection/>
  <mergeCells count="7">
    <mergeCell ref="A74:B74"/>
    <mergeCell ref="A76:B76"/>
    <mergeCell ref="A77:B77"/>
    <mergeCell ref="A2:E2"/>
    <mergeCell ref="A3:B3"/>
    <mergeCell ref="A4:B4"/>
    <mergeCell ref="A73:B7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Layout" workbookViewId="0" topLeftCell="A81">
      <selection activeCell="A77" sqref="A77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5.8515625" style="4" hidden="1" customWidth="1"/>
    <col min="4" max="4" width="15.28125" style="4" hidden="1" customWidth="1"/>
    <col min="5" max="7" width="21.57421875" style="4" hidden="1" customWidth="1"/>
    <col min="8" max="8" width="34.8515625" style="4" customWidth="1"/>
  </cols>
  <sheetData>
    <row r="1" spans="2:8" ht="15.75">
      <c r="B1" s="12"/>
      <c r="C1" s="12"/>
      <c r="D1" s="12"/>
      <c r="E1" s="76"/>
      <c r="F1" s="9" t="s">
        <v>254</v>
      </c>
      <c r="G1" s="9" t="s">
        <v>254</v>
      </c>
      <c r="H1" s="9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 customHeight="1">
      <c r="A5" s="195" t="s">
        <v>1</v>
      </c>
      <c r="B5" s="195"/>
      <c r="C5" s="195"/>
      <c r="D5" s="195"/>
      <c r="E5" s="195"/>
      <c r="F5" s="15"/>
      <c r="G5" s="15"/>
      <c r="H5" s="15"/>
    </row>
    <row r="6" spans="1:8" ht="15.75" customHeight="1">
      <c r="A6" s="195" t="s">
        <v>0</v>
      </c>
      <c r="B6" s="195"/>
      <c r="C6" s="195"/>
      <c r="D6" s="195"/>
      <c r="E6" s="195"/>
      <c r="F6" s="15"/>
      <c r="G6" s="15"/>
      <c r="H6" s="14"/>
    </row>
    <row r="7" spans="1:8" ht="15.75">
      <c r="A7" s="8"/>
      <c r="B7" s="195" t="s">
        <v>44</v>
      </c>
      <c r="C7" s="195"/>
      <c r="D7" s="195"/>
      <c r="E7" s="195"/>
      <c r="F7" s="15"/>
      <c r="G7" s="15"/>
      <c r="H7" s="14"/>
    </row>
    <row r="8" spans="1:8" ht="15.75">
      <c r="A8" s="8"/>
      <c r="B8" s="195" t="s">
        <v>87</v>
      </c>
      <c r="C8" s="195"/>
      <c r="D8" s="195"/>
      <c r="E8" s="195"/>
      <c r="F8" s="25"/>
      <c r="G8" s="85"/>
      <c r="H8" s="15"/>
    </row>
    <row r="9" spans="1:8" ht="15.75">
      <c r="A9" s="8"/>
      <c r="B9" s="195" t="s">
        <v>105</v>
      </c>
      <c r="C9" s="195"/>
      <c r="D9" s="195"/>
      <c r="E9" s="195"/>
      <c r="F9" s="25"/>
      <c r="G9" s="15"/>
      <c r="H9" s="15"/>
    </row>
    <row r="10" spans="1:8" ht="15.75">
      <c r="A10" s="8" t="s">
        <v>2</v>
      </c>
      <c r="B10" s="8" t="s">
        <v>205</v>
      </c>
      <c r="C10" s="8"/>
      <c r="D10" s="8"/>
      <c r="E10" s="8"/>
      <c r="F10" s="85"/>
      <c r="G10" s="85"/>
      <c r="H10" s="15"/>
    </row>
    <row r="11" spans="1:8" ht="15.75" hidden="1">
      <c r="A11" s="15"/>
      <c r="B11" s="16"/>
      <c r="C11" s="77"/>
      <c r="D11" s="16"/>
      <c r="E11" s="77"/>
      <c r="F11" s="15"/>
      <c r="G11" s="85"/>
      <c r="H11" s="15"/>
    </row>
    <row r="12" spans="1:8" ht="47.25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9"/>
      <c r="D13" s="19"/>
      <c r="E13" s="18"/>
      <c r="F13" s="19"/>
      <c r="G13" s="19"/>
      <c r="H13" s="19">
        <v>3</v>
      </c>
    </row>
    <row r="14" spans="1:8" ht="15.75">
      <c r="A14" s="20"/>
      <c r="B14" s="45" t="s">
        <v>71</v>
      </c>
      <c r="C14" s="45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57.21</v>
      </c>
      <c r="D15" s="25">
        <f>ROUND(C15/0.702804,2)</f>
        <v>81.4</v>
      </c>
      <c r="E15" s="25">
        <f>ROUND(D15/30*2,2)</f>
        <v>5.43</v>
      </c>
      <c r="F15" s="25">
        <v>8.47</v>
      </c>
      <c r="G15" s="25">
        <v>10.76</v>
      </c>
      <c r="H15" s="25">
        <f>G15/3*5+5*0.145</f>
        <v>18.658333333333335</v>
      </c>
    </row>
    <row r="16" spans="1:8" ht="15.75">
      <c r="A16" s="23">
        <v>1200</v>
      </c>
      <c r="B16" s="32" t="s">
        <v>73</v>
      </c>
      <c r="C16" s="47">
        <v>13.49</v>
      </c>
      <c r="D16" s="25">
        <f>ROUND(C16/0.702804,2)</f>
        <v>19.19</v>
      </c>
      <c r="E16" s="25">
        <f>ROUND(D16/30*2,2)</f>
        <v>1.28</v>
      </c>
      <c r="F16" s="25">
        <v>2</v>
      </c>
      <c r="G16" s="25">
        <v>2.59</v>
      </c>
      <c r="H16" s="25">
        <f>G16/3*5+5*0.035</f>
        <v>4.491666666666666</v>
      </c>
    </row>
    <row r="17" spans="1:8" ht="15.75">
      <c r="A17" s="31">
        <v>2341</v>
      </c>
      <c r="B17" s="32" t="s">
        <v>23</v>
      </c>
      <c r="C17" s="25">
        <v>1.25</v>
      </c>
      <c r="D17" s="25">
        <f>ROUND(C17/0.702804,2)</f>
        <v>1.78</v>
      </c>
      <c r="E17" s="25">
        <f>ROUND(D17/30*2,2)</f>
        <v>0.12</v>
      </c>
      <c r="F17" s="25">
        <f>ROUND(D17/30*3,2)</f>
        <v>0.18</v>
      </c>
      <c r="G17" s="25">
        <f>F17</f>
        <v>0.18</v>
      </c>
      <c r="H17" s="25">
        <f>G17/3*5</f>
        <v>0.3</v>
      </c>
    </row>
    <row r="18" spans="1:8" ht="15.75">
      <c r="A18" s="23">
        <v>2249</v>
      </c>
      <c r="B18" s="32" t="s">
        <v>13</v>
      </c>
      <c r="C18" s="25">
        <v>5.86</v>
      </c>
      <c r="D18" s="25">
        <f>ROUND(C18/0.702804,2)</f>
        <v>8.34</v>
      </c>
      <c r="E18" s="25">
        <f>ROUND(D18/30*2,2)</f>
        <v>0.56</v>
      </c>
      <c r="F18" s="25">
        <f>ROUND(D18/30*3,2)</f>
        <v>0.83</v>
      </c>
      <c r="G18" s="25">
        <f>F18</f>
        <v>0.83</v>
      </c>
      <c r="H18" s="25">
        <f>G18/3*5</f>
        <v>1.3833333333333333</v>
      </c>
    </row>
    <row r="19" spans="1:8" ht="15.75" hidden="1">
      <c r="A19" s="23">
        <v>2350</v>
      </c>
      <c r="B19" s="32" t="s">
        <v>25</v>
      </c>
      <c r="C19" s="25"/>
      <c r="D19" s="32"/>
      <c r="E19" s="25"/>
      <c r="F19" s="25">
        <f>E19/20*10</f>
        <v>0</v>
      </c>
      <c r="G19" s="25">
        <f>F19</f>
        <v>0</v>
      </c>
      <c r="H19" s="25">
        <f>G19/3*5</f>
        <v>0</v>
      </c>
    </row>
    <row r="20" spans="1:8" ht="15.75">
      <c r="A20" s="23"/>
      <c r="B20" s="46" t="s">
        <v>74</v>
      </c>
      <c r="C20" s="28">
        <f aca="true" t="shared" si="0" ref="C20:H20">SUM(C15:C19)</f>
        <v>77.81</v>
      </c>
      <c r="D20" s="28">
        <f t="shared" si="0"/>
        <v>110.71000000000001</v>
      </c>
      <c r="E20" s="28">
        <f t="shared" si="0"/>
        <v>7.390000000000001</v>
      </c>
      <c r="F20" s="28">
        <f t="shared" si="0"/>
        <v>11.48</v>
      </c>
      <c r="G20" s="28">
        <f t="shared" si="0"/>
        <v>14.36</v>
      </c>
      <c r="H20" s="28">
        <f t="shared" si="0"/>
        <v>24.833333333333336</v>
      </c>
    </row>
    <row r="21" spans="1:8" ht="15.75">
      <c r="A21" s="29"/>
      <c r="B21" s="23" t="s">
        <v>75</v>
      </c>
      <c r="C21" s="25"/>
      <c r="D21" s="23"/>
      <c r="E21" s="25"/>
      <c r="F21" s="25"/>
      <c r="G21" s="25"/>
      <c r="H21" s="25"/>
    </row>
    <row r="22" spans="1:8" ht="15.75">
      <c r="A22" s="23">
        <v>1100</v>
      </c>
      <c r="B22" s="23" t="s">
        <v>72</v>
      </c>
      <c r="C22" s="25">
        <v>31.56</v>
      </c>
      <c r="D22" s="25">
        <f aca="true" t="shared" si="1" ref="D22:D58">ROUND(C22/0.702804,2)</f>
        <v>44.91</v>
      </c>
      <c r="E22" s="25">
        <f aca="true" t="shared" si="2" ref="E22:E58">ROUND(D22/30*2,2)</f>
        <v>2.99</v>
      </c>
      <c r="F22" s="25">
        <v>4.66</v>
      </c>
      <c r="G22" s="25">
        <v>4.64</v>
      </c>
      <c r="H22" s="25">
        <f aca="true" t="shared" si="3" ref="H22:H65">G22/3*5</f>
        <v>7.733333333333333</v>
      </c>
    </row>
    <row r="23" spans="1:8" ht="15.75">
      <c r="A23" s="23">
        <v>1200</v>
      </c>
      <c r="B23" s="32" t="s">
        <v>73</v>
      </c>
      <c r="C23" s="47">
        <v>7.44</v>
      </c>
      <c r="D23" s="25">
        <f t="shared" si="1"/>
        <v>10.59</v>
      </c>
      <c r="E23" s="25">
        <f t="shared" si="2"/>
        <v>0.71</v>
      </c>
      <c r="F23" s="25">
        <v>1.1</v>
      </c>
      <c r="G23" s="25">
        <v>1.12</v>
      </c>
      <c r="H23" s="25">
        <f t="shared" si="3"/>
        <v>1.8666666666666667</v>
      </c>
    </row>
    <row r="24" spans="1:8" ht="15.75" hidden="1">
      <c r="A24" s="22">
        <v>2100</v>
      </c>
      <c r="B24" s="30" t="s">
        <v>42</v>
      </c>
      <c r="C24" s="80"/>
      <c r="D24" s="25">
        <f t="shared" si="1"/>
        <v>0</v>
      </c>
      <c r="E24" s="25">
        <f t="shared" si="2"/>
        <v>0</v>
      </c>
      <c r="F24" s="25">
        <f aca="true" t="shared" si="4" ref="F24:F58">ROUND(D24/30*3,2)</f>
        <v>0</v>
      </c>
      <c r="G24" s="25">
        <f aca="true" t="shared" si="5" ref="G24:G65">F24</f>
        <v>0</v>
      </c>
      <c r="H24" s="25">
        <f t="shared" si="3"/>
        <v>0</v>
      </c>
    </row>
    <row r="25" spans="1:8" ht="15.75" hidden="1">
      <c r="A25" s="22">
        <v>2210</v>
      </c>
      <c r="B25" s="24" t="s">
        <v>38</v>
      </c>
      <c r="C25" s="80">
        <v>0</v>
      </c>
      <c r="D25" s="25">
        <f t="shared" si="1"/>
        <v>0</v>
      </c>
      <c r="E25" s="25">
        <f t="shared" si="2"/>
        <v>0</v>
      </c>
      <c r="F25" s="25">
        <f t="shared" si="4"/>
        <v>0</v>
      </c>
      <c r="G25" s="25">
        <f t="shared" si="5"/>
        <v>0</v>
      </c>
      <c r="H25" s="25">
        <f t="shared" si="3"/>
        <v>0</v>
      </c>
    </row>
    <row r="26" spans="1:8" ht="15.75">
      <c r="A26" s="23">
        <v>2222</v>
      </c>
      <c r="B26" s="32" t="s">
        <v>39</v>
      </c>
      <c r="C26" s="25">
        <v>1</v>
      </c>
      <c r="D26" s="25">
        <f t="shared" si="1"/>
        <v>1.42</v>
      </c>
      <c r="E26" s="25">
        <f t="shared" si="2"/>
        <v>0.09</v>
      </c>
      <c r="F26" s="25">
        <f t="shared" si="4"/>
        <v>0.14</v>
      </c>
      <c r="G26" s="25">
        <f t="shared" si="5"/>
        <v>0.14</v>
      </c>
      <c r="H26" s="25">
        <f t="shared" si="3"/>
        <v>0.23333333333333334</v>
      </c>
    </row>
    <row r="27" spans="1:8" ht="15.75">
      <c r="A27" s="23">
        <v>2223</v>
      </c>
      <c r="B27" s="32" t="s">
        <v>40</v>
      </c>
      <c r="C27" s="25">
        <v>2</v>
      </c>
      <c r="D27" s="25">
        <f t="shared" si="1"/>
        <v>2.85</v>
      </c>
      <c r="E27" s="25">
        <f t="shared" si="2"/>
        <v>0.19</v>
      </c>
      <c r="F27" s="25">
        <f t="shared" si="4"/>
        <v>0.29</v>
      </c>
      <c r="G27" s="25">
        <f t="shared" si="5"/>
        <v>0.29</v>
      </c>
      <c r="H27" s="25">
        <f t="shared" si="3"/>
        <v>0.48333333333333334</v>
      </c>
    </row>
    <row r="28" spans="1:8" ht="15.75" hidden="1">
      <c r="A28" s="23">
        <v>2230</v>
      </c>
      <c r="B28" s="32" t="s">
        <v>41</v>
      </c>
      <c r="C28" s="25">
        <v>0</v>
      </c>
      <c r="D28" s="25">
        <f t="shared" si="1"/>
        <v>0</v>
      </c>
      <c r="E28" s="25">
        <f t="shared" si="2"/>
        <v>0</v>
      </c>
      <c r="F28" s="25">
        <f t="shared" si="4"/>
        <v>0</v>
      </c>
      <c r="G28" s="25">
        <f t="shared" si="5"/>
        <v>0</v>
      </c>
      <c r="H28" s="25">
        <f t="shared" si="3"/>
        <v>0</v>
      </c>
    </row>
    <row r="29" spans="1:8" ht="15.75" hidden="1">
      <c r="A29" s="23">
        <v>2241</v>
      </c>
      <c r="B29" s="32" t="s">
        <v>9</v>
      </c>
      <c r="C29" s="25"/>
      <c r="D29" s="25">
        <f t="shared" si="1"/>
        <v>0</v>
      </c>
      <c r="E29" s="25">
        <f t="shared" si="2"/>
        <v>0</v>
      </c>
      <c r="F29" s="25">
        <f t="shared" si="4"/>
        <v>0</v>
      </c>
      <c r="G29" s="25">
        <f t="shared" si="5"/>
        <v>0</v>
      </c>
      <c r="H29" s="25">
        <f t="shared" si="3"/>
        <v>0</v>
      </c>
    </row>
    <row r="30" spans="1:8" ht="15.75" hidden="1">
      <c r="A30" s="23">
        <v>2242</v>
      </c>
      <c r="B30" s="32" t="s">
        <v>10</v>
      </c>
      <c r="C30" s="25">
        <v>0</v>
      </c>
      <c r="D30" s="25">
        <f t="shared" si="1"/>
        <v>0</v>
      </c>
      <c r="E30" s="25">
        <f t="shared" si="2"/>
        <v>0</v>
      </c>
      <c r="F30" s="25">
        <f t="shared" si="4"/>
        <v>0</v>
      </c>
      <c r="G30" s="25">
        <f t="shared" si="5"/>
        <v>0</v>
      </c>
      <c r="H30" s="25">
        <f t="shared" si="3"/>
        <v>0</v>
      </c>
    </row>
    <row r="31" spans="1:8" ht="15.75">
      <c r="A31" s="23">
        <v>2243</v>
      </c>
      <c r="B31" s="32" t="s">
        <v>11</v>
      </c>
      <c r="C31" s="25">
        <v>1</v>
      </c>
      <c r="D31" s="25">
        <f t="shared" si="1"/>
        <v>1.42</v>
      </c>
      <c r="E31" s="25">
        <f t="shared" si="2"/>
        <v>0.09</v>
      </c>
      <c r="F31" s="25">
        <f t="shared" si="4"/>
        <v>0.14</v>
      </c>
      <c r="G31" s="25">
        <f t="shared" si="5"/>
        <v>0.14</v>
      </c>
      <c r="H31" s="25">
        <f t="shared" si="3"/>
        <v>0.23333333333333334</v>
      </c>
    </row>
    <row r="32" spans="1:8" ht="15.75">
      <c r="A32" s="23">
        <v>2244</v>
      </c>
      <c r="B32" s="32" t="s">
        <v>12</v>
      </c>
      <c r="C32" s="25">
        <v>6.89</v>
      </c>
      <c r="D32" s="25">
        <f t="shared" si="1"/>
        <v>9.8</v>
      </c>
      <c r="E32" s="25">
        <f t="shared" si="2"/>
        <v>0.65</v>
      </c>
      <c r="F32" s="25">
        <f t="shared" si="4"/>
        <v>0.98</v>
      </c>
      <c r="G32" s="25">
        <f t="shared" si="5"/>
        <v>0.98</v>
      </c>
      <c r="H32" s="25">
        <f>G32/3*5+5*0.03</f>
        <v>1.7833333333333332</v>
      </c>
    </row>
    <row r="33" spans="1:8" ht="15.75" hidden="1">
      <c r="A33" s="23">
        <v>2247</v>
      </c>
      <c r="B33" s="45" t="s">
        <v>76</v>
      </c>
      <c r="C33" s="25">
        <v>0</v>
      </c>
      <c r="D33" s="25">
        <f t="shared" si="1"/>
        <v>0</v>
      </c>
      <c r="E33" s="25">
        <f t="shared" si="2"/>
        <v>0</v>
      </c>
      <c r="F33" s="25">
        <f t="shared" si="4"/>
        <v>0</v>
      </c>
      <c r="G33" s="25">
        <f t="shared" si="5"/>
        <v>0</v>
      </c>
      <c r="H33" s="25">
        <f t="shared" si="3"/>
        <v>0</v>
      </c>
    </row>
    <row r="34" spans="1:8" ht="15.75">
      <c r="A34" s="23">
        <v>2249</v>
      </c>
      <c r="B34" s="32" t="s">
        <v>13</v>
      </c>
      <c r="C34" s="25">
        <v>1</v>
      </c>
      <c r="D34" s="25">
        <f t="shared" si="1"/>
        <v>1.42</v>
      </c>
      <c r="E34" s="25">
        <f t="shared" si="2"/>
        <v>0.09</v>
      </c>
      <c r="F34" s="25">
        <f t="shared" si="4"/>
        <v>0.14</v>
      </c>
      <c r="G34" s="25">
        <f t="shared" si="5"/>
        <v>0.14</v>
      </c>
      <c r="H34" s="25">
        <f t="shared" si="3"/>
        <v>0.23333333333333334</v>
      </c>
    </row>
    <row r="35" spans="1:8" ht="15.75">
      <c r="A35" s="23">
        <v>2251</v>
      </c>
      <c r="B35" s="32" t="s">
        <v>77</v>
      </c>
      <c r="C35" s="25">
        <v>1</v>
      </c>
      <c r="D35" s="25">
        <f t="shared" si="1"/>
        <v>1.42</v>
      </c>
      <c r="E35" s="25">
        <f t="shared" si="2"/>
        <v>0.09</v>
      </c>
      <c r="F35" s="25">
        <f t="shared" si="4"/>
        <v>0.14</v>
      </c>
      <c r="G35" s="25">
        <f t="shared" si="5"/>
        <v>0.14</v>
      </c>
      <c r="H35" s="25">
        <f t="shared" si="3"/>
        <v>0.23333333333333334</v>
      </c>
    </row>
    <row r="36" spans="1:8" ht="15.75" hidden="1">
      <c r="A36" s="23">
        <v>2252</v>
      </c>
      <c r="B36" s="32" t="s">
        <v>7</v>
      </c>
      <c r="C36" s="25"/>
      <c r="D36" s="25">
        <f t="shared" si="1"/>
        <v>0</v>
      </c>
      <c r="E36" s="25">
        <f t="shared" si="2"/>
        <v>0</v>
      </c>
      <c r="F36" s="25">
        <f t="shared" si="4"/>
        <v>0</v>
      </c>
      <c r="G36" s="25">
        <f t="shared" si="5"/>
        <v>0</v>
      </c>
      <c r="H36" s="25">
        <f t="shared" si="3"/>
        <v>0</v>
      </c>
    </row>
    <row r="37" spans="1:8" ht="15.75" hidden="1">
      <c r="A37" s="23">
        <v>2259</v>
      </c>
      <c r="B37" s="32" t="s">
        <v>8</v>
      </c>
      <c r="C37" s="25"/>
      <c r="D37" s="25">
        <f t="shared" si="1"/>
        <v>0</v>
      </c>
      <c r="E37" s="25">
        <f t="shared" si="2"/>
        <v>0</v>
      </c>
      <c r="F37" s="25">
        <f t="shared" si="4"/>
        <v>0</v>
      </c>
      <c r="G37" s="25">
        <f t="shared" si="5"/>
        <v>0</v>
      </c>
      <c r="H37" s="25">
        <f t="shared" si="3"/>
        <v>0</v>
      </c>
    </row>
    <row r="38" spans="1:8" ht="15.75" hidden="1">
      <c r="A38" s="23">
        <v>2261</v>
      </c>
      <c r="B38" s="32" t="s">
        <v>14</v>
      </c>
      <c r="C38" s="25">
        <v>0</v>
      </c>
      <c r="D38" s="25">
        <f t="shared" si="1"/>
        <v>0</v>
      </c>
      <c r="E38" s="25">
        <f t="shared" si="2"/>
        <v>0</v>
      </c>
      <c r="F38" s="25">
        <f t="shared" si="4"/>
        <v>0</v>
      </c>
      <c r="G38" s="25">
        <f t="shared" si="5"/>
        <v>0</v>
      </c>
      <c r="H38" s="25">
        <f t="shared" si="3"/>
        <v>0</v>
      </c>
    </row>
    <row r="39" spans="1:8" ht="15.75">
      <c r="A39" s="23">
        <v>2262</v>
      </c>
      <c r="B39" s="32" t="s">
        <v>15</v>
      </c>
      <c r="C39" s="25">
        <v>1</v>
      </c>
      <c r="D39" s="25">
        <f t="shared" si="1"/>
        <v>1.42</v>
      </c>
      <c r="E39" s="25">
        <f t="shared" si="2"/>
        <v>0.09</v>
      </c>
      <c r="F39" s="25">
        <f t="shared" si="4"/>
        <v>0.14</v>
      </c>
      <c r="G39" s="25">
        <f t="shared" si="5"/>
        <v>0.14</v>
      </c>
      <c r="H39" s="25">
        <f t="shared" si="3"/>
        <v>0.23333333333333334</v>
      </c>
    </row>
    <row r="40" spans="1:8" ht="15.75">
      <c r="A40" s="23">
        <v>2263</v>
      </c>
      <c r="B40" s="32" t="s">
        <v>16</v>
      </c>
      <c r="C40" s="25">
        <v>2</v>
      </c>
      <c r="D40" s="25">
        <f t="shared" si="1"/>
        <v>2.85</v>
      </c>
      <c r="E40" s="25">
        <f t="shared" si="2"/>
        <v>0.19</v>
      </c>
      <c r="F40" s="25">
        <f t="shared" si="4"/>
        <v>0.29</v>
      </c>
      <c r="G40" s="25">
        <f t="shared" si="5"/>
        <v>0.29</v>
      </c>
      <c r="H40" s="25">
        <f t="shared" si="3"/>
        <v>0.48333333333333334</v>
      </c>
    </row>
    <row r="41" spans="1:8" ht="15.75" hidden="1">
      <c r="A41" s="23">
        <v>2264</v>
      </c>
      <c r="B41" s="32" t="s">
        <v>17</v>
      </c>
      <c r="C41" s="25">
        <v>0</v>
      </c>
      <c r="D41" s="25">
        <f t="shared" si="1"/>
        <v>0</v>
      </c>
      <c r="E41" s="25">
        <f t="shared" si="2"/>
        <v>0</v>
      </c>
      <c r="F41" s="25">
        <f t="shared" si="4"/>
        <v>0</v>
      </c>
      <c r="G41" s="25">
        <f t="shared" si="5"/>
        <v>0</v>
      </c>
      <c r="H41" s="25">
        <f t="shared" si="3"/>
        <v>0</v>
      </c>
    </row>
    <row r="42" spans="1:8" ht="15.75">
      <c r="A42" s="23">
        <v>2279</v>
      </c>
      <c r="B42" s="32" t="s">
        <v>18</v>
      </c>
      <c r="C42" s="25">
        <v>2</v>
      </c>
      <c r="D42" s="25">
        <f t="shared" si="1"/>
        <v>2.85</v>
      </c>
      <c r="E42" s="25">
        <f t="shared" si="2"/>
        <v>0.19</v>
      </c>
      <c r="F42" s="25">
        <f t="shared" si="4"/>
        <v>0.29</v>
      </c>
      <c r="G42" s="25">
        <f t="shared" si="5"/>
        <v>0.29</v>
      </c>
      <c r="H42" s="25">
        <f t="shared" si="3"/>
        <v>0.48333333333333334</v>
      </c>
    </row>
    <row r="43" spans="1:8" ht="15.75" hidden="1">
      <c r="A43" s="23">
        <v>2311</v>
      </c>
      <c r="B43" s="32" t="s">
        <v>19</v>
      </c>
      <c r="C43" s="25">
        <v>0</v>
      </c>
      <c r="D43" s="25">
        <f t="shared" si="1"/>
        <v>0</v>
      </c>
      <c r="E43" s="25">
        <f t="shared" si="2"/>
        <v>0</v>
      </c>
      <c r="F43" s="25">
        <f t="shared" si="4"/>
        <v>0</v>
      </c>
      <c r="G43" s="25">
        <f t="shared" si="5"/>
        <v>0</v>
      </c>
      <c r="H43" s="25">
        <f t="shared" si="3"/>
        <v>0</v>
      </c>
    </row>
    <row r="44" spans="1:8" ht="15.75" hidden="1">
      <c r="A44" s="23">
        <v>2312</v>
      </c>
      <c r="B44" s="32" t="s">
        <v>20</v>
      </c>
      <c r="C44" s="25">
        <v>0</v>
      </c>
      <c r="D44" s="25">
        <f t="shared" si="1"/>
        <v>0</v>
      </c>
      <c r="E44" s="25">
        <f t="shared" si="2"/>
        <v>0</v>
      </c>
      <c r="F44" s="25">
        <f t="shared" si="4"/>
        <v>0</v>
      </c>
      <c r="G44" s="25">
        <f t="shared" si="5"/>
        <v>0</v>
      </c>
      <c r="H44" s="25">
        <f t="shared" si="3"/>
        <v>0</v>
      </c>
    </row>
    <row r="45" spans="1:8" ht="15.75">
      <c r="A45" s="23">
        <v>2321</v>
      </c>
      <c r="B45" s="32" t="s">
        <v>21</v>
      </c>
      <c r="C45" s="25">
        <v>1</v>
      </c>
      <c r="D45" s="25">
        <f t="shared" si="1"/>
        <v>1.42</v>
      </c>
      <c r="E45" s="25">
        <f t="shared" si="2"/>
        <v>0.09</v>
      </c>
      <c r="F45" s="25">
        <f t="shared" si="4"/>
        <v>0.14</v>
      </c>
      <c r="G45" s="25">
        <f t="shared" si="5"/>
        <v>0.14</v>
      </c>
      <c r="H45" s="25">
        <f t="shared" si="3"/>
        <v>0.23333333333333334</v>
      </c>
    </row>
    <row r="46" spans="1:8" ht="15.75" hidden="1">
      <c r="A46" s="23">
        <v>2322</v>
      </c>
      <c r="B46" s="32" t="s">
        <v>22</v>
      </c>
      <c r="C46" s="25">
        <v>0</v>
      </c>
      <c r="D46" s="25">
        <f t="shared" si="1"/>
        <v>0</v>
      </c>
      <c r="E46" s="25">
        <f t="shared" si="2"/>
        <v>0</v>
      </c>
      <c r="F46" s="25">
        <f t="shared" si="4"/>
        <v>0</v>
      </c>
      <c r="G46" s="25">
        <f t="shared" si="5"/>
        <v>0</v>
      </c>
      <c r="H46" s="25">
        <f t="shared" si="3"/>
        <v>0</v>
      </c>
    </row>
    <row r="47" spans="1:8" ht="15.75" hidden="1">
      <c r="A47" s="23">
        <v>2341</v>
      </c>
      <c r="B47" s="32" t="s">
        <v>23</v>
      </c>
      <c r="C47" s="25">
        <v>0</v>
      </c>
      <c r="D47" s="25">
        <f t="shared" si="1"/>
        <v>0</v>
      </c>
      <c r="E47" s="25">
        <f t="shared" si="2"/>
        <v>0</v>
      </c>
      <c r="F47" s="25">
        <f t="shared" si="4"/>
        <v>0</v>
      </c>
      <c r="G47" s="25">
        <f t="shared" si="5"/>
        <v>0</v>
      </c>
      <c r="H47" s="25">
        <f t="shared" si="3"/>
        <v>0</v>
      </c>
    </row>
    <row r="48" spans="1:8" ht="15.75" hidden="1">
      <c r="A48" s="23">
        <v>2344</v>
      </c>
      <c r="B48" s="32" t="s">
        <v>24</v>
      </c>
      <c r="C48" s="25"/>
      <c r="D48" s="25">
        <f t="shared" si="1"/>
        <v>0</v>
      </c>
      <c r="E48" s="25">
        <f t="shared" si="2"/>
        <v>0</v>
      </c>
      <c r="F48" s="25">
        <f t="shared" si="4"/>
        <v>0</v>
      </c>
      <c r="G48" s="25">
        <f t="shared" si="5"/>
        <v>0</v>
      </c>
      <c r="H48" s="25">
        <f t="shared" si="3"/>
        <v>0</v>
      </c>
    </row>
    <row r="49" spans="1:8" ht="15.75">
      <c r="A49" s="23">
        <v>2350</v>
      </c>
      <c r="B49" s="32" t="s">
        <v>25</v>
      </c>
      <c r="C49" s="25">
        <v>2</v>
      </c>
      <c r="D49" s="25">
        <f t="shared" si="1"/>
        <v>2.85</v>
      </c>
      <c r="E49" s="25">
        <f t="shared" si="2"/>
        <v>0.19</v>
      </c>
      <c r="F49" s="25">
        <f t="shared" si="4"/>
        <v>0.29</v>
      </c>
      <c r="G49" s="25">
        <f t="shared" si="5"/>
        <v>0.29</v>
      </c>
      <c r="H49" s="25">
        <f t="shared" si="3"/>
        <v>0.48333333333333334</v>
      </c>
    </row>
    <row r="50" spans="1:8" ht="15.75">
      <c r="A50" s="23">
        <v>2361</v>
      </c>
      <c r="B50" s="32" t="s">
        <v>26</v>
      </c>
      <c r="C50" s="25">
        <v>1</v>
      </c>
      <c r="D50" s="25">
        <f t="shared" si="1"/>
        <v>1.42</v>
      </c>
      <c r="E50" s="25">
        <v>0.12</v>
      </c>
      <c r="F50" s="25">
        <f t="shared" si="4"/>
        <v>0.14</v>
      </c>
      <c r="G50" s="25">
        <f t="shared" si="5"/>
        <v>0.14</v>
      </c>
      <c r="H50" s="25">
        <f t="shared" si="3"/>
        <v>0.23333333333333334</v>
      </c>
    </row>
    <row r="51" spans="1:8" ht="15.75" hidden="1">
      <c r="A51" s="23">
        <v>2362</v>
      </c>
      <c r="B51" s="32" t="s">
        <v>27</v>
      </c>
      <c r="C51" s="25"/>
      <c r="D51" s="25">
        <f t="shared" si="1"/>
        <v>0</v>
      </c>
      <c r="E51" s="25">
        <f t="shared" si="2"/>
        <v>0</v>
      </c>
      <c r="F51" s="25">
        <f t="shared" si="4"/>
        <v>0</v>
      </c>
      <c r="G51" s="25">
        <f t="shared" si="5"/>
        <v>0</v>
      </c>
      <c r="H51" s="25">
        <f t="shared" si="3"/>
        <v>0</v>
      </c>
    </row>
    <row r="52" spans="1:8" ht="15.75" hidden="1">
      <c r="A52" s="23">
        <v>2363</v>
      </c>
      <c r="B52" s="32" t="s">
        <v>28</v>
      </c>
      <c r="C52" s="25"/>
      <c r="D52" s="25">
        <f t="shared" si="1"/>
        <v>0</v>
      </c>
      <c r="E52" s="25">
        <f t="shared" si="2"/>
        <v>0</v>
      </c>
      <c r="F52" s="25">
        <f t="shared" si="4"/>
        <v>0</v>
      </c>
      <c r="G52" s="25">
        <f t="shared" si="5"/>
        <v>0</v>
      </c>
      <c r="H52" s="25">
        <f t="shared" si="3"/>
        <v>0</v>
      </c>
    </row>
    <row r="53" spans="1:8" ht="15.75" hidden="1">
      <c r="A53" s="23">
        <v>2370</v>
      </c>
      <c r="B53" s="32" t="s">
        <v>29</v>
      </c>
      <c r="C53" s="25"/>
      <c r="D53" s="25">
        <f t="shared" si="1"/>
        <v>0</v>
      </c>
      <c r="E53" s="25">
        <f t="shared" si="2"/>
        <v>0</v>
      </c>
      <c r="F53" s="25">
        <f t="shared" si="4"/>
        <v>0</v>
      </c>
      <c r="G53" s="25">
        <f t="shared" si="5"/>
        <v>0</v>
      </c>
      <c r="H53" s="25">
        <f t="shared" si="3"/>
        <v>0</v>
      </c>
    </row>
    <row r="54" spans="1:8" ht="15.75" hidden="1">
      <c r="A54" s="23">
        <v>2400</v>
      </c>
      <c r="B54" s="32" t="s">
        <v>43</v>
      </c>
      <c r="C54" s="25">
        <v>0</v>
      </c>
      <c r="D54" s="25">
        <f t="shared" si="1"/>
        <v>0</v>
      </c>
      <c r="E54" s="25">
        <f t="shared" si="2"/>
        <v>0</v>
      </c>
      <c r="F54" s="25">
        <f t="shared" si="4"/>
        <v>0</v>
      </c>
      <c r="G54" s="25">
        <f t="shared" si="5"/>
        <v>0</v>
      </c>
      <c r="H54" s="25">
        <f t="shared" si="3"/>
        <v>0</v>
      </c>
    </row>
    <row r="55" spans="1:8" ht="15.75" hidden="1">
      <c r="A55" s="23">
        <v>2512</v>
      </c>
      <c r="B55" s="32" t="s">
        <v>30</v>
      </c>
      <c r="C55" s="25">
        <v>0</v>
      </c>
      <c r="D55" s="25">
        <f t="shared" si="1"/>
        <v>0</v>
      </c>
      <c r="E55" s="25">
        <f t="shared" si="2"/>
        <v>0</v>
      </c>
      <c r="F55" s="25">
        <f t="shared" si="4"/>
        <v>0</v>
      </c>
      <c r="G55" s="25">
        <f t="shared" si="5"/>
        <v>0</v>
      </c>
      <c r="H55" s="25">
        <f t="shared" si="3"/>
        <v>0</v>
      </c>
    </row>
    <row r="56" spans="1:8" ht="15.75">
      <c r="A56" s="23">
        <v>2513</v>
      </c>
      <c r="B56" s="32" t="s">
        <v>31</v>
      </c>
      <c r="C56" s="25">
        <v>1</v>
      </c>
      <c r="D56" s="25">
        <f t="shared" si="1"/>
        <v>1.42</v>
      </c>
      <c r="E56" s="25">
        <f t="shared" si="2"/>
        <v>0.09</v>
      </c>
      <c r="F56" s="25">
        <f t="shared" si="4"/>
        <v>0.14</v>
      </c>
      <c r="G56" s="25">
        <f t="shared" si="5"/>
        <v>0.14</v>
      </c>
      <c r="H56" s="25">
        <f t="shared" si="3"/>
        <v>0.23333333333333334</v>
      </c>
    </row>
    <row r="57" spans="1:8" ht="15.75" hidden="1">
      <c r="A57" s="23">
        <v>2515</v>
      </c>
      <c r="B57" s="32" t="s">
        <v>78</v>
      </c>
      <c r="C57" s="25">
        <v>0</v>
      </c>
      <c r="D57" s="25">
        <f t="shared" si="1"/>
        <v>0</v>
      </c>
      <c r="E57" s="25">
        <f t="shared" si="2"/>
        <v>0</v>
      </c>
      <c r="F57" s="25">
        <f t="shared" si="4"/>
        <v>0</v>
      </c>
      <c r="G57" s="25">
        <f t="shared" si="5"/>
        <v>0</v>
      </c>
      <c r="H57" s="25">
        <f t="shared" si="3"/>
        <v>0</v>
      </c>
    </row>
    <row r="58" spans="1:8" ht="15.75">
      <c r="A58" s="23">
        <v>2519</v>
      </c>
      <c r="B58" s="32" t="s">
        <v>34</v>
      </c>
      <c r="C58" s="25">
        <v>1</v>
      </c>
      <c r="D58" s="25">
        <f t="shared" si="1"/>
        <v>1.42</v>
      </c>
      <c r="E58" s="25">
        <f t="shared" si="2"/>
        <v>0.09</v>
      </c>
      <c r="F58" s="25">
        <f t="shared" si="4"/>
        <v>0.14</v>
      </c>
      <c r="G58" s="25">
        <f t="shared" si="5"/>
        <v>0.14</v>
      </c>
      <c r="H58" s="25">
        <f t="shared" si="3"/>
        <v>0.23333333333333334</v>
      </c>
    </row>
    <row r="59" spans="1:8" ht="15.75" hidden="1">
      <c r="A59" s="23">
        <v>6240</v>
      </c>
      <c r="B59" s="32"/>
      <c r="C59" s="25"/>
      <c r="D59" s="32"/>
      <c r="E59" s="25"/>
      <c r="F59" s="25">
        <f aca="true" t="shared" si="6" ref="F59:F65">E59/30*10</f>
        <v>0</v>
      </c>
      <c r="G59" s="25">
        <f t="shared" si="5"/>
        <v>0</v>
      </c>
      <c r="H59" s="25">
        <f t="shared" si="3"/>
        <v>0</v>
      </c>
    </row>
    <row r="60" spans="1:8" ht="15.75" hidden="1">
      <c r="A60" s="23">
        <v>6290</v>
      </c>
      <c r="B60" s="32"/>
      <c r="C60" s="25"/>
      <c r="D60" s="32"/>
      <c r="E60" s="25"/>
      <c r="F60" s="25">
        <f t="shared" si="6"/>
        <v>0</v>
      </c>
      <c r="G60" s="25">
        <f t="shared" si="5"/>
        <v>0</v>
      </c>
      <c r="H60" s="25">
        <f t="shared" si="3"/>
        <v>0</v>
      </c>
    </row>
    <row r="61" spans="1:8" ht="15.75" hidden="1">
      <c r="A61" s="23">
        <v>5121</v>
      </c>
      <c r="B61" s="32" t="s">
        <v>32</v>
      </c>
      <c r="C61" s="25">
        <v>0</v>
      </c>
      <c r="D61" s="32"/>
      <c r="E61" s="25">
        <v>0</v>
      </c>
      <c r="F61" s="25">
        <f t="shared" si="6"/>
        <v>0</v>
      </c>
      <c r="G61" s="25">
        <f t="shared" si="5"/>
        <v>0</v>
      </c>
      <c r="H61" s="25">
        <f t="shared" si="3"/>
        <v>0</v>
      </c>
    </row>
    <row r="62" spans="1:8" ht="15.75" hidden="1">
      <c r="A62" s="23">
        <v>5232</v>
      </c>
      <c r="B62" s="32" t="s">
        <v>33</v>
      </c>
      <c r="C62" s="25">
        <v>0</v>
      </c>
      <c r="D62" s="32"/>
      <c r="E62" s="25">
        <v>0</v>
      </c>
      <c r="F62" s="25">
        <f t="shared" si="6"/>
        <v>0</v>
      </c>
      <c r="G62" s="25">
        <f t="shared" si="5"/>
        <v>0</v>
      </c>
      <c r="H62" s="25">
        <f t="shared" si="3"/>
        <v>0</v>
      </c>
    </row>
    <row r="63" spans="1:8" ht="15.75" hidden="1">
      <c r="A63" s="23">
        <v>5238</v>
      </c>
      <c r="B63" s="32" t="s">
        <v>35</v>
      </c>
      <c r="C63" s="25">
        <v>0</v>
      </c>
      <c r="D63" s="32"/>
      <c r="E63" s="25">
        <v>0</v>
      </c>
      <c r="F63" s="25">
        <f t="shared" si="6"/>
        <v>0</v>
      </c>
      <c r="G63" s="25">
        <f t="shared" si="5"/>
        <v>0</v>
      </c>
      <c r="H63" s="25">
        <f t="shared" si="3"/>
        <v>0</v>
      </c>
    </row>
    <row r="64" spans="1:8" ht="15.75" hidden="1">
      <c r="A64" s="23">
        <v>5240</v>
      </c>
      <c r="B64" s="32" t="s">
        <v>36</v>
      </c>
      <c r="C64" s="25"/>
      <c r="D64" s="32"/>
      <c r="E64" s="25"/>
      <c r="F64" s="25">
        <f t="shared" si="6"/>
        <v>0</v>
      </c>
      <c r="G64" s="25">
        <f t="shared" si="5"/>
        <v>0</v>
      </c>
      <c r="H64" s="25">
        <f t="shared" si="3"/>
        <v>0</v>
      </c>
    </row>
    <row r="65" spans="1:8" ht="15.75" hidden="1">
      <c r="A65" s="23">
        <v>5250</v>
      </c>
      <c r="B65" s="32" t="s">
        <v>37</v>
      </c>
      <c r="C65" s="25"/>
      <c r="D65" s="32"/>
      <c r="E65" s="25"/>
      <c r="F65" s="25">
        <f t="shared" si="6"/>
        <v>0</v>
      </c>
      <c r="G65" s="25">
        <f t="shared" si="5"/>
        <v>0</v>
      </c>
      <c r="H65" s="25">
        <f t="shared" si="3"/>
        <v>0</v>
      </c>
    </row>
    <row r="66" spans="1:8" ht="15.75">
      <c r="A66" s="29"/>
      <c r="B66" s="48" t="s">
        <v>79</v>
      </c>
      <c r="C66" s="28">
        <f aca="true" t="shared" si="7" ref="C66:H66">SUM(C22:C65)</f>
        <v>62.89</v>
      </c>
      <c r="D66" s="28">
        <f t="shared" si="7"/>
        <v>89.48</v>
      </c>
      <c r="E66" s="28">
        <f t="shared" si="7"/>
        <v>5.950000000000001</v>
      </c>
      <c r="F66" s="28">
        <f t="shared" si="7"/>
        <v>9.159999999999998</v>
      </c>
      <c r="G66" s="28">
        <f t="shared" si="7"/>
        <v>9.159999999999998</v>
      </c>
      <c r="H66" s="28">
        <f t="shared" si="7"/>
        <v>15.416666666666655</v>
      </c>
    </row>
    <row r="67" spans="1:8" ht="15.75">
      <c r="A67" s="29"/>
      <c r="B67" s="48" t="s">
        <v>80</v>
      </c>
      <c r="C67" s="28">
        <f aca="true" t="shared" si="8" ref="C67:H67">C66+C20</f>
        <v>140.7</v>
      </c>
      <c r="D67" s="28">
        <f t="shared" si="8"/>
        <v>200.19</v>
      </c>
      <c r="E67" s="28">
        <f t="shared" si="8"/>
        <v>13.340000000000002</v>
      </c>
      <c r="F67" s="28">
        <f t="shared" si="8"/>
        <v>20.64</v>
      </c>
      <c r="G67" s="28">
        <f t="shared" si="8"/>
        <v>23.519999999999996</v>
      </c>
      <c r="H67" s="28">
        <f t="shared" si="8"/>
        <v>40.24999999999999</v>
      </c>
    </row>
    <row r="68" spans="1:8" ht="15.75">
      <c r="A68" s="9"/>
      <c r="B68" s="14"/>
      <c r="C68" s="35"/>
      <c r="D68" s="35"/>
      <c r="E68" s="35"/>
      <c r="F68" s="35"/>
      <c r="G68" s="35"/>
      <c r="H68" s="35"/>
    </row>
    <row r="69" spans="1:8" ht="15.75" customHeight="1">
      <c r="A69" s="212" t="s">
        <v>45</v>
      </c>
      <c r="B69" s="213"/>
      <c r="C69" s="36">
        <v>30</v>
      </c>
      <c r="D69" s="36">
        <v>30</v>
      </c>
      <c r="E69" s="42">
        <v>2</v>
      </c>
      <c r="F69" s="42">
        <v>3</v>
      </c>
      <c r="G69" s="42">
        <v>3</v>
      </c>
      <c r="H69" s="162">
        <v>5</v>
      </c>
    </row>
    <row r="70" spans="1:8" ht="15.75" customHeight="1">
      <c r="A70" s="212" t="s">
        <v>91</v>
      </c>
      <c r="B70" s="213"/>
      <c r="C70" s="102">
        <f>C67/C69</f>
        <v>4.6899999999999995</v>
      </c>
      <c r="D70" s="99">
        <f>ROUND(D67/D69,2)</f>
        <v>6.67</v>
      </c>
      <c r="E70" s="28">
        <f>ROUND(E67/E69,2)</f>
        <v>6.67</v>
      </c>
      <c r="F70" s="28">
        <f>ROUND(F67/F69,2)</f>
        <v>6.88</v>
      </c>
      <c r="G70" s="28">
        <f>ROUND(G67/G69,2)</f>
        <v>7.84</v>
      </c>
      <c r="H70" s="164">
        <f>ROUND(H67/H69,2)</f>
        <v>8.05</v>
      </c>
    </row>
    <row r="71" spans="1:8" ht="15.75">
      <c r="A71" s="14"/>
      <c r="B71" s="11"/>
      <c r="C71" s="11"/>
      <c r="D71" s="11"/>
      <c r="E71" s="11"/>
      <c r="F71" s="15"/>
      <c r="G71" s="15"/>
      <c r="H71" s="15"/>
    </row>
    <row r="72" spans="1:8" ht="15.75" customHeight="1">
      <c r="A72" s="212" t="s">
        <v>46</v>
      </c>
      <c r="B72" s="213"/>
      <c r="C72" s="72"/>
      <c r="D72" s="72"/>
      <c r="E72" s="37"/>
      <c r="F72" s="37"/>
      <c r="G72" s="37"/>
      <c r="H72" s="37"/>
    </row>
    <row r="73" spans="1:8" ht="15.75" customHeight="1">
      <c r="A73" s="212" t="s">
        <v>56</v>
      </c>
      <c r="B73" s="213"/>
      <c r="C73" s="72"/>
      <c r="D73" s="72"/>
      <c r="E73" s="37"/>
      <c r="F73" s="37"/>
      <c r="G73" s="37"/>
      <c r="H73" s="37"/>
    </row>
    <row r="74" spans="1:8" ht="15.75">
      <c r="A74" s="38"/>
      <c r="B74" s="38"/>
      <c r="C74" s="38"/>
      <c r="D74" s="38"/>
      <c r="E74" s="38"/>
      <c r="F74" s="38"/>
      <c r="G74" s="38"/>
      <c r="H74" s="38"/>
    </row>
    <row r="75" spans="1:8" ht="15.75">
      <c r="A75" s="38" t="s">
        <v>47</v>
      </c>
      <c r="B75" s="38"/>
      <c r="C75" s="38"/>
      <c r="D75" s="38"/>
      <c r="E75" s="38"/>
      <c r="F75" s="38"/>
      <c r="G75" s="38"/>
      <c r="H75" s="38"/>
    </row>
    <row r="76" spans="1:8" ht="15.75">
      <c r="A76" s="38"/>
      <c r="B76" s="38"/>
      <c r="C76" s="38"/>
      <c r="D76" s="38"/>
      <c r="E76" s="38"/>
      <c r="F76" s="38"/>
      <c r="G76" s="38"/>
      <c r="H76" s="38"/>
    </row>
    <row r="77" spans="1:8" ht="15.75">
      <c r="A77" s="38"/>
      <c r="B77" s="39"/>
      <c r="C77" s="39"/>
      <c r="D77" s="39"/>
      <c r="E77" s="39"/>
      <c r="F77" s="38"/>
      <c r="G77" s="38"/>
      <c r="H77" s="38"/>
    </row>
    <row r="78" spans="1:8" ht="15.75">
      <c r="A78" s="38"/>
      <c r="B78" s="101"/>
      <c r="C78" s="101"/>
      <c r="D78" s="101"/>
      <c r="E78" s="39"/>
      <c r="F78" s="38"/>
      <c r="G78" s="38"/>
      <c r="H78" s="38"/>
    </row>
    <row r="79" spans="2:5" ht="15">
      <c r="B79" s="232"/>
      <c r="C79" s="232"/>
      <c r="D79" s="232"/>
      <c r="E79" s="232"/>
    </row>
    <row r="80" spans="2:5" ht="15">
      <c r="B80" s="2"/>
      <c r="C80" s="2"/>
      <c r="D80" s="2"/>
      <c r="E80" s="2"/>
    </row>
  </sheetData>
  <sheetProtection/>
  <mergeCells count="12">
    <mergeCell ref="B79:E79"/>
    <mergeCell ref="B7:E7"/>
    <mergeCell ref="B8:E8"/>
    <mergeCell ref="B9:E9"/>
    <mergeCell ref="A69:B69"/>
    <mergeCell ref="A70:B70"/>
    <mergeCell ref="A72:B72"/>
    <mergeCell ref="A3:H3"/>
    <mergeCell ref="B4:E4"/>
    <mergeCell ref="A5:E5"/>
    <mergeCell ref="A6:E6"/>
    <mergeCell ref="A73:B7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Layout" workbookViewId="0" topLeftCell="A85">
      <selection activeCell="B84" sqref="B84"/>
    </sheetView>
  </sheetViews>
  <sheetFormatPr defaultColWidth="9.140625" defaultRowHeight="12.75"/>
  <cols>
    <col min="1" max="1" width="13.28125" style="4" customWidth="1"/>
    <col min="2" max="2" width="97.7109375" style="4" customWidth="1"/>
    <col min="3" max="3" width="14.421875" style="4" hidden="1" customWidth="1"/>
    <col min="4" max="4" width="16.421875" style="4" hidden="1" customWidth="1"/>
    <col min="5" max="7" width="21.57421875" style="4" hidden="1" customWidth="1"/>
    <col min="8" max="8" width="33.140625" style="4" customWidth="1"/>
  </cols>
  <sheetData>
    <row r="1" spans="2:8" ht="15.75">
      <c r="B1" s="12"/>
      <c r="C1" s="12"/>
      <c r="D1" s="12"/>
      <c r="E1" s="76"/>
      <c r="F1" s="9" t="s">
        <v>254</v>
      </c>
      <c r="G1" s="9" t="s">
        <v>254</v>
      </c>
      <c r="H1" s="9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15"/>
      <c r="G5" s="15"/>
      <c r="H5" s="15"/>
    </row>
    <row r="6" spans="1:8" ht="15.75">
      <c r="A6" s="195" t="s">
        <v>0</v>
      </c>
      <c r="B6" s="195"/>
      <c r="C6" s="195"/>
      <c r="D6" s="195"/>
      <c r="E6" s="195"/>
      <c r="F6" s="25"/>
      <c r="G6" s="85"/>
      <c r="H6" s="85"/>
    </row>
    <row r="7" spans="1:8" ht="15.75">
      <c r="A7" s="8"/>
      <c r="B7" s="195" t="s">
        <v>44</v>
      </c>
      <c r="C7" s="195"/>
      <c r="D7" s="195"/>
      <c r="E7" s="195"/>
      <c r="F7" s="25"/>
      <c r="G7" s="15"/>
      <c r="H7" s="15"/>
    </row>
    <row r="8" spans="1:8" ht="15.75">
      <c r="A8" s="8"/>
      <c r="B8" s="195" t="s">
        <v>87</v>
      </c>
      <c r="C8" s="195"/>
      <c r="D8" s="195"/>
      <c r="E8" s="195"/>
      <c r="F8" s="85"/>
      <c r="G8" s="85"/>
      <c r="H8" s="85"/>
    </row>
    <row r="9" spans="1:8" ht="15.75">
      <c r="A9" s="8"/>
      <c r="B9" s="195" t="s">
        <v>106</v>
      </c>
      <c r="C9" s="195"/>
      <c r="D9" s="195"/>
      <c r="E9" s="195"/>
      <c r="F9" s="15"/>
      <c r="G9" s="85"/>
      <c r="H9" s="85"/>
    </row>
    <row r="10" spans="1:8" ht="15.75">
      <c r="A10" s="8" t="s">
        <v>2</v>
      </c>
      <c r="B10" s="8" t="s">
        <v>205</v>
      </c>
      <c r="C10" s="8"/>
      <c r="D10" s="8"/>
      <c r="E10" s="8"/>
      <c r="F10" s="15"/>
      <c r="G10" s="15"/>
      <c r="H10" s="15"/>
    </row>
    <row r="11" spans="1:8" ht="15.75" hidden="1">
      <c r="A11" s="15"/>
      <c r="B11" s="16"/>
      <c r="C11" s="77"/>
      <c r="D11" s="16"/>
      <c r="E11" s="77"/>
      <c r="F11" s="15"/>
      <c r="G11" s="15"/>
      <c r="H11" s="15"/>
    </row>
    <row r="12" spans="1:8" ht="47.25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9"/>
      <c r="D13" s="19"/>
      <c r="E13" s="18">
        <v>3</v>
      </c>
      <c r="F13" s="19">
        <v>4</v>
      </c>
      <c r="G13" s="19"/>
      <c r="H13" s="19">
        <v>3</v>
      </c>
    </row>
    <row r="14" spans="1:8" ht="15.75">
      <c r="A14" s="20"/>
      <c r="B14" s="45" t="s">
        <v>71</v>
      </c>
      <c r="C14" s="45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42.74</v>
      </c>
      <c r="D15" s="25">
        <f>ROUND(C15/0.702804,2)</f>
        <v>60.81</v>
      </c>
      <c r="E15" s="25">
        <f>ROUND(D15/10*2,2)</f>
        <v>12.16</v>
      </c>
      <c r="F15" s="25">
        <v>18.45</v>
      </c>
      <c r="G15" s="25">
        <v>23.43</v>
      </c>
      <c r="H15" s="25">
        <f>G15/3*5+5*0.395</f>
        <v>41.025</v>
      </c>
    </row>
    <row r="16" spans="1:8" ht="15.75">
      <c r="A16" s="23">
        <v>1200</v>
      </c>
      <c r="B16" s="32" t="s">
        <v>73</v>
      </c>
      <c r="C16" s="47">
        <v>10.29</v>
      </c>
      <c r="D16" s="25">
        <f>ROUND(C16/0.702804,2)</f>
        <v>14.64</v>
      </c>
      <c r="E16" s="25">
        <f>ROUND(D16/10*2,2)</f>
        <v>2.93</v>
      </c>
      <c r="F16" s="25">
        <v>4.37</v>
      </c>
      <c r="G16" s="25">
        <v>5.64</v>
      </c>
      <c r="H16" s="25">
        <f>G16/3*5+5*0.095</f>
        <v>9.874999999999998</v>
      </c>
    </row>
    <row r="17" spans="1:8" ht="15.75">
      <c r="A17" s="31">
        <v>2341</v>
      </c>
      <c r="B17" s="32" t="s">
        <v>23</v>
      </c>
      <c r="C17" s="25">
        <v>0.76</v>
      </c>
      <c r="D17" s="25">
        <f>ROUND(C17/0.702804,2)</f>
        <v>1.08</v>
      </c>
      <c r="E17" s="25">
        <f>ROUND(D17/10*2,2)</f>
        <v>0.22</v>
      </c>
      <c r="F17" s="25">
        <f>ROUND(D17/10*3,2)</f>
        <v>0.32</v>
      </c>
      <c r="G17" s="25">
        <f>F17</f>
        <v>0.32</v>
      </c>
      <c r="H17" s="25">
        <f>G17/3*5</f>
        <v>0.5333333333333333</v>
      </c>
    </row>
    <row r="18" spans="1:8" ht="15.75">
      <c r="A18" s="23">
        <v>2249</v>
      </c>
      <c r="B18" s="32" t="s">
        <v>13</v>
      </c>
      <c r="C18" s="25">
        <v>1.95</v>
      </c>
      <c r="D18" s="25">
        <f>ROUND(C18/0.702804,2)</f>
        <v>2.77</v>
      </c>
      <c r="E18" s="25">
        <f>ROUND(D18/10*2,2)</f>
        <v>0.55</v>
      </c>
      <c r="F18" s="25">
        <f>ROUND(D18/10*3,2)</f>
        <v>0.83</v>
      </c>
      <c r="G18" s="25">
        <f>F18</f>
        <v>0.83</v>
      </c>
      <c r="H18" s="25">
        <f>G18/3*5</f>
        <v>1.3833333333333333</v>
      </c>
    </row>
    <row r="19" spans="1:8" ht="15.75" hidden="1">
      <c r="A19" s="23">
        <v>2350</v>
      </c>
      <c r="B19" s="32" t="s">
        <v>25</v>
      </c>
      <c r="C19" s="25"/>
      <c r="D19" s="32"/>
      <c r="E19" s="25"/>
      <c r="F19" s="25">
        <f>E19/20*10</f>
        <v>0</v>
      </c>
      <c r="G19" s="25">
        <f>F19</f>
        <v>0</v>
      </c>
      <c r="H19" s="25">
        <f>G19/3*5</f>
        <v>0</v>
      </c>
    </row>
    <row r="20" spans="1:8" ht="15.75" hidden="1">
      <c r="A20" s="23"/>
      <c r="B20" s="23"/>
      <c r="C20" s="25"/>
      <c r="D20" s="23"/>
      <c r="E20" s="25"/>
      <c r="F20" s="28"/>
      <c r="G20" s="28"/>
      <c r="H20" s="28"/>
    </row>
    <row r="21" spans="1:8" ht="15.75">
      <c r="A21" s="23"/>
      <c r="B21" s="46" t="s">
        <v>74</v>
      </c>
      <c r="C21" s="28">
        <f aca="true" t="shared" si="0" ref="C21:H21">SUM(C15:C20)</f>
        <v>55.74</v>
      </c>
      <c r="D21" s="28">
        <f t="shared" si="0"/>
        <v>79.3</v>
      </c>
      <c r="E21" s="28">
        <f t="shared" si="0"/>
        <v>15.860000000000001</v>
      </c>
      <c r="F21" s="28">
        <f t="shared" si="0"/>
        <v>23.97</v>
      </c>
      <c r="G21" s="28">
        <f t="shared" si="0"/>
        <v>30.22</v>
      </c>
      <c r="H21" s="28">
        <f t="shared" si="0"/>
        <v>52.81666666666666</v>
      </c>
    </row>
    <row r="22" spans="1:8" ht="15.75">
      <c r="A22" s="29"/>
      <c r="B22" s="23" t="s">
        <v>75</v>
      </c>
      <c r="C22" s="25"/>
      <c r="D22" s="23"/>
      <c r="E22" s="25"/>
      <c r="F22" s="25"/>
      <c r="G22" s="25"/>
      <c r="H22" s="25"/>
    </row>
    <row r="23" spans="1:8" ht="15.75">
      <c r="A23" s="23">
        <v>1100</v>
      </c>
      <c r="B23" s="23" t="s">
        <v>72</v>
      </c>
      <c r="C23" s="25">
        <v>23.46</v>
      </c>
      <c r="D23" s="25">
        <f aca="true" t="shared" si="1" ref="D23:D56">ROUND(C23/0.702804,2)</f>
        <v>33.38</v>
      </c>
      <c r="E23" s="25">
        <f aca="true" t="shared" si="2" ref="E23:E56">ROUND(D23/10*2,2)</f>
        <v>6.68</v>
      </c>
      <c r="F23" s="25">
        <v>10.42</v>
      </c>
      <c r="G23" s="25">
        <v>10.38</v>
      </c>
      <c r="H23" s="25">
        <f aca="true" t="shared" si="3" ref="H23:H66">G23/3*5</f>
        <v>17.3</v>
      </c>
    </row>
    <row r="24" spans="1:8" ht="15.75">
      <c r="A24" s="23">
        <v>1200</v>
      </c>
      <c r="B24" s="32" t="s">
        <v>73</v>
      </c>
      <c r="C24" s="47">
        <v>5.54</v>
      </c>
      <c r="D24" s="25">
        <f t="shared" si="1"/>
        <v>7.88</v>
      </c>
      <c r="E24" s="25">
        <f t="shared" si="2"/>
        <v>1.58</v>
      </c>
      <c r="F24" s="25">
        <v>2.46</v>
      </c>
      <c r="G24" s="25">
        <v>2.5</v>
      </c>
      <c r="H24" s="25">
        <f t="shared" si="3"/>
        <v>4.166666666666667</v>
      </c>
    </row>
    <row r="25" spans="1:8" ht="15.75" hidden="1">
      <c r="A25" s="23">
        <v>2100</v>
      </c>
      <c r="B25" s="30" t="s">
        <v>42</v>
      </c>
      <c r="C25" s="25"/>
      <c r="D25" s="25">
        <f t="shared" si="1"/>
        <v>0</v>
      </c>
      <c r="E25" s="25">
        <f t="shared" si="2"/>
        <v>0</v>
      </c>
      <c r="F25" s="25">
        <f aca="true" t="shared" si="4" ref="F25:F57">ROUND(D25/10*3,2)</f>
        <v>0</v>
      </c>
      <c r="G25" s="25">
        <f aca="true" t="shared" si="5" ref="G25:G66">F25</f>
        <v>0</v>
      </c>
      <c r="H25" s="25">
        <f t="shared" si="3"/>
        <v>0</v>
      </c>
    </row>
    <row r="26" spans="1:8" ht="15.75" hidden="1">
      <c r="A26" s="31">
        <v>2210</v>
      </c>
      <c r="B26" s="32" t="s">
        <v>38</v>
      </c>
      <c r="C26" s="25">
        <v>0</v>
      </c>
      <c r="D26" s="25">
        <f t="shared" si="1"/>
        <v>0</v>
      </c>
      <c r="E26" s="25">
        <f t="shared" si="2"/>
        <v>0</v>
      </c>
      <c r="F26" s="25">
        <f t="shared" si="4"/>
        <v>0</v>
      </c>
      <c r="G26" s="25">
        <f t="shared" si="5"/>
        <v>0</v>
      </c>
      <c r="H26" s="25">
        <f t="shared" si="3"/>
        <v>0</v>
      </c>
    </row>
    <row r="27" spans="1:8" ht="15.75">
      <c r="A27" s="23">
        <v>2222</v>
      </c>
      <c r="B27" s="32" t="s">
        <v>39</v>
      </c>
      <c r="C27" s="25">
        <v>1</v>
      </c>
      <c r="D27" s="25">
        <f t="shared" si="1"/>
        <v>1.42</v>
      </c>
      <c r="E27" s="25">
        <f t="shared" si="2"/>
        <v>0.28</v>
      </c>
      <c r="F27" s="25">
        <f t="shared" si="4"/>
        <v>0.43</v>
      </c>
      <c r="G27" s="25">
        <f t="shared" si="5"/>
        <v>0.43</v>
      </c>
      <c r="H27" s="25">
        <f t="shared" si="3"/>
        <v>0.7166666666666667</v>
      </c>
    </row>
    <row r="28" spans="1:8" ht="15.75">
      <c r="A28" s="23">
        <v>2223</v>
      </c>
      <c r="B28" s="32" t="s">
        <v>40</v>
      </c>
      <c r="C28" s="25">
        <v>1</v>
      </c>
      <c r="D28" s="25">
        <f t="shared" si="1"/>
        <v>1.42</v>
      </c>
      <c r="E28" s="25">
        <f t="shared" si="2"/>
        <v>0.28</v>
      </c>
      <c r="F28" s="25">
        <f t="shared" si="4"/>
        <v>0.43</v>
      </c>
      <c r="G28" s="25">
        <f t="shared" si="5"/>
        <v>0.43</v>
      </c>
      <c r="H28" s="25">
        <f t="shared" si="3"/>
        <v>0.7166666666666667</v>
      </c>
    </row>
    <row r="29" spans="1:8" ht="15.75" hidden="1">
      <c r="A29" s="23">
        <v>2230</v>
      </c>
      <c r="B29" s="32" t="s">
        <v>41</v>
      </c>
      <c r="C29" s="25">
        <v>0</v>
      </c>
      <c r="D29" s="25">
        <f t="shared" si="1"/>
        <v>0</v>
      </c>
      <c r="E29" s="25">
        <f t="shared" si="2"/>
        <v>0</v>
      </c>
      <c r="F29" s="25">
        <f t="shared" si="4"/>
        <v>0</v>
      </c>
      <c r="G29" s="25">
        <f t="shared" si="5"/>
        <v>0</v>
      </c>
      <c r="H29" s="25">
        <f t="shared" si="3"/>
        <v>0</v>
      </c>
    </row>
    <row r="30" spans="1:8" ht="15.75" hidden="1">
      <c r="A30" s="23">
        <v>2241</v>
      </c>
      <c r="B30" s="32" t="s">
        <v>9</v>
      </c>
      <c r="C30" s="25"/>
      <c r="D30" s="25">
        <f t="shared" si="1"/>
        <v>0</v>
      </c>
      <c r="E30" s="25">
        <f t="shared" si="2"/>
        <v>0</v>
      </c>
      <c r="F30" s="25">
        <f t="shared" si="4"/>
        <v>0</v>
      </c>
      <c r="G30" s="25">
        <f t="shared" si="5"/>
        <v>0</v>
      </c>
      <c r="H30" s="25">
        <f t="shared" si="3"/>
        <v>0</v>
      </c>
    </row>
    <row r="31" spans="1:8" ht="15.75" hidden="1">
      <c r="A31" s="23">
        <v>2242</v>
      </c>
      <c r="B31" s="32" t="s">
        <v>10</v>
      </c>
      <c r="C31" s="25">
        <v>0</v>
      </c>
      <c r="D31" s="25">
        <f t="shared" si="1"/>
        <v>0</v>
      </c>
      <c r="E31" s="25">
        <f t="shared" si="2"/>
        <v>0</v>
      </c>
      <c r="F31" s="25">
        <f t="shared" si="4"/>
        <v>0</v>
      </c>
      <c r="G31" s="25">
        <f t="shared" si="5"/>
        <v>0</v>
      </c>
      <c r="H31" s="25">
        <f t="shared" si="3"/>
        <v>0</v>
      </c>
    </row>
    <row r="32" spans="1:8" ht="15.75" hidden="1">
      <c r="A32" s="23">
        <v>2243</v>
      </c>
      <c r="B32" s="32" t="s">
        <v>11</v>
      </c>
      <c r="C32" s="25">
        <v>0</v>
      </c>
      <c r="D32" s="25">
        <f t="shared" si="1"/>
        <v>0</v>
      </c>
      <c r="E32" s="25">
        <f t="shared" si="2"/>
        <v>0</v>
      </c>
      <c r="F32" s="25">
        <f t="shared" si="4"/>
        <v>0</v>
      </c>
      <c r="G32" s="25">
        <f t="shared" si="5"/>
        <v>0</v>
      </c>
      <c r="H32" s="25">
        <f t="shared" si="3"/>
        <v>0</v>
      </c>
    </row>
    <row r="33" spans="1:8" ht="15.75">
      <c r="A33" s="23">
        <v>2244</v>
      </c>
      <c r="B33" s="32" t="s">
        <v>12</v>
      </c>
      <c r="C33" s="25">
        <v>6.96</v>
      </c>
      <c r="D33" s="25">
        <f t="shared" si="1"/>
        <v>9.9</v>
      </c>
      <c r="E33" s="25">
        <f t="shared" si="2"/>
        <v>1.98</v>
      </c>
      <c r="F33" s="25">
        <f t="shared" si="4"/>
        <v>2.97</v>
      </c>
      <c r="G33" s="25">
        <f t="shared" si="5"/>
        <v>2.97</v>
      </c>
      <c r="H33" s="25">
        <f>G33/3*5+5*0.13</f>
        <v>5.6000000000000005</v>
      </c>
    </row>
    <row r="34" spans="1:8" ht="15.75">
      <c r="A34" s="23">
        <v>2247</v>
      </c>
      <c r="B34" s="45" t="s">
        <v>76</v>
      </c>
      <c r="C34" s="25">
        <v>0</v>
      </c>
      <c r="D34" s="25">
        <f t="shared" si="1"/>
        <v>0</v>
      </c>
      <c r="E34" s="25">
        <f t="shared" si="2"/>
        <v>0</v>
      </c>
      <c r="F34" s="25">
        <f t="shared" si="4"/>
        <v>0</v>
      </c>
      <c r="G34" s="25">
        <f t="shared" si="5"/>
        <v>0</v>
      </c>
      <c r="H34" s="25">
        <f t="shared" si="3"/>
        <v>0</v>
      </c>
    </row>
    <row r="35" spans="1:8" ht="15.75">
      <c r="A35" s="23">
        <v>2249</v>
      </c>
      <c r="B35" s="32" t="s">
        <v>13</v>
      </c>
      <c r="C35" s="25">
        <v>2</v>
      </c>
      <c r="D35" s="25">
        <f t="shared" si="1"/>
        <v>2.85</v>
      </c>
      <c r="E35" s="25">
        <f t="shared" si="2"/>
        <v>0.57</v>
      </c>
      <c r="F35" s="25">
        <f t="shared" si="4"/>
        <v>0.86</v>
      </c>
      <c r="G35" s="25">
        <f t="shared" si="5"/>
        <v>0.86</v>
      </c>
      <c r="H35" s="25">
        <f t="shared" si="3"/>
        <v>1.4333333333333333</v>
      </c>
    </row>
    <row r="36" spans="1:8" ht="15.75" hidden="1">
      <c r="A36" s="23">
        <v>2251</v>
      </c>
      <c r="B36" s="32" t="s">
        <v>77</v>
      </c>
      <c r="C36" s="25">
        <v>0</v>
      </c>
      <c r="D36" s="25">
        <f t="shared" si="1"/>
        <v>0</v>
      </c>
      <c r="E36" s="25">
        <f t="shared" si="2"/>
        <v>0</v>
      </c>
      <c r="F36" s="25">
        <f t="shared" si="4"/>
        <v>0</v>
      </c>
      <c r="G36" s="25">
        <f t="shared" si="5"/>
        <v>0</v>
      </c>
      <c r="H36" s="25">
        <f t="shared" si="3"/>
        <v>0</v>
      </c>
    </row>
    <row r="37" spans="1:8" ht="15.75" hidden="1">
      <c r="A37" s="23">
        <v>2252</v>
      </c>
      <c r="B37" s="32" t="s">
        <v>7</v>
      </c>
      <c r="C37" s="25">
        <v>0</v>
      </c>
      <c r="D37" s="25">
        <f t="shared" si="1"/>
        <v>0</v>
      </c>
      <c r="E37" s="25">
        <f t="shared" si="2"/>
        <v>0</v>
      </c>
      <c r="F37" s="25">
        <f t="shared" si="4"/>
        <v>0</v>
      </c>
      <c r="G37" s="25">
        <f t="shared" si="5"/>
        <v>0</v>
      </c>
      <c r="H37" s="25">
        <f t="shared" si="3"/>
        <v>0</v>
      </c>
    </row>
    <row r="38" spans="1:8" ht="15.75" hidden="1">
      <c r="A38" s="23">
        <v>2259</v>
      </c>
      <c r="B38" s="32" t="s">
        <v>8</v>
      </c>
      <c r="C38" s="25">
        <v>0</v>
      </c>
      <c r="D38" s="25">
        <f t="shared" si="1"/>
        <v>0</v>
      </c>
      <c r="E38" s="25">
        <f t="shared" si="2"/>
        <v>0</v>
      </c>
      <c r="F38" s="25">
        <f t="shared" si="4"/>
        <v>0</v>
      </c>
      <c r="G38" s="25">
        <f t="shared" si="5"/>
        <v>0</v>
      </c>
      <c r="H38" s="25">
        <f t="shared" si="3"/>
        <v>0</v>
      </c>
    </row>
    <row r="39" spans="1:8" ht="15.75" hidden="1">
      <c r="A39" s="23">
        <v>2261</v>
      </c>
      <c r="B39" s="32" t="s">
        <v>14</v>
      </c>
      <c r="C39" s="25">
        <v>0</v>
      </c>
      <c r="D39" s="25">
        <f t="shared" si="1"/>
        <v>0</v>
      </c>
      <c r="E39" s="25">
        <f t="shared" si="2"/>
        <v>0</v>
      </c>
      <c r="F39" s="25">
        <f t="shared" si="4"/>
        <v>0</v>
      </c>
      <c r="G39" s="25">
        <f t="shared" si="5"/>
        <v>0</v>
      </c>
      <c r="H39" s="25">
        <f t="shared" si="3"/>
        <v>0</v>
      </c>
    </row>
    <row r="40" spans="1:8" ht="15.75" hidden="1">
      <c r="A40" s="23">
        <v>2262</v>
      </c>
      <c r="B40" s="32" t="s">
        <v>15</v>
      </c>
      <c r="C40" s="25">
        <v>0</v>
      </c>
      <c r="D40" s="25">
        <f t="shared" si="1"/>
        <v>0</v>
      </c>
      <c r="E40" s="25">
        <f t="shared" si="2"/>
        <v>0</v>
      </c>
      <c r="F40" s="25">
        <f t="shared" si="4"/>
        <v>0</v>
      </c>
      <c r="G40" s="25">
        <f t="shared" si="5"/>
        <v>0</v>
      </c>
      <c r="H40" s="25">
        <f t="shared" si="3"/>
        <v>0</v>
      </c>
    </row>
    <row r="41" spans="1:8" ht="15.75">
      <c r="A41" s="23">
        <v>2263</v>
      </c>
      <c r="B41" s="32" t="s">
        <v>16</v>
      </c>
      <c r="C41" s="25">
        <v>1</v>
      </c>
      <c r="D41" s="25">
        <f t="shared" si="1"/>
        <v>1.42</v>
      </c>
      <c r="E41" s="25">
        <f t="shared" si="2"/>
        <v>0.28</v>
      </c>
      <c r="F41" s="25">
        <f t="shared" si="4"/>
        <v>0.43</v>
      </c>
      <c r="G41" s="25">
        <f t="shared" si="5"/>
        <v>0.43</v>
      </c>
      <c r="H41" s="25">
        <f t="shared" si="3"/>
        <v>0.7166666666666667</v>
      </c>
    </row>
    <row r="42" spans="1:8" ht="15.75" hidden="1">
      <c r="A42" s="23">
        <v>2264</v>
      </c>
      <c r="B42" s="32" t="s">
        <v>17</v>
      </c>
      <c r="C42" s="25">
        <v>0</v>
      </c>
      <c r="D42" s="25">
        <f t="shared" si="1"/>
        <v>0</v>
      </c>
      <c r="E42" s="25">
        <f t="shared" si="2"/>
        <v>0</v>
      </c>
      <c r="F42" s="25">
        <f t="shared" si="4"/>
        <v>0</v>
      </c>
      <c r="G42" s="25">
        <f t="shared" si="5"/>
        <v>0</v>
      </c>
      <c r="H42" s="25">
        <f t="shared" si="3"/>
        <v>0</v>
      </c>
    </row>
    <row r="43" spans="1:8" ht="15.75">
      <c r="A43" s="23">
        <v>2279</v>
      </c>
      <c r="B43" s="32" t="s">
        <v>18</v>
      </c>
      <c r="C43" s="25">
        <v>1</v>
      </c>
      <c r="D43" s="25">
        <f t="shared" si="1"/>
        <v>1.42</v>
      </c>
      <c r="E43" s="25">
        <f t="shared" si="2"/>
        <v>0.28</v>
      </c>
      <c r="F43" s="25">
        <f t="shared" si="4"/>
        <v>0.43</v>
      </c>
      <c r="G43" s="25">
        <f t="shared" si="5"/>
        <v>0.43</v>
      </c>
      <c r="H43" s="25">
        <f t="shared" si="3"/>
        <v>0.7166666666666667</v>
      </c>
    </row>
    <row r="44" spans="1:8" ht="15.75" hidden="1">
      <c r="A44" s="23">
        <v>2311</v>
      </c>
      <c r="B44" s="32" t="s">
        <v>19</v>
      </c>
      <c r="C44" s="25">
        <v>0</v>
      </c>
      <c r="D44" s="25">
        <f t="shared" si="1"/>
        <v>0</v>
      </c>
      <c r="E44" s="25">
        <f t="shared" si="2"/>
        <v>0</v>
      </c>
      <c r="F44" s="25">
        <f t="shared" si="4"/>
        <v>0</v>
      </c>
      <c r="G44" s="25">
        <f t="shared" si="5"/>
        <v>0</v>
      </c>
      <c r="H44" s="25">
        <f t="shared" si="3"/>
        <v>0</v>
      </c>
    </row>
    <row r="45" spans="1:8" ht="15.75" hidden="1">
      <c r="A45" s="23">
        <v>2312</v>
      </c>
      <c r="B45" s="32" t="s">
        <v>20</v>
      </c>
      <c r="C45" s="25">
        <v>0</v>
      </c>
      <c r="D45" s="25">
        <f t="shared" si="1"/>
        <v>0</v>
      </c>
      <c r="E45" s="25">
        <f t="shared" si="2"/>
        <v>0</v>
      </c>
      <c r="F45" s="25">
        <f t="shared" si="4"/>
        <v>0</v>
      </c>
      <c r="G45" s="25">
        <f t="shared" si="5"/>
        <v>0</v>
      </c>
      <c r="H45" s="25">
        <f t="shared" si="3"/>
        <v>0</v>
      </c>
    </row>
    <row r="46" spans="1:8" ht="15.75">
      <c r="A46" s="23">
        <v>2321</v>
      </c>
      <c r="B46" s="32" t="s">
        <v>21</v>
      </c>
      <c r="C46" s="25">
        <v>1</v>
      </c>
      <c r="D46" s="25">
        <f t="shared" si="1"/>
        <v>1.42</v>
      </c>
      <c r="E46" s="25">
        <f t="shared" si="2"/>
        <v>0.28</v>
      </c>
      <c r="F46" s="25">
        <f t="shared" si="4"/>
        <v>0.43</v>
      </c>
      <c r="G46" s="25">
        <f t="shared" si="5"/>
        <v>0.43</v>
      </c>
      <c r="H46" s="25">
        <f t="shared" si="3"/>
        <v>0.7166666666666667</v>
      </c>
    </row>
    <row r="47" spans="1:8" ht="15.75">
      <c r="A47" s="23">
        <v>2322</v>
      </c>
      <c r="B47" s="32" t="s">
        <v>22</v>
      </c>
      <c r="C47" s="25">
        <v>1</v>
      </c>
      <c r="D47" s="25">
        <f t="shared" si="1"/>
        <v>1.42</v>
      </c>
      <c r="E47" s="25">
        <f t="shared" si="2"/>
        <v>0.28</v>
      </c>
      <c r="F47" s="25">
        <f t="shared" si="4"/>
        <v>0.43</v>
      </c>
      <c r="G47" s="25">
        <f t="shared" si="5"/>
        <v>0.43</v>
      </c>
      <c r="H47" s="25">
        <f t="shared" si="3"/>
        <v>0.7166666666666667</v>
      </c>
    </row>
    <row r="48" spans="1:8" ht="15.75" hidden="1">
      <c r="A48" s="23">
        <v>2341</v>
      </c>
      <c r="B48" s="32" t="s">
        <v>23</v>
      </c>
      <c r="C48" s="25">
        <v>0</v>
      </c>
      <c r="D48" s="25">
        <f t="shared" si="1"/>
        <v>0</v>
      </c>
      <c r="E48" s="25">
        <f t="shared" si="2"/>
        <v>0</v>
      </c>
      <c r="F48" s="25">
        <f t="shared" si="4"/>
        <v>0</v>
      </c>
      <c r="G48" s="25">
        <f t="shared" si="5"/>
        <v>0</v>
      </c>
      <c r="H48" s="25">
        <f t="shared" si="3"/>
        <v>0</v>
      </c>
    </row>
    <row r="49" spans="1:8" ht="15.75" hidden="1">
      <c r="A49" s="23">
        <v>2344</v>
      </c>
      <c r="B49" s="32" t="s">
        <v>24</v>
      </c>
      <c r="C49" s="25"/>
      <c r="D49" s="25">
        <f t="shared" si="1"/>
        <v>0</v>
      </c>
      <c r="E49" s="25">
        <f t="shared" si="2"/>
        <v>0</v>
      </c>
      <c r="F49" s="25">
        <f t="shared" si="4"/>
        <v>0</v>
      </c>
      <c r="G49" s="25">
        <f t="shared" si="5"/>
        <v>0</v>
      </c>
      <c r="H49" s="25">
        <f t="shared" si="3"/>
        <v>0</v>
      </c>
    </row>
    <row r="50" spans="1:8" ht="15.75">
      <c r="A50" s="23">
        <v>2350</v>
      </c>
      <c r="B50" s="32" t="s">
        <v>25</v>
      </c>
      <c r="C50" s="25">
        <v>1</v>
      </c>
      <c r="D50" s="25">
        <f t="shared" si="1"/>
        <v>1.42</v>
      </c>
      <c r="E50" s="25">
        <f t="shared" si="2"/>
        <v>0.28</v>
      </c>
      <c r="F50" s="25">
        <f t="shared" si="4"/>
        <v>0.43</v>
      </c>
      <c r="G50" s="25">
        <f t="shared" si="5"/>
        <v>0.43</v>
      </c>
      <c r="H50" s="25">
        <f t="shared" si="3"/>
        <v>0.7166666666666667</v>
      </c>
    </row>
    <row r="51" spans="1:8" ht="15.75">
      <c r="A51" s="23">
        <v>2361</v>
      </c>
      <c r="B51" s="32" t="s">
        <v>26</v>
      </c>
      <c r="C51" s="25">
        <v>1</v>
      </c>
      <c r="D51" s="25">
        <f t="shared" si="1"/>
        <v>1.42</v>
      </c>
      <c r="E51" s="25">
        <f t="shared" si="2"/>
        <v>0.28</v>
      </c>
      <c r="F51" s="25">
        <f t="shared" si="4"/>
        <v>0.43</v>
      </c>
      <c r="G51" s="25">
        <f t="shared" si="5"/>
        <v>0.43</v>
      </c>
      <c r="H51" s="25">
        <f t="shared" si="3"/>
        <v>0.7166666666666667</v>
      </c>
    </row>
    <row r="52" spans="1:8" ht="15.75" hidden="1">
      <c r="A52" s="23">
        <v>2362</v>
      </c>
      <c r="B52" s="32" t="s">
        <v>27</v>
      </c>
      <c r="C52" s="25"/>
      <c r="D52" s="25">
        <f t="shared" si="1"/>
        <v>0</v>
      </c>
      <c r="E52" s="25">
        <f t="shared" si="2"/>
        <v>0</v>
      </c>
      <c r="F52" s="25">
        <f t="shared" si="4"/>
        <v>0</v>
      </c>
      <c r="G52" s="25">
        <f t="shared" si="5"/>
        <v>0</v>
      </c>
      <c r="H52" s="25">
        <f t="shared" si="3"/>
        <v>0</v>
      </c>
    </row>
    <row r="53" spans="1:8" ht="15.75" hidden="1">
      <c r="A53" s="23">
        <v>2363</v>
      </c>
      <c r="B53" s="32" t="s">
        <v>28</v>
      </c>
      <c r="C53" s="25"/>
      <c r="D53" s="25">
        <f t="shared" si="1"/>
        <v>0</v>
      </c>
      <c r="E53" s="25">
        <f t="shared" si="2"/>
        <v>0</v>
      </c>
      <c r="F53" s="25">
        <f t="shared" si="4"/>
        <v>0</v>
      </c>
      <c r="G53" s="25">
        <f t="shared" si="5"/>
        <v>0</v>
      </c>
      <c r="H53" s="25">
        <f t="shared" si="3"/>
        <v>0</v>
      </c>
    </row>
    <row r="54" spans="1:8" ht="15.75" hidden="1">
      <c r="A54" s="23">
        <v>2370</v>
      </c>
      <c r="B54" s="32" t="s">
        <v>29</v>
      </c>
      <c r="C54" s="25"/>
      <c r="D54" s="25">
        <f t="shared" si="1"/>
        <v>0</v>
      </c>
      <c r="E54" s="25">
        <f t="shared" si="2"/>
        <v>0</v>
      </c>
      <c r="F54" s="25">
        <f t="shared" si="4"/>
        <v>0</v>
      </c>
      <c r="G54" s="25">
        <f t="shared" si="5"/>
        <v>0</v>
      </c>
      <c r="H54" s="25">
        <f t="shared" si="3"/>
        <v>0</v>
      </c>
    </row>
    <row r="55" spans="1:8" ht="15.75" hidden="1">
      <c r="A55" s="23">
        <v>2400</v>
      </c>
      <c r="B55" s="32" t="s">
        <v>43</v>
      </c>
      <c r="C55" s="25">
        <v>0</v>
      </c>
      <c r="D55" s="25">
        <f t="shared" si="1"/>
        <v>0</v>
      </c>
      <c r="E55" s="25">
        <f t="shared" si="2"/>
        <v>0</v>
      </c>
      <c r="F55" s="25">
        <f t="shared" si="4"/>
        <v>0</v>
      </c>
      <c r="G55" s="25">
        <f t="shared" si="5"/>
        <v>0</v>
      </c>
      <c r="H55" s="25">
        <f t="shared" si="3"/>
        <v>0</v>
      </c>
    </row>
    <row r="56" spans="1:8" ht="15.75" hidden="1">
      <c r="A56" s="23">
        <v>2512</v>
      </c>
      <c r="B56" s="32" t="s">
        <v>30</v>
      </c>
      <c r="C56" s="25">
        <v>0</v>
      </c>
      <c r="D56" s="25">
        <f t="shared" si="1"/>
        <v>0</v>
      </c>
      <c r="E56" s="25">
        <f t="shared" si="2"/>
        <v>0</v>
      </c>
      <c r="F56" s="25">
        <f t="shared" si="4"/>
        <v>0</v>
      </c>
      <c r="G56" s="25">
        <f t="shared" si="5"/>
        <v>0</v>
      </c>
      <c r="H56" s="25">
        <f t="shared" si="3"/>
        <v>0</v>
      </c>
    </row>
    <row r="57" spans="1:8" ht="15.75">
      <c r="A57" s="23">
        <v>2513</v>
      </c>
      <c r="B57" s="32" t="s">
        <v>31</v>
      </c>
      <c r="C57" s="25">
        <v>1</v>
      </c>
      <c r="D57" s="25">
        <v>1.43</v>
      </c>
      <c r="E57" s="25">
        <v>0.31</v>
      </c>
      <c r="F57" s="25">
        <f t="shared" si="4"/>
        <v>0.43</v>
      </c>
      <c r="G57" s="25">
        <v>0.42</v>
      </c>
      <c r="H57" s="25">
        <f t="shared" si="3"/>
        <v>0.7</v>
      </c>
    </row>
    <row r="58" spans="1:8" ht="15.75" hidden="1">
      <c r="A58" s="22">
        <v>2515</v>
      </c>
      <c r="B58" s="26" t="s">
        <v>78</v>
      </c>
      <c r="C58" s="80">
        <v>0</v>
      </c>
      <c r="D58" s="26"/>
      <c r="E58" s="80">
        <v>0</v>
      </c>
      <c r="F58" s="80">
        <f aca="true" t="shared" si="6" ref="F58:F66">E58/30*10</f>
        <v>0</v>
      </c>
      <c r="G58" s="25">
        <f t="shared" si="5"/>
        <v>0</v>
      </c>
      <c r="H58" s="25">
        <f t="shared" si="3"/>
        <v>0</v>
      </c>
    </row>
    <row r="59" spans="1:8" ht="15.75" hidden="1">
      <c r="A59" s="22">
        <v>2519</v>
      </c>
      <c r="B59" s="26" t="s">
        <v>34</v>
      </c>
      <c r="C59" s="80">
        <v>0</v>
      </c>
      <c r="D59" s="26"/>
      <c r="E59" s="80">
        <v>0</v>
      </c>
      <c r="F59" s="80">
        <f t="shared" si="6"/>
        <v>0</v>
      </c>
      <c r="G59" s="25">
        <f t="shared" si="5"/>
        <v>0</v>
      </c>
      <c r="H59" s="25">
        <f t="shared" si="3"/>
        <v>0</v>
      </c>
    </row>
    <row r="60" spans="1:8" ht="15.75" hidden="1">
      <c r="A60" s="22">
        <v>6240</v>
      </c>
      <c r="B60" s="26"/>
      <c r="C60" s="80"/>
      <c r="D60" s="26"/>
      <c r="E60" s="80"/>
      <c r="F60" s="80">
        <f t="shared" si="6"/>
        <v>0</v>
      </c>
      <c r="G60" s="25">
        <f t="shared" si="5"/>
        <v>0</v>
      </c>
      <c r="H60" s="25">
        <f t="shared" si="3"/>
        <v>0</v>
      </c>
    </row>
    <row r="61" spans="1:8" ht="15.75" hidden="1">
      <c r="A61" s="22">
        <v>6290</v>
      </c>
      <c r="B61" s="26"/>
      <c r="C61" s="80"/>
      <c r="D61" s="26"/>
      <c r="E61" s="80"/>
      <c r="F61" s="80">
        <f t="shared" si="6"/>
        <v>0</v>
      </c>
      <c r="G61" s="25">
        <f t="shared" si="5"/>
        <v>0</v>
      </c>
      <c r="H61" s="25">
        <f t="shared" si="3"/>
        <v>0</v>
      </c>
    </row>
    <row r="62" spans="1:8" ht="15.75" hidden="1">
      <c r="A62" s="22">
        <v>5121</v>
      </c>
      <c r="B62" s="26" t="s">
        <v>32</v>
      </c>
      <c r="C62" s="80">
        <v>0</v>
      </c>
      <c r="D62" s="26"/>
      <c r="E62" s="80">
        <v>0</v>
      </c>
      <c r="F62" s="80">
        <f t="shared" si="6"/>
        <v>0</v>
      </c>
      <c r="G62" s="25">
        <f t="shared" si="5"/>
        <v>0</v>
      </c>
      <c r="H62" s="25">
        <f t="shared" si="3"/>
        <v>0</v>
      </c>
    </row>
    <row r="63" spans="1:8" ht="15.75" hidden="1">
      <c r="A63" s="22">
        <v>5232</v>
      </c>
      <c r="B63" s="26" t="s">
        <v>33</v>
      </c>
      <c r="C63" s="80">
        <v>0</v>
      </c>
      <c r="D63" s="26"/>
      <c r="E63" s="80">
        <v>0</v>
      </c>
      <c r="F63" s="80">
        <f t="shared" si="6"/>
        <v>0</v>
      </c>
      <c r="G63" s="25">
        <f t="shared" si="5"/>
        <v>0</v>
      </c>
      <c r="H63" s="25">
        <f t="shared" si="3"/>
        <v>0</v>
      </c>
    </row>
    <row r="64" spans="1:8" ht="15.75" hidden="1">
      <c r="A64" s="22">
        <v>5238</v>
      </c>
      <c r="B64" s="26" t="s">
        <v>35</v>
      </c>
      <c r="C64" s="80">
        <v>0</v>
      </c>
      <c r="D64" s="26"/>
      <c r="E64" s="80">
        <v>0</v>
      </c>
      <c r="F64" s="80">
        <f t="shared" si="6"/>
        <v>0</v>
      </c>
      <c r="G64" s="25">
        <f t="shared" si="5"/>
        <v>0</v>
      </c>
      <c r="H64" s="25">
        <f t="shared" si="3"/>
        <v>0</v>
      </c>
    </row>
    <row r="65" spans="1:8" ht="15.75" hidden="1">
      <c r="A65" s="22">
        <v>5240</v>
      </c>
      <c r="B65" s="26" t="s">
        <v>36</v>
      </c>
      <c r="C65" s="80"/>
      <c r="D65" s="26"/>
      <c r="E65" s="80"/>
      <c r="F65" s="80">
        <f t="shared" si="6"/>
        <v>0</v>
      </c>
      <c r="G65" s="25">
        <f t="shared" si="5"/>
        <v>0</v>
      </c>
      <c r="H65" s="25">
        <f t="shared" si="3"/>
        <v>0</v>
      </c>
    </row>
    <row r="66" spans="1:8" ht="15.75" hidden="1">
      <c r="A66" s="22">
        <v>5250</v>
      </c>
      <c r="B66" s="26" t="s">
        <v>37</v>
      </c>
      <c r="C66" s="80"/>
      <c r="D66" s="26"/>
      <c r="E66" s="80"/>
      <c r="F66" s="80">
        <f t="shared" si="6"/>
        <v>0</v>
      </c>
      <c r="G66" s="25">
        <f t="shared" si="5"/>
        <v>0</v>
      </c>
      <c r="H66" s="25">
        <f t="shared" si="3"/>
        <v>0</v>
      </c>
    </row>
    <row r="67" spans="1:8" ht="15.75">
      <c r="A67" s="33"/>
      <c r="B67" s="34" t="s">
        <v>79</v>
      </c>
      <c r="C67" s="82">
        <f aca="true" t="shared" si="7" ref="C67:H67">SUM(C23:C66)</f>
        <v>46.96</v>
      </c>
      <c r="D67" s="82">
        <f t="shared" si="7"/>
        <v>66.80000000000003</v>
      </c>
      <c r="E67" s="82">
        <f t="shared" si="7"/>
        <v>13.359999999999996</v>
      </c>
      <c r="F67" s="82">
        <f t="shared" si="7"/>
        <v>20.579999999999995</v>
      </c>
      <c r="G67" s="82">
        <f t="shared" si="7"/>
        <v>20.57</v>
      </c>
      <c r="H67" s="82">
        <f t="shared" si="7"/>
        <v>34.93333333333334</v>
      </c>
    </row>
    <row r="68" spans="1:8" ht="15.75">
      <c r="A68" s="33"/>
      <c r="B68" s="34" t="s">
        <v>80</v>
      </c>
      <c r="C68" s="82">
        <f aca="true" t="shared" si="8" ref="C68:H68">C67+C21</f>
        <v>102.7</v>
      </c>
      <c r="D68" s="82">
        <f t="shared" si="8"/>
        <v>146.10000000000002</v>
      </c>
      <c r="E68" s="82">
        <f t="shared" si="8"/>
        <v>29.22</v>
      </c>
      <c r="F68" s="82">
        <f t="shared" si="8"/>
        <v>44.55</v>
      </c>
      <c r="G68" s="82">
        <f t="shared" si="8"/>
        <v>50.79</v>
      </c>
      <c r="H68" s="82">
        <f t="shared" si="8"/>
        <v>87.75</v>
      </c>
    </row>
    <row r="69" spans="1:8" ht="15.75">
      <c r="A69" s="9"/>
      <c r="B69" s="14"/>
      <c r="C69" s="35"/>
      <c r="D69" s="35"/>
      <c r="E69" s="35"/>
      <c r="F69" s="35"/>
      <c r="G69" s="35"/>
      <c r="H69" s="35"/>
    </row>
    <row r="70" spans="1:8" ht="15.75">
      <c r="A70" s="212" t="s">
        <v>45</v>
      </c>
      <c r="B70" s="213"/>
      <c r="C70" s="36">
        <v>10</v>
      </c>
      <c r="D70" s="36">
        <v>10</v>
      </c>
      <c r="E70" s="42">
        <v>2</v>
      </c>
      <c r="F70" s="42">
        <v>3</v>
      </c>
      <c r="G70" s="42">
        <v>3</v>
      </c>
      <c r="H70" s="162">
        <v>5</v>
      </c>
    </row>
    <row r="71" spans="1:8" ht="15.75">
      <c r="A71" s="212" t="s">
        <v>91</v>
      </c>
      <c r="B71" s="213"/>
      <c r="C71" s="102">
        <f>C68/C70</f>
        <v>10.27</v>
      </c>
      <c r="D71" s="99">
        <f>ROUND(D68/D70,2)</f>
        <v>14.61</v>
      </c>
      <c r="E71" s="28">
        <f>ROUND(E68/E70,2)</f>
        <v>14.61</v>
      </c>
      <c r="F71" s="28">
        <f>ROUND(F68/F70,2)</f>
        <v>14.85</v>
      </c>
      <c r="G71" s="28">
        <f>ROUND(G68/G70,2)</f>
        <v>16.93</v>
      </c>
      <c r="H71" s="164">
        <f>ROUND(H68/H70,2)</f>
        <v>17.55</v>
      </c>
    </row>
    <row r="72" spans="1:8" ht="15.75">
      <c r="A72" s="14"/>
      <c r="B72" s="11"/>
      <c r="C72" s="11"/>
      <c r="D72" s="11"/>
      <c r="E72" s="11"/>
      <c r="F72" s="15"/>
      <c r="G72" s="15"/>
      <c r="H72" s="15"/>
    </row>
    <row r="73" spans="1:8" ht="15.75">
      <c r="A73" s="212" t="s">
        <v>46</v>
      </c>
      <c r="B73" s="213"/>
      <c r="C73" s="72"/>
      <c r="D73" s="72"/>
      <c r="E73" s="37"/>
      <c r="F73" s="37"/>
      <c r="G73" s="37"/>
      <c r="H73" s="37"/>
    </row>
    <row r="74" spans="1:8" ht="15.75">
      <c r="A74" s="212" t="s">
        <v>56</v>
      </c>
      <c r="B74" s="213"/>
      <c r="C74" s="72"/>
      <c r="D74" s="72"/>
      <c r="E74" s="37"/>
      <c r="F74" s="37"/>
      <c r="G74" s="37"/>
      <c r="H74" s="37"/>
    </row>
    <row r="75" spans="1:8" ht="15.75">
      <c r="A75" s="38"/>
      <c r="B75" s="38"/>
      <c r="C75" s="38"/>
      <c r="D75" s="38"/>
      <c r="E75" s="38"/>
      <c r="F75" s="38"/>
      <c r="G75" s="38"/>
      <c r="H75" s="38"/>
    </row>
    <row r="76" spans="1:8" ht="15.75">
      <c r="A76" s="38" t="s">
        <v>47</v>
      </c>
      <c r="B76" s="38"/>
      <c r="C76" s="38"/>
      <c r="D76" s="38"/>
      <c r="E76" s="38"/>
      <c r="F76" s="38"/>
      <c r="G76" s="38"/>
      <c r="H76" s="38"/>
    </row>
    <row r="77" spans="1:8" ht="15.75">
      <c r="A77" s="38"/>
      <c r="B77" s="38"/>
      <c r="C77" s="38"/>
      <c r="D77" s="38"/>
      <c r="E77" s="38"/>
      <c r="F77" s="38"/>
      <c r="G77" s="38"/>
      <c r="H77" s="38"/>
    </row>
    <row r="78" spans="1:8" ht="15.75">
      <c r="A78" s="38"/>
      <c r="B78" s="39"/>
      <c r="C78" s="39"/>
      <c r="D78" s="39"/>
      <c r="E78" s="39"/>
      <c r="F78" s="38"/>
      <c r="G78" s="38"/>
      <c r="H78" s="38"/>
    </row>
    <row r="79" spans="1:8" ht="15.75">
      <c r="A79" s="38"/>
      <c r="B79" s="101"/>
      <c r="C79" s="101"/>
      <c r="D79" s="101"/>
      <c r="E79" s="39"/>
      <c r="F79" s="38"/>
      <c r="G79" s="38"/>
      <c r="H79" s="38"/>
    </row>
    <row r="80" spans="2:5" ht="15">
      <c r="B80" s="232"/>
      <c r="C80" s="232"/>
      <c r="D80" s="232"/>
      <c r="E80" s="232"/>
    </row>
    <row r="81" spans="2:5" ht="15">
      <c r="B81" s="2"/>
      <c r="C81" s="2"/>
      <c r="D81" s="2"/>
      <c r="E81" s="2"/>
    </row>
  </sheetData>
  <sheetProtection/>
  <mergeCells count="12">
    <mergeCell ref="B80:E80"/>
    <mergeCell ref="B7:E7"/>
    <mergeCell ref="B8:E8"/>
    <mergeCell ref="B9:E9"/>
    <mergeCell ref="A70:B70"/>
    <mergeCell ref="A71:B71"/>
    <mergeCell ref="A73:B73"/>
    <mergeCell ref="A3:H3"/>
    <mergeCell ref="B4:E4"/>
    <mergeCell ref="A5:E5"/>
    <mergeCell ref="A6:E6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Layout" workbookViewId="0" topLeftCell="A81">
      <selection activeCell="B97" sqref="B97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6.421875" style="4" hidden="1" customWidth="1"/>
    <col min="4" max="4" width="15.57421875" style="4" hidden="1" customWidth="1"/>
    <col min="5" max="7" width="21.57421875" style="4" hidden="1" customWidth="1"/>
    <col min="8" max="8" width="33.28125" style="4" customWidth="1"/>
    <col min="9" max="19" width="9.140625" style="92" customWidth="1"/>
  </cols>
  <sheetData>
    <row r="1" spans="2:8" ht="15.75">
      <c r="B1" s="12"/>
      <c r="C1" s="12"/>
      <c r="D1" s="12"/>
      <c r="E1" s="76"/>
      <c r="F1" s="76"/>
      <c r="G1" s="76"/>
      <c r="H1" s="9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15"/>
      <c r="G5" s="15"/>
      <c r="H5" s="15"/>
    </row>
    <row r="6" spans="1:8" ht="15.75">
      <c r="A6" s="195" t="s">
        <v>0</v>
      </c>
      <c r="B6" s="195"/>
      <c r="C6" s="195"/>
      <c r="D6" s="195"/>
      <c r="E6" s="195"/>
      <c r="F6" s="25"/>
      <c r="G6" s="85"/>
      <c r="H6" s="14"/>
    </row>
    <row r="7" spans="1:8" ht="15.75">
      <c r="A7" s="8"/>
      <c r="B7" s="195" t="s">
        <v>44</v>
      </c>
      <c r="C7" s="195"/>
      <c r="D7" s="195"/>
      <c r="E7" s="195"/>
      <c r="F7" s="25"/>
      <c r="G7" s="85"/>
      <c r="H7" s="14"/>
    </row>
    <row r="8" spans="1:8" ht="15.75">
      <c r="A8" s="8"/>
      <c r="B8" s="195" t="s">
        <v>87</v>
      </c>
      <c r="C8" s="195"/>
      <c r="D8" s="195"/>
      <c r="E8" s="195"/>
      <c r="F8" s="85"/>
      <c r="G8" s="85"/>
      <c r="H8" s="15"/>
    </row>
    <row r="9" spans="1:8" ht="15.75">
      <c r="A9" s="8"/>
      <c r="B9" s="195" t="s">
        <v>107</v>
      </c>
      <c r="C9" s="195"/>
      <c r="D9" s="195"/>
      <c r="E9" s="195"/>
      <c r="F9" s="15"/>
      <c r="G9" s="85"/>
      <c r="H9" s="15"/>
    </row>
    <row r="10" spans="1:8" ht="15.75">
      <c r="A10" s="8"/>
      <c r="B10" s="195" t="s">
        <v>199</v>
      </c>
      <c r="C10" s="195"/>
      <c r="D10" s="195"/>
      <c r="E10" s="195"/>
      <c r="F10" s="15"/>
      <c r="G10" s="15"/>
      <c r="H10" s="15"/>
    </row>
    <row r="11" spans="1:8" ht="15.75">
      <c r="A11" s="8" t="s">
        <v>2</v>
      </c>
      <c r="B11" s="8" t="s">
        <v>205</v>
      </c>
      <c r="C11" s="8"/>
      <c r="D11" s="8"/>
      <c r="E11" s="8"/>
      <c r="F11" s="15"/>
      <c r="G11" s="15"/>
      <c r="H11" s="15"/>
    </row>
    <row r="12" spans="1:8" ht="15.75" hidden="1">
      <c r="A12" s="15"/>
      <c r="B12" s="16"/>
      <c r="C12" s="77"/>
      <c r="D12" s="16"/>
      <c r="E12" s="77"/>
      <c r="F12" s="15"/>
      <c r="G12" s="15"/>
      <c r="H12" s="15"/>
    </row>
    <row r="13" spans="1:8" ht="47.25">
      <c r="A13" s="59" t="s">
        <v>3</v>
      </c>
      <c r="B13" s="59" t="s">
        <v>4</v>
      </c>
      <c r="C13" s="59"/>
      <c r="D13" s="59"/>
      <c r="E13" s="59"/>
      <c r="F13" s="59"/>
      <c r="G13" s="59"/>
      <c r="H13" s="59" t="s">
        <v>5</v>
      </c>
    </row>
    <row r="14" spans="1:8" ht="15.75">
      <c r="A14" s="18">
        <v>1</v>
      </c>
      <c r="B14" s="19">
        <v>2</v>
      </c>
      <c r="C14" s="19"/>
      <c r="D14" s="19"/>
      <c r="E14" s="18">
        <v>3</v>
      </c>
      <c r="F14" s="19">
        <v>4</v>
      </c>
      <c r="G14" s="19"/>
      <c r="H14" s="19">
        <v>3</v>
      </c>
    </row>
    <row r="15" spans="1:8" ht="15.75">
      <c r="A15" s="20"/>
      <c r="B15" s="45" t="s">
        <v>71</v>
      </c>
      <c r="C15" s="97"/>
      <c r="D15" s="45"/>
      <c r="E15" s="97"/>
      <c r="F15" s="23"/>
      <c r="G15" s="23"/>
      <c r="H15" s="23"/>
    </row>
    <row r="16" spans="1:8" ht="15.75">
      <c r="A16" s="23">
        <v>1100</v>
      </c>
      <c r="B16" s="23" t="s">
        <v>72</v>
      </c>
      <c r="C16" s="25">
        <v>76.28</v>
      </c>
      <c r="D16" s="25">
        <f>ROUND(C16/0.702804,2)</f>
        <v>108.54</v>
      </c>
      <c r="E16" s="25">
        <f>ROUND(D16/20*10,2)</f>
        <v>54.27</v>
      </c>
      <c r="F16" s="25">
        <v>55.9</v>
      </c>
      <c r="G16" s="25">
        <v>70.99</v>
      </c>
      <c r="H16" s="25">
        <f>G16/10*10+10*0.28</f>
        <v>73.78999999999999</v>
      </c>
    </row>
    <row r="17" spans="1:8" ht="15.75">
      <c r="A17" s="23">
        <v>1200</v>
      </c>
      <c r="B17" s="32" t="s">
        <v>73</v>
      </c>
      <c r="C17" s="47">
        <v>17.99</v>
      </c>
      <c r="D17" s="25">
        <f>ROUND(C17/0.702804,2)</f>
        <v>25.6</v>
      </c>
      <c r="E17" s="25">
        <f>ROUND(D17/20*10,2)</f>
        <v>12.8</v>
      </c>
      <c r="F17" s="25">
        <v>13.19</v>
      </c>
      <c r="G17" s="25">
        <v>17.1</v>
      </c>
      <c r="H17" s="25">
        <f>G17/10*10+10*0.07</f>
        <v>17.8</v>
      </c>
    </row>
    <row r="18" spans="1:8" ht="15.75">
      <c r="A18" s="31">
        <v>2341</v>
      </c>
      <c r="B18" s="32" t="s">
        <v>23</v>
      </c>
      <c r="C18" s="25">
        <v>1.39</v>
      </c>
      <c r="D18" s="25">
        <f>ROUND(C18/0.702804,2)</f>
        <v>1.98</v>
      </c>
      <c r="E18" s="25">
        <f>ROUND(D18/20*10,2)</f>
        <v>0.99</v>
      </c>
      <c r="F18" s="25">
        <f>E18</f>
        <v>0.99</v>
      </c>
      <c r="G18" s="25">
        <f>F18</f>
        <v>0.99</v>
      </c>
      <c r="H18" s="25">
        <f>G18/10*10</f>
        <v>0.99</v>
      </c>
    </row>
    <row r="19" spans="1:8" ht="15.75">
      <c r="A19" s="23">
        <v>2249</v>
      </c>
      <c r="B19" s="32" t="s">
        <v>13</v>
      </c>
      <c r="C19" s="25">
        <v>3.9</v>
      </c>
      <c r="D19" s="25">
        <f>ROUND(C19/0.702804,2)</f>
        <v>5.55</v>
      </c>
      <c r="E19" s="25">
        <f>ROUND(D19/20*10,2)</f>
        <v>2.78</v>
      </c>
      <c r="F19" s="25">
        <f>E19</f>
        <v>2.78</v>
      </c>
      <c r="G19" s="25">
        <f>F19</f>
        <v>2.78</v>
      </c>
      <c r="H19" s="25">
        <f>G19/10*10</f>
        <v>2.78</v>
      </c>
    </row>
    <row r="20" spans="1:8" ht="15.75" hidden="1">
      <c r="A20" s="31">
        <v>2341</v>
      </c>
      <c r="B20" s="32" t="s">
        <v>23</v>
      </c>
      <c r="C20" s="25"/>
      <c r="D20" s="32"/>
      <c r="E20" s="25"/>
      <c r="F20" s="25">
        <f>E20/10*10</f>
        <v>0</v>
      </c>
      <c r="G20" s="25">
        <f>F20</f>
        <v>0</v>
      </c>
      <c r="H20" s="25">
        <f>G20/10*10</f>
        <v>0</v>
      </c>
    </row>
    <row r="21" spans="1:8" ht="15.75" hidden="1">
      <c r="A21" s="23">
        <v>2350</v>
      </c>
      <c r="B21" s="32" t="s">
        <v>25</v>
      </c>
      <c r="C21" s="25"/>
      <c r="D21" s="32"/>
      <c r="E21" s="25"/>
      <c r="F21" s="25">
        <f>E21/20*10</f>
        <v>0</v>
      </c>
      <c r="G21" s="25">
        <f>F21</f>
        <v>0</v>
      </c>
      <c r="H21" s="25">
        <f>G21/10*10</f>
        <v>0</v>
      </c>
    </row>
    <row r="22" spans="1:8" ht="15.75" hidden="1">
      <c r="A22" s="23"/>
      <c r="B22" s="23"/>
      <c r="C22" s="25"/>
      <c r="D22" s="23"/>
      <c r="E22" s="25"/>
      <c r="F22" s="28"/>
      <c r="G22" s="28"/>
      <c r="H22" s="28"/>
    </row>
    <row r="23" spans="1:8" ht="15.75">
      <c r="A23" s="23"/>
      <c r="B23" s="46" t="s">
        <v>74</v>
      </c>
      <c r="C23" s="28">
        <f aca="true" t="shared" si="0" ref="C23:H23">SUM(C16:C22)</f>
        <v>99.56</v>
      </c>
      <c r="D23" s="28">
        <f t="shared" si="0"/>
        <v>141.67000000000002</v>
      </c>
      <c r="E23" s="28">
        <f t="shared" si="0"/>
        <v>70.84</v>
      </c>
      <c r="F23" s="28">
        <f t="shared" si="0"/>
        <v>72.86</v>
      </c>
      <c r="G23" s="28">
        <f t="shared" si="0"/>
        <v>91.86</v>
      </c>
      <c r="H23" s="28">
        <f t="shared" si="0"/>
        <v>95.35999999999999</v>
      </c>
    </row>
    <row r="24" spans="1:8" ht="15.75">
      <c r="A24" s="29"/>
      <c r="B24" s="23" t="s">
        <v>75</v>
      </c>
      <c r="C24" s="25"/>
      <c r="D24" s="23"/>
      <c r="E24" s="25"/>
      <c r="F24" s="25"/>
      <c r="G24" s="25"/>
      <c r="H24" s="25"/>
    </row>
    <row r="25" spans="1:8" ht="15.75">
      <c r="A25" s="23">
        <v>1100</v>
      </c>
      <c r="B25" s="23" t="s">
        <v>72</v>
      </c>
      <c r="C25" s="25">
        <v>42.07</v>
      </c>
      <c r="D25" s="25">
        <f aca="true" t="shared" si="1" ref="D25:D59">ROUND(C25/0.702804,2)</f>
        <v>59.86</v>
      </c>
      <c r="E25" s="25">
        <f aca="true" t="shared" si="2" ref="E25:E60">ROUND(D25/20*10,2)</f>
        <v>29.93</v>
      </c>
      <c r="F25" s="25">
        <v>30.53</v>
      </c>
      <c r="G25" s="25">
        <v>30.41</v>
      </c>
      <c r="H25" s="25">
        <f aca="true" t="shared" si="3" ref="H25:H68">G25/10*10</f>
        <v>30.41</v>
      </c>
    </row>
    <row r="26" spans="1:8" ht="15.75">
      <c r="A26" s="23">
        <v>1200</v>
      </c>
      <c r="B26" s="32" t="s">
        <v>73</v>
      </c>
      <c r="C26" s="47">
        <v>9.93</v>
      </c>
      <c r="D26" s="25">
        <f t="shared" si="1"/>
        <v>14.13</v>
      </c>
      <c r="E26" s="25">
        <f t="shared" si="2"/>
        <v>7.07</v>
      </c>
      <c r="F26" s="25">
        <v>7.2</v>
      </c>
      <c r="G26" s="25">
        <v>7.32</v>
      </c>
      <c r="H26" s="25">
        <f t="shared" si="3"/>
        <v>7.32</v>
      </c>
    </row>
    <row r="27" spans="1:8" ht="15.75" hidden="1">
      <c r="A27" s="23">
        <v>2100</v>
      </c>
      <c r="B27" s="30" t="s">
        <v>42</v>
      </c>
      <c r="C27" s="25"/>
      <c r="D27" s="25">
        <f t="shared" si="1"/>
        <v>0</v>
      </c>
      <c r="E27" s="25">
        <f t="shared" si="2"/>
        <v>0</v>
      </c>
      <c r="F27" s="25">
        <f aca="true" t="shared" si="4" ref="F27:F61">E27</f>
        <v>0</v>
      </c>
      <c r="G27" s="25">
        <f aca="true" t="shared" si="5" ref="G27:G68">F27</f>
        <v>0</v>
      </c>
      <c r="H27" s="25">
        <f t="shared" si="3"/>
        <v>0</v>
      </c>
    </row>
    <row r="28" spans="1:8" ht="18.75" customHeight="1" hidden="1">
      <c r="A28" s="31">
        <v>2210</v>
      </c>
      <c r="B28" s="32" t="s">
        <v>38</v>
      </c>
      <c r="C28" s="25">
        <v>0</v>
      </c>
      <c r="D28" s="25">
        <f t="shared" si="1"/>
        <v>0</v>
      </c>
      <c r="E28" s="25">
        <f t="shared" si="2"/>
        <v>0</v>
      </c>
      <c r="F28" s="25">
        <f t="shared" si="4"/>
        <v>0</v>
      </c>
      <c r="G28" s="25">
        <f t="shared" si="5"/>
        <v>0</v>
      </c>
      <c r="H28" s="25">
        <f t="shared" si="3"/>
        <v>0</v>
      </c>
    </row>
    <row r="29" spans="1:8" ht="15.75">
      <c r="A29" s="23">
        <v>2222</v>
      </c>
      <c r="B29" s="32" t="s">
        <v>39</v>
      </c>
      <c r="C29" s="25">
        <v>1</v>
      </c>
      <c r="D29" s="25">
        <f t="shared" si="1"/>
        <v>1.42</v>
      </c>
      <c r="E29" s="25">
        <f t="shared" si="2"/>
        <v>0.71</v>
      </c>
      <c r="F29" s="25">
        <f t="shared" si="4"/>
        <v>0.71</v>
      </c>
      <c r="G29" s="25">
        <f t="shared" si="5"/>
        <v>0.71</v>
      </c>
      <c r="H29" s="25">
        <f t="shared" si="3"/>
        <v>0.71</v>
      </c>
    </row>
    <row r="30" spans="1:8" ht="15.75">
      <c r="A30" s="23">
        <v>2223</v>
      </c>
      <c r="B30" s="32" t="s">
        <v>40</v>
      </c>
      <c r="C30" s="25">
        <v>2</v>
      </c>
      <c r="D30" s="25">
        <f t="shared" si="1"/>
        <v>2.85</v>
      </c>
      <c r="E30" s="25">
        <f t="shared" si="2"/>
        <v>1.43</v>
      </c>
      <c r="F30" s="25">
        <f t="shared" si="4"/>
        <v>1.43</v>
      </c>
      <c r="G30" s="25">
        <f t="shared" si="5"/>
        <v>1.43</v>
      </c>
      <c r="H30" s="25">
        <f t="shared" si="3"/>
        <v>1.43</v>
      </c>
    </row>
    <row r="31" spans="1:8" ht="15.75">
      <c r="A31" s="23">
        <v>2230</v>
      </c>
      <c r="B31" s="32" t="s">
        <v>41</v>
      </c>
      <c r="C31" s="25">
        <v>1</v>
      </c>
      <c r="D31" s="25">
        <f t="shared" si="1"/>
        <v>1.42</v>
      </c>
      <c r="E31" s="25">
        <f t="shared" si="2"/>
        <v>0.71</v>
      </c>
      <c r="F31" s="25">
        <f t="shared" si="4"/>
        <v>0.71</v>
      </c>
      <c r="G31" s="25">
        <f t="shared" si="5"/>
        <v>0.71</v>
      </c>
      <c r="H31" s="25">
        <f t="shared" si="3"/>
        <v>0.71</v>
      </c>
    </row>
    <row r="32" spans="1:8" ht="15.75" customHeight="1" hidden="1">
      <c r="A32" s="23">
        <v>2241</v>
      </c>
      <c r="B32" s="32" t="s">
        <v>9</v>
      </c>
      <c r="C32" s="25"/>
      <c r="D32" s="25">
        <f t="shared" si="1"/>
        <v>0</v>
      </c>
      <c r="E32" s="25">
        <f t="shared" si="2"/>
        <v>0</v>
      </c>
      <c r="F32" s="25">
        <f t="shared" si="4"/>
        <v>0</v>
      </c>
      <c r="G32" s="25">
        <f t="shared" si="5"/>
        <v>0</v>
      </c>
      <c r="H32" s="25">
        <f t="shared" si="3"/>
        <v>0</v>
      </c>
    </row>
    <row r="33" spans="1:8" ht="15.75" customHeight="1" hidden="1">
      <c r="A33" s="23">
        <v>2242</v>
      </c>
      <c r="B33" s="32" t="s">
        <v>10</v>
      </c>
      <c r="C33" s="25">
        <v>0</v>
      </c>
      <c r="D33" s="25">
        <f t="shared" si="1"/>
        <v>0</v>
      </c>
      <c r="E33" s="25">
        <f t="shared" si="2"/>
        <v>0</v>
      </c>
      <c r="F33" s="25">
        <f t="shared" si="4"/>
        <v>0</v>
      </c>
      <c r="G33" s="25">
        <f t="shared" si="5"/>
        <v>0</v>
      </c>
      <c r="H33" s="25">
        <f t="shared" si="3"/>
        <v>0</v>
      </c>
    </row>
    <row r="34" spans="1:8" ht="15.75">
      <c r="A34" s="23">
        <v>2243</v>
      </c>
      <c r="B34" s="32" t="s">
        <v>11</v>
      </c>
      <c r="C34" s="25">
        <v>1</v>
      </c>
      <c r="D34" s="25">
        <f t="shared" si="1"/>
        <v>1.42</v>
      </c>
      <c r="E34" s="25">
        <f t="shared" si="2"/>
        <v>0.71</v>
      </c>
      <c r="F34" s="25">
        <f t="shared" si="4"/>
        <v>0.71</v>
      </c>
      <c r="G34" s="25">
        <f t="shared" si="5"/>
        <v>0.71</v>
      </c>
      <c r="H34" s="25">
        <f t="shared" si="3"/>
        <v>0.71</v>
      </c>
    </row>
    <row r="35" spans="1:8" ht="15.75">
      <c r="A35" s="23">
        <v>2244</v>
      </c>
      <c r="B35" s="32" t="s">
        <v>12</v>
      </c>
      <c r="C35" s="25">
        <v>10.04</v>
      </c>
      <c r="D35" s="25">
        <f t="shared" si="1"/>
        <v>14.29</v>
      </c>
      <c r="E35" s="25">
        <f t="shared" si="2"/>
        <v>7.15</v>
      </c>
      <c r="F35" s="25">
        <f t="shared" si="4"/>
        <v>7.15</v>
      </c>
      <c r="G35" s="25">
        <f t="shared" si="5"/>
        <v>7.15</v>
      </c>
      <c r="H35" s="25">
        <f>G35/10*10+10*0.03</f>
        <v>7.45</v>
      </c>
    </row>
    <row r="36" spans="1:8" ht="15.75" hidden="1">
      <c r="A36" s="23">
        <v>2247</v>
      </c>
      <c r="B36" s="45" t="s">
        <v>76</v>
      </c>
      <c r="C36" s="25">
        <v>0</v>
      </c>
      <c r="D36" s="25">
        <f t="shared" si="1"/>
        <v>0</v>
      </c>
      <c r="E36" s="25">
        <f t="shared" si="2"/>
        <v>0</v>
      </c>
      <c r="F36" s="25">
        <f t="shared" si="4"/>
        <v>0</v>
      </c>
      <c r="G36" s="25">
        <f t="shared" si="5"/>
        <v>0</v>
      </c>
      <c r="H36" s="25">
        <f t="shared" si="3"/>
        <v>0</v>
      </c>
    </row>
    <row r="37" spans="1:8" ht="15.75">
      <c r="A37" s="23">
        <v>2249</v>
      </c>
      <c r="B37" s="32" t="s">
        <v>13</v>
      </c>
      <c r="C37" s="25">
        <v>1</v>
      </c>
      <c r="D37" s="25">
        <f t="shared" si="1"/>
        <v>1.42</v>
      </c>
      <c r="E37" s="25">
        <f t="shared" si="2"/>
        <v>0.71</v>
      </c>
      <c r="F37" s="25">
        <f t="shared" si="4"/>
        <v>0.71</v>
      </c>
      <c r="G37" s="25">
        <f t="shared" si="5"/>
        <v>0.71</v>
      </c>
      <c r="H37" s="25">
        <f t="shared" si="3"/>
        <v>0.71</v>
      </c>
    </row>
    <row r="38" spans="1:8" ht="15.75">
      <c r="A38" s="23">
        <v>2251</v>
      </c>
      <c r="B38" s="32" t="s">
        <v>77</v>
      </c>
      <c r="C38" s="25">
        <v>1</v>
      </c>
      <c r="D38" s="25">
        <f t="shared" si="1"/>
        <v>1.42</v>
      </c>
      <c r="E38" s="25">
        <f t="shared" si="2"/>
        <v>0.71</v>
      </c>
      <c r="F38" s="25">
        <f t="shared" si="4"/>
        <v>0.71</v>
      </c>
      <c r="G38" s="25">
        <f t="shared" si="5"/>
        <v>0.71</v>
      </c>
      <c r="H38" s="25">
        <f t="shared" si="3"/>
        <v>0.71</v>
      </c>
    </row>
    <row r="39" spans="1:8" ht="15.75" hidden="1">
      <c r="A39" s="23">
        <v>2252</v>
      </c>
      <c r="B39" s="32" t="s">
        <v>7</v>
      </c>
      <c r="C39" s="25"/>
      <c r="D39" s="25">
        <f t="shared" si="1"/>
        <v>0</v>
      </c>
      <c r="E39" s="25">
        <f t="shared" si="2"/>
        <v>0</v>
      </c>
      <c r="F39" s="25">
        <f t="shared" si="4"/>
        <v>0</v>
      </c>
      <c r="G39" s="25">
        <f t="shared" si="5"/>
        <v>0</v>
      </c>
      <c r="H39" s="25">
        <f t="shared" si="3"/>
        <v>0</v>
      </c>
    </row>
    <row r="40" spans="1:8" ht="15.75" hidden="1">
      <c r="A40" s="23">
        <v>2259</v>
      </c>
      <c r="B40" s="32" t="s">
        <v>8</v>
      </c>
      <c r="C40" s="25"/>
      <c r="D40" s="25">
        <f t="shared" si="1"/>
        <v>0</v>
      </c>
      <c r="E40" s="25">
        <f t="shared" si="2"/>
        <v>0</v>
      </c>
      <c r="F40" s="25">
        <f t="shared" si="4"/>
        <v>0</v>
      </c>
      <c r="G40" s="25">
        <f t="shared" si="5"/>
        <v>0</v>
      </c>
      <c r="H40" s="25">
        <f t="shared" si="3"/>
        <v>0</v>
      </c>
    </row>
    <row r="41" spans="1:8" ht="15.75" hidden="1">
      <c r="A41" s="23">
        <v>2261</v>
      </c>
      <c r="B41" s="32" t="s">
        <v>14</v>
      </c>
      <c r="C41" s="25">
        <v>0</v>
      </c>
      <c r="D41" s="25">
        <f t="shared" si="1"/>
        <v>0</v>
      </c>
      <c r="E41" s="25">
        <f t="shared" si="2"/>
        <v>0</v>
      </c>
      <c r="F41" s="25">
        <f t="shared" si="4"/>
        <v>0</v>
      </c>
      <c r="G41" s="25">
        <f t="shared" si="5"/>
        <v>0</v>
      </c>
      <c r="H41" s="25">
        <f t="shared" si="3"/>
        <v>0</v>
      </c>
    </row>
    <row r="42" spans="1:8" ht="15.75">
      <c r="A42" s="23">
        <v>2262</v>
      </c>
      <c r="B42" s="32" t="s">
        <v>15</v>
      </c>
      <c r="C42" s="25">
        <v>1</v>
      </c>
      <c r="D42" s="25">
        <f t="shared" si="1"/>
        <v>1.42</v>
      </c>
      <c r="E42" s="25">
        <f t="shared" si="2"/>
        <v>0.71</v>
      </c>
      <c r="F42" s="25">
        <f t="shared" si="4"/>
        <v>0.71</v>
      </c>
      <c r="G42" s="25">
        <f t="shared" si="5"/>
        <v>0.71</v>
      </c>
      <c r="H42" s="25">
        <f t="shared" si="3"/>
        <v>0.71</v>
      </c>
    </row>
    <row r="43" spans="1:8" ht="15.75">
      <c r="A43" s="23">
        <v>2263</v>
      </c>
      <c r="B43" s="32" t="s">
        <v>16</v>
      </c>
      <c r="C43" s="25">
        <v>3</v>
      </c>
      <c r="D43" s="25">
        <f t="shared" si="1"/>
        <v>4.27</v>
      </c>
      <c r="E43" s="25">
        <f t="shared" si="2"/>
        <v>2.14</v>
      </c>
      <c r="F43" s="25">
        <f t="shared" si="4"/>
        <v>2.14</v>
      </c>
      <c r="G43" s="25">
        <f t="shared" si="5"/>
        <v>2.14</v>
      </c>
      <c r="H43" s="25">
        <f t="shared" si="3"/>
        <v>2.14</v>
      </c>
    </row>
    <row r="44" spans="1:8" ht="15.75" hidden="1">
      <c r="A44" s="23">
        <v>2264</v>
      </c>
      <c r="B44" s="32" t="s">
        <v>17</v>
      </c>
      <c r="C44" s="25">
        <v>0</v>
      </c>
      <c r="D44" s="25">
        <f t="shared" si="1"/>
        <v>0</v>
      </c>
      <c r="E44" s="25">
        <f t="shared" si="2"/>
        <v>0</v>
      </c>
      <c r="F44" s="25">
        <f t="shared" si="4"/>
        <v>0</v>
      </c>
      <c r="G44" s="25">
        <f t="shared" si="5"/>
        <v>0</v>
      </c>
      <c r="H44" s="25">
        <f t="shared" si="3"/>
        <v>0</v>
      </c>
    </row>
    <row r="45" spans="1:8" ht="15.75">
      <c r="A45" s="23">
        <v>2279</v>
      </c>
      <c r="B45" s="32" t="s">
        <v>18</v>
      </c>
      <c r="C45" s="25">
        <v>3</v>
      </c>
      <c r="D45" s="25">
        <f t="shared" si="1"/>
        <v>4.27</v>
      </c>
      <c r="E45" s="25">
        <f t="shared" si="2"/>
        <v>2.14</v>
      </c>
      <c r="F45" s="25">
        <f t="shared" si="4"/>
        <v>2.14</v>
      </c>
      <c r="G45" s="25">
        <f t="shared" si="5"/>
        <v>2.14</v>
      </c>
      <c r="H45" s="25">
        <f t="shared" si="3"/>
        <v>2.14</v>
      </c>
    </row>
    <row r="46" spans="1:8" ht="15.75" hidden="1">
      <c r="A46" s="23">
        <v>2311</v>
      </c>
      <c r="B46" s="32" t="s">
        <v>19</v>
      </c>
      <c r="C46" s="25">
        <v>0</v>
      </c>
      <c r="D46" s="25">
        <f t="shared" si="1"/>
        <v>0</v>
      </c>
      <c r="E46" s="25">
        <f t="shared" si="2"/>
        <v>0</v>
      </c>
      <c r="F46" s="25">
        <f t="shared" si="4"/>
        <v>0</v>
      </c>
      <c r="G46" s="25">
        <f t="shared" si="5"/>
        <v>0</v>
      </c>
      <c r="H46" s="25">
        <f t="shared" si="3"/>
        <v>0</v>
      </c>
    </row>
    <row r="47" spans="1:8" ht="15.75" hidden="1">
      <c r="A47" s="23">
        <v>2312</v>
      </c>
      <c r="B47" s="32" t="s">
        <v>20</v>
      </c>
      <c r="C47" s="25">
        <v>0</v>
      </c>
      <c r="D47" s="25">
        <f t="shared" si="1"/>
        <v>0</v>
      </c>
      <c r="E47" s="25">
        <f t="shared" si="2"/>
        <v>0</v>
      </c>
      <c r="F47" s="25">
        <f t="shared" si="4"/>
        <v>0</v>
      </c>
      <c r="G47" s="25">
        <f t="shared" si="5"/>
        <v>0</v>
      </c>
      <c r="H47" s="25">
        <f t="shared" si="3"/>
        <v>0</v>
      </c>
    </row>
    <row r="48" spans="1:8" ht="15.75">
      <c r="A48" s="23">
        <v>2321</v>
      </c>
      <c r="B48" s="32" t="s">
        <v>21</v>
      </c>
      <c r="C48" s="25">
        <v>1</v>
      </c>
      <c r="D48" s="25">
        <f t="shared" si="1"/>
        <v>1.42</v>
      </c>
      <c r="E48" s="25">
        <f t="shared" si="2"/>
        <v>0.71</v>
      </c>
      <c r="F48" s="25">
        <f t="shared" si="4"/>
        <v>0.71</v>
      </c>
      <c r="G48" s="25">
        <f t="shared" si="5"/>
        <v>0.71</v>
      </c>
      <c r="H48" s="25">
        <f t="shared" si="3"/>
        <v>0.71</v>
      </c>
    </row>
    <row r="49" spans="1:8" ht="15.75">
      <c r="A49" s="23">
        <v>2322</v>
      </c>
      <c r="B49" s="32" t="s">
        <v>22</v>
      </c>
      <c r="C49" s="25">
        <v>1</v>
      </c>
      <c r="D49" s="25">
        <f t="shared" si="1"/>
        <v>1.42</v>
      </c>
      <c r="E49" s="25">
        <f t="shared" si="2"/>
        <v>0.71</v>
      </c>
      <c r="F49" s="25">
        <v>0.66</v>
      </c>
      <c r="G49" s="25">
        <f t="shared" si="5"/>
        <v>0.66</v>
      </c>
      <c r="H49" s="25">
        <f t="shared" si="3"/>
        <v>0.66</v>
      </c>
    </row>
    <row r="50" spans="1:8" ht="15.75" hidden="1">
      <c r="A50" s="23">
        <v>2341</v>
      </c>
      <c r="B50" s="32" t="s">
        <v>23</v>
      </c>
      <c r="C50" s="25">
        <v>0</v>
      </c>
      <c r="D50" s="25">
        <f t="shared" si="1"/>
        <v>0</v>
      </c>
      <c r="E50" s="25">
        <f t="shared" si="2"/>
        <v>0</v>
      </c>
      <c r="F50" s="25">
        <f t="shared" si="4"/>
        <v>0</v>
      </c>
      <c r="G50" s="25">
        <f t="shared" si="5"/>
        <v>0</v>
      </c>
      <c r="H50" s="25">
        <f t="shared" si="3"/>
        <v>0</v>
      </c>
    </row>
    <row r="51" spans="1:8" ht="15.75" hidden="1">
      <c r="A51" s="23">
        <v>2344</v>
      </c>
      <c r="B51" s="32" t="s">
        <v>24</v>
      </c>
      <c r="C51" s="25"/>
      <c r="D51" s="25">
        <f t="shared" si="1"/>
        <v>0</v>
      </c>
      <c r="E51" s="25">
        <f t="shared" si="2"/>
        <v>0</v>
      </c>
      <c r="F51" s="25">
        <f t="shared" si="4"/>
        <v>0</v>
      </c>
      <c r="G51" s="25">
        <f t="shared" si="5"/>
        <v>0</v>
      </c>
      <c r="H51" s="25">
        <f t="shared" si="3"/>
        <v>0</v>
      </c>
    </row>
    <row r="52" spans="1:8" ht="15.75">
      <c r="A52" s="23">
        <v>2350</v>
      </c>
      <c r="B52" s="32" t="s">
        <v>25</v>
      </c>
      <c r="C52" s="25">
        <v>2</v>
      </c>
      <c r="D52" s="25">
        <f t="shared" si="1"/>
        <v>2.85</v>
      </c>
      <c r="E52" s="25">
        <f t="shared" si="2"/>
        <v>1.43</v>
      </c>
      <c r="F52" s="25">
        <f t="shared" si="4"/>
        <v>1.43</v>
      </c>
      <c r="G52" s="25">
        <f t="shared" si="5"/>
        <v>1.43</v>
      </c>
      <c r="H52" s="25">
        <f t="shared" si="3"/>
        <v>1.43</v>
      </c>
    </row>
    <row r="53" spans="1:8" ht="15.75">
      <c r="A53" s="23">
        <v>2361</v>
      </c>
      <c r="B53" s="32" t="s">
        <v>26</v>
      </c>
      <c r="C53" s="25">
        <v>1</v>
      </c>
      <c r="D53" s="25">
        <f t="shared" si="1"/>
        <v>1.42</v>
      </c>
      <c r="E53" s="25">
        <f t="shared" si="2"/>
        <v>0.71</v>
      </c>
      <c r="F53" s="25">
        <f t="shared" si="4"/>
        <v>0.71</v>
      </c>
      <c r="G53" s="25">
        <f t="shared" si="5"/>
        <v>0.71</v>
      </c>
      <c r="H53" s="25">
        <f t="shared" si="3"/>
        <v>0.71</v>
      </c>
    </row>
    <row r="54" spans="1:8" ht="15.75" hidden="1">
      <c r="A54" s="23">
        <v>2362</v>
      </c>
      <c r="B54" s="32" t="s">
        <v>27</v>
      </c>
      <c r="C54" s="25"/>
      <c r="D54" s="25">
        <f t="shared" si="1"/>
        <v>0</v>
      </c>
      <c r="E54" s="25">
        <f t="shared" si="2"/>
        <v>0</v>
      </c>
      <c r="F54" s="25">
        <f t="shared" si="4"/>
        <v>0</v>
      </c>
      <c r="G54" s="25">
        <f t="shared" si="5"/>
        <v>0</v>
      </c>
      <c r="H54" s="25">
        <f t="shared" si="3"/>
        <v>0</v>
      </c>
    </row>
    <row r="55" spans="1:8" ht="15.75" hidden="1">
      <c r="A55" s="23">
        <v>2363</v>
      </c>
      <c r="B55" s="32" t="s">
        <v>28</v>
      </c>
      <c r="C55" s="25"/>
      <c r="D55" s="25">
        <f t="shared" si="1"/>
        <v>0</v>
      </c>
      <c r="E55" s="25">
        <f t="shared" si="2"/>
        <v>0</v>
      </c>
      <c r="F55" s="25">
        <f t="shared" si="4"/>
        <v>0</v>
      </c>
      <c r="G55" s="25">
        <f t="shared" si="5"/>
        <v>0</v>
      </c>
      <c r="H55" s="25">
        <f t="shared" si="3"/>
        <v>0</v>
      </c>
    </row>
    <row r="56" spans="1:8" ht="15.75" hidden="1">
      <c r="A56" s="23">
        <v>2370</v>
      </c>
      <c r="B56" s="32" t="s">
        <v>29</v>
      </c>
      <c r="C56" s="25"/>
      <c r="D56" s="25">
        <f t="shared" si="1"/>
        <v>0</v>
      </c>
      <c r="E56" s="25">
        <f t="shared" si="2"/>
        <v>0</v>
      </c>
      <c r="F56" s="25">
        <f t="shared" si="4"/>
        <v>0</v>
      </c>
      <c r="G56" s="25">
        <f t="shared" si="5"/>
        <v>0</v>
      </c>
      <c r="H56" s="25">
        <f t="shared" si="3"/>
        <v>0</v>
      </c>
    </row>
    <row r="57" spans="1:8" ht="15.75" hidden="1">
      <c r="A57" s="23">
        <v>2400</v>
      </c>
      <c r="B57" s="32" t="s">
        <v>43</v>
      </c>
      <c r="C57" s="25">
        <v>0</v>
      </c>
      <c r="D57" s="25">
        <f t="shared" si="1"/>
        <v>0</v>
      </c>
      <c r="E57" s="25">
        <f t="shared" si="2"/>
        <v>0</v>
      </c>
      <c r="F57" s="25">
        <f t="shared" si="4"/>
        <v>0</v>
      </c>
      <c r="G57" s="25">
        <f t="shared" si="5"/>
        <v>0</v>
      </c>
      <c r="H57" s="25">
        <f t="shared" si="3"/>
        <v>0</v>
      </c>
    </row>
    <row r="58" spans="1:8" ht="15.75" hidden="1">
      <c r="A58" s="23">
        <v>2512</v>
      </c>
      <c r="B58" s="32" t="s">
        <v>30</v>
      </c>
      <c r="C58" s="25">
        <v>0</v>
      </c>
      <c r="D58" s="25">
        <f t="shared" si="1"/>
        <v>0</v>
      </c>
      <c r="E58" s="25">
        <f t="shared" si="2"/>
        <v>0</v>
      </c>
      <c r="F58" s="25">
        <f t="shared" si="4"/>
        <v>0</v>
      </c>
      <c r="G58" s="25">
        <f t="shared" si="5"/>
        <v>0</v>
      </c>
      <c r="H58" s="25">
        <f t="shared" si="3"/>
        <v>0</v>
      </c>
    </row>
    <row r="59" spans="1:8" ht="15.75">
      <c r="A59" s="23">
        <v>2513</v>
      </c>
      <c r="B59" s="32" t="s">
        <v>31</v>
      </c>
      <c r="C59" s="25">
        <v>1</v>
      </c>
      <c r="D59" s="25">
        <f t="shared" si="1"/>
        <v>1.42</v>
      </c>
      <c r="E59" s="25">
        <f t="shared" si="2"/>
        <v>0.71</v>
      </c>
      <c r="F59" s="25">
        <f t="shared" si="4"/>
        <v>0.71</v>
      </c>
      <c r="G59" s="25">
        <f t="shared" si="5"/>
        <v>0.71</v>
      </c>
      <c r="H59" s="25">
        <f t="shared" si="3"/>
        <v>0.71</v>
      </c>
    </row>
    <row r="60" spans="1:8" ht="15.75" hidden="1">
      <c r="A60" s="23">
        <v>2515</v>
      </c>
      <c r="B60" s="32" t="s">
        <v>78</v>
      </c>
      <c r="C60" s="25">
        <v>0</v>
      </c>
      <c r="D60" s="32"/>
      <c r="E60" s="25">
        <f t="shared" si="2"/>
        <v>0</v>
      </c>
      <c r="F60" s="25">
        <f t="shared" si="4"/>
        <v>0</v>
      </c>
      <c r="G60" s="25">
        <f t="shared" si="5"/>
        <v>0</v>
      </c>
      <c r="H60" s="25">
        <f t="shared" si="3"/>
        <v>0</v>
      </c>
    </row>
    <row r="61" spans="1:8" ht="15.75">
      <c r="A61" s="23">
        <v>2519</v>
      </c>
      <c r="B61" s="32" t="s">
        <v>34</v>
      </c>
      <c r="C61" s="25">
        <v>1</v>
      </c>
      <c r="D61" s="25">
        <v>1.41</v>
      </c>
      <c r="E61" s="25">
        <v>0.67</v>
      </c>
      <c r="F61" s="25">
        <f t="shared" si="4"/>
        <v>0.67</v>
      </c>
      <c r="G61" s="25">
        <f t="shared" si="5"/>
        <v>0.67</v>
      </c>
      <c r="H61" s="25">
        <f t="shared" si="3"/>
        <v>0.67</v>
      </c>
    </row>
    <row r="62" spans="1:8" ht="15.75" hidden="1">
      <c r="A62" s="23">
        <v>6240</v>
      </c>
      <c r="B62" s="32"/>
      <c r="C62" s="25"/>
      <c r="D62" s="32"/>
      <c r="E62" s="25"/>
      <c r="F62" s="25">
        <f aca="true" t="shared" si="6" ref="F62:F68">E62/20*20</f>
        <v>0</v>
      </c>
      <c r="G62" s="25">
        <f t="shared" si="5"/>
        <v>0</v>
      </c>
      <c r="H62" s="25">
        <f t="shared" si="3"/>
        <v>0</v>
      </c>
    </row>
    <row r="63" spans="1:8" ht="15.75" hidden="1">
      <c r="A63" s="23">
        <v>6290</v>
      </c>
      <c r="B63" s="32"/>
      <c r="C63" s="25"/>
      <c r="D63" s="32"/>
      <c r="E63" s="25"/>
      <c r="F63" s="25">
        <f t="shared" si="6"/>
        <v>0</v>
      </c>
      <c r="G63" s="25">
        <f t="shared" si="5"/>
        <v>0</v>
      </c>
      <c r="H63" s="25">
        <f t="shared" si="3"/>
        <v>0</v>
      </c>
    </row>
    <row r="64" spans="1:8" ht="15.75" hidden="1">
      <c r="A64" s="23">
        <v>5121</v>
      </c>
      <c r="B64" s="32" t="s">
        <v>32</v>
      </c>
      <c r="C64" s="25">
        <v>0</v>
      </c>
      <c r="D64" s="32"/>
      <c r="E64" s="25">
        <v>0</v>
      </c>
      <c r="F64" s="25">
        <f t="shared" si="6"/>
        <v>0</v>
      </c>
      <c r="G64" s="25">
        <f t="shared" si="5"/>
        <v>0</v>
      </c>
      <c r="H64" s="25">
        <f t="shared" si="3"/>
        <v>0</v>
      </c>
    </row>
    <row r="65" spans="1:8" ht="15.75" hidden="1">
      <c r="A65" s="23">
        <v>5232</v>
      </c>
      <c r="B65" s="32" t="s">
        <v>33</v>
      </c>
      <c r="C65" s="25">
        <v>0</v>
      </c>
      <c r="D65" s="32"/>
      <c r="E65" s="25">
        <v>0</v>
      </c>
      <c r="F65" s="25">
        <f t="shared" si="6"/>
        <v>0</v>
      </c>
      <c r="G65" s="25">
        <f t="shared" si="5"/>
        <v>0</v>
      </c>
      <c r="H65" s="25">
        <f t="shared" si="3"/>
        <v>0</v>
      </c>
    </row>
    <row r="66" spans="1:8" ht="15.75" hidden="1">
      <c r="A66" s="23">
        <v>5238</v>
      </c>
      <c r="B66" s="32" t="s">
        <v>35</v>
      </c>
      <c r="C66" s="25">
        <v>0</v>
      </c>
      <c r="D66" s="32"/>
      <c r="E66" s="25">
        <v>0</v>
      </c>
      <c r="F66" s="25">
        <f t="shared" si="6"/>
        <v>0</v>
      </c>
      <c r="G66" s="25">
        <f t="shared" si="5"/>
        <v>0</v>
      </c>
      <c r="H66" s="25">
        <f t="shared" si="3"/>
        <v>0</v>
      </c>
    </row>
    <row r="67" spans="1:8" ht="15.75" hidden="1">
      <c r="A67" s="23">
        <v>5240</v>
      </c>
      <c r="B67" s="32" t="s">
        <v>36</v>
      </c>
      <c r="C67" s="25">
        <v>0</v>
      </c>
      <c r="D67" s="32"/>
      <c r="E67" s="25">
        <v>0</v>
      </c>
      <c r="F67" s="25">
        <f t="shared" si="6"/>
        <v>0</v>
      </c>
      <c r="G67" s="25">
        <f t="shared" si="5"/>
        <v>0</v>
      </c>
      <c r="H67" s="25">
        <f t="shared" si="3"/>
        <v>0</v>
      </c>
    </row>
    <row r="68" spans="1:8" ht="15.75" hidden="1">
      <c r="A68" s="23">
        <v>5250</v>
      </c>
      <c r="B68" s="32" t="s">
        <v>37</v>
      </c>
      <c r="C68" s="25"/>
      <c r="D68" s="32"/>
      <c r="E68" s="25"/>
      <c r="F68" s="25">
        <f t="shared" si="6"/>
        <v>0</v>
      </c>
      <c r="G68" s="25">
        <f t="shared" si="5"/>
        <v>0</v>
      </c>
      <c r="H68" s="25">
        <f t="shared" si="3"/>
        <v>0</v>
      </c>
    </row>
    <row r="69" spans="1:8" ht="15.75">
      <c r="A69" s="29"/>
      <c r="B69" s="48" t="s">
        <v>79</v>
      </c>
      <c r="C69" s="28">
        <f aca="true" t="shared" si="7" ref="C69:H69">SUM(C25:C68)</f>
        <v>83.03999999999999</v>
      </c>
      <c r="D69" s="28">
        <f t="shared" si="7"/>
        <v>118.12999999999998</v>
      </c>
      <c r="E69" s="28">
        <f t="shared" si="7"/>
        <v>59.06000000000001</v>
      </c>
      <c r="F69" s="28">
        <f t="shared" si="7"/>
        <v>59.74000000000001</v>
      </c>
      <c r="G69" s="28">
        <f t="shared" si="7"/>
        <v>59.74000000000001</v>
      </c>
      <c r="H69" s="28">
        <f t="shared" si="7"/>
        <v>60.04000000000001</v>
      </c>
    </row>
    <row r="70" spans="1:8" ht="15.75">
      <c r="A70" s="29"/>
      <c r="B70" s="48" t="s">
        <v>80</v>
      </c>
      <c r="C70" s="28">
        <f aca="true" t="shared" si="8" ref="C70:H70">C69+C23</f>
        <v>182.6</v>
      </c>
      <c r="D70" s="28">
        <f t="shared" si="8"/>
        <v>259.8</v>
      </c>
      <c r="E70" s="28">
        <f t="shared" si="8"/>
        <v>129.9</v>
      </c>
      <c r="F70" s="28">
        <f t="shared" si="8"/>
        <v>132.60000000000002</v>
      </c>
      <c r="G70" s="28">
        <f t="shared" si="8"/>
        <v>151.60000000000002</v>
      </c>
      <c r="H70" s="28">
        <f t="shared" si="8"/>
        <v>155.4</v>
      </c>
    </row>
    <row r="71" spans="1:8" ht="15.75">
      <c r="A71" s="49"/>
      <c r="B71" s="50"/>
      <c r="C71" s="41"/>
      <c r="D71" s="41"/>
      <c r="E71" s="41"/>
      <c r="F71" s="41"/>
      <c r="G71" s="41"/>
      <c r="H71" s="41"/>
    </row>
    <row r="72" spans="1:8" ht="15.75">
      <c r="A72" s="233" t="s">
        <v>45</v>
      </c>
      <c r="B72" s="235"/>
      <c r="C72" s="114">
        <v>20</v>
      </c>
      <c r="D72" s="114">
        <v>20</v>
      </c>
      <c r="E72" s="42">
        <v>10</v>
      </c>
      <c r="F72" s="42">
        <v>10</v>
      </c>
      <c r="G72" s="42">
        <v>10</v>
      </c>
      <c r="H72" s="162">
        <v>10</v>
      </c>
    </row>
    <row r="73" spans="1:8" ht="15.75">
      <c r="A73" s="236" t="s">
        <v>91</v>
      </c>
      <c r="B73" s="235"/>
      <c r="C73" s="115">
        <f>C70/C72</f>
        <v>9.129999999999999</v>
      </c>
      <c r="D73" s="116">
        <f>ROUND(D70/D72,2)</f>
        <v>12.99</v>
      </c>
      <c r="E73" s="28">
        <f>ROUND(E70/E72,2)</f>
        <v>12.99</v>
      </c>
      <c r="F73" s="28">
        <f>ROUND(F70/F72,2)</f>
        <v>13.26</v>
      </c>
      <c r="G73" s="28">
        <f>ROUND(G70/G72,2)</f>
        <v>15.16</v>
      </c>
      <c r="H73" s="164">
        <f>ROUND(H70/H72,2)</f>
        <v>15.54</v>
      </c>
    </row>
    <row r="74" spans="1:8" ht="15.75">
      <c r="A74" s="78"/>
      <c r="B74" s="78"/>
      <c r="C74" s="9"/>
      <c r="D74" s="9"/>
      <c r="E74" s="9"/>
      <c r="F74" s="11"/>
      <c r="G74" s="11"/>
      <c r="H74" s="11"/>
    </row>
    <row r="75" spans="1:8" ht="15.75">
      <c r="A75" s="233" t="s">
        <v>46</v>
      </c>
      <c r="B75" s="234"/>
      <c r="C75" s="117"/>
      <c r="D75" s="117"/>
      <c r="E75" s="118"/>
      <c r="F75" s="37"/>
      <c r="G75" s="37"/>
      <c r="H75" s="37"/>
    </row>
    <row r="76" spans="1:8" ht="15.75">
      <c r="A76" s="233" t="s">
        <v>56</v>
      </c>
      <c r="B76" s="234"/>
      <c r="C76" s="117"/>
      <c r="D76" s="117"/>
      <c r="E76" s="118"/>
      <c r="F76" s="37"/>
      <c r="G76" s="37"/>
      <c r="H76" s="37"/>
    </row>
    <row r="77" spans="1:8" ht="15.75">
      <c r="A77" s="119"/>
      <c r="B77" s="119"/>
      <c r="C77" s="120"/>
      <c r="D77" s="120"/>
      <c r="E77" s="120"/>
      <c r="F77" s="38"/>
      <c r="G77" s="38"/>
      <c r="H77" s="38"/>
    </row>
    <row r="78" spans="1:8" ht="15.75">
      <c r="A78" s="119" t="s">
        <v>47</v>
      </c>
      <c r="B78" s="119"/>
      <c r="C78" s="120"/>
      <c r="D78" s="120"/>
      <c r="E78" s="120"/>
      <c r="F78" s="38"/>
      <c r="G78" s="38"/>
      <c r="H78" s="38"/>
    </row>
    <row r="79" spans="1:8" ht="15.75">
      <c r="A79" s="119"/>
      <c r="B79" s="119"/>
      <c r="C79" s="120"/>
      <c r="D79" s="120"/>
      <c r="E79" s="120"/>
      <c r="F79" s="38"/>
      <c r="G79" s="38"/>
      <c r="H79" s="38"/>
    </row>
    <row r="80" spans="1:8" ht="15.75">
      <c r="A80" s="38"/>
      <c r="B80" s="39"/>
      <c r="C80" s="39"/>
      <c r="D80" s="39"/>
      <c r="E80" s="39"/>
      <c r="F80" s="38"/>
      <c r="G80" s="38"/>
      <c r="H80" s="38"/>
    </row>
    <row r="81" spans="1:8" ht="15.75">
      <c r="A81" s="38"/>
      <c r="B81" s="101"/>
      <c r="C81" s="101"/>
      <c r="D81" s="101"/>
      <c r="E81" s="39"/>
      <c r="F81" s="38"/>
      <c r="G81" s="38"/>
      <c r="H81" s="38"/>
    </row>
    <row r="82" spans="2:5" ht="15">
      <c r="B82" s="232"/>
      <c r="C82" s="232"/>
      <c r="D82" s="232"/>
      <c r="E82" s="232"/>
    </row>
    <row r="83" spans="2:5" ht="15">
      <c r="B83" s="2"/>
      <c r="C83" s="2"/>
      <c r="D83" s="2"/>
      <c r="E83" s="2"/>
    </row>
  </sheetData>
  <sheetProtection/>
  <mergeCells count="13">
    <mergeCell ref="A75:B75"/>
    <mergeCell ref="A76:B76"/>
    <mergeCell ref="B82:E82"/>
    <mergeCell ref="B7:E7"/>
    <mergeCell ref="B8:E8"/>
    <mergeCell ref="B9:E9"/>
    <mergeCell ref="B10:E10"/>
    <mergeCell ref="A72:B72"/>
    <mergeCell ref="A73:B73"/>
    <mergeCell ref="A3:H3"/>
    <mergeCell ref="B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Layout" workbookViewId="0" topLeftCell="A71">
      <selection activeCell="A79" sqref="A79"/>
    </sheetView>
  </sheetViews>
  <sheetFormatPr defaultColWidth="9.140625" defaultRowHeight="12.75"/>
  <cols>
    <col min="1" max="1" width="11.8515625" style="4" customWidth="1"/>
    <col min="2" max="2" width="93.421875" style="4" customWidth="1"/>
    <col min="3" max="3" width="10.57421875" style="4" hidden="1" customWidth="1"/>
    <col min="4" max="4" width="15.28125" style="4" hidden="1" customWidth="1"/>
    <col min="5" max="7" width="21.57421875" style="4" hidden="1" customWidth="1"/>
    <col min="8" max="8" width="31.7109375" style="4" customWidth="1"/>
  </cols>
  <sheetData>
    <row r="1" spans="2:8" ht="15.75">
      <c r="B1" s="15"/>
      <c r="C1" s="85"/>
      <c r="D1" s="12"/>
      <c r="E1" s="76"/>
      <c r="F1" s="76"/>
      <c r="G1" s="76"/>
      <c r="H1" s="9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15"/>
      <c r="G5" s="15"/>
      <c r="H5" s="15"/>
    </row>
    <row r="6" spans="1:8" ht="15.75">
      <c r="A6" s="195" t="s">
        <v>0</v>
      </c>
      <c r="B6" s="195"/>
      <c r="C6" s="195"/>
      <c r="D6" s="195"/>
      <c r="E6" s="195"/>
      <c r="F6" s="15"/>
      <c r="G6" s="15"/>
      <c r="H6" s="14"/>
    </row>
    <row r="7" spans="1:8" ht="15.75">
      <c r="A7" s="8"/>
      <c r="B7" s="195" t="s">
        <v>44</v>
      </c>
      <c r="C7" s="195"/>
      <c r="D7" s="195"/>
      <c r="E7" s="195"/>
      <c r="F7" s="15"/>
      <c r="G7" s="15"/>
      <c r="H7" s="14"/>
    </row>
    <row r="8" spans="1:8" ht="15.75">
      <c r="A8" s="8"/>
      <c r="B8" s="195" t="s">
        <v>87</v>
      </c>
      <c r="C8" s="195"/>
      <c r="D8" s="195"/>
      <c r="E8" s="195"/>
      <c r="F8" s="15"/>
      <c r="G8" s="15"/>
      <c r="H8" s="15"/>
    </row>
    <row r="9" spans="1:8" ht="15.75">
      <c r="A9" s="8"/>
      <c r="B9" s="195" t="s">
        <v>107</v>
      </c>
      <c r="C9" s="195"/>
      <c r="D9" s="195"/>
      <c r="E9" s="195"/>
      <c r="F9" s="15"/>
      <c r="G9" s="15"/>
      <c r="H9" s="15"/>
    </row>
    <row r="10" spans="1:8" ht="15.75">
      <c r="A10" s="8"/>
      <c r="B10" s="195" t="s">
        <v>200</v>
      </c>
      <c r="C10" s="195"/>
      <c r="D10" s="195"/>
      <c r="E10" s="195"/>
      <c r="F10" s="15"/>
      <c r="G10" s="15"/>
      <c r="H10" s="15"/>
    </row>
    <row r="11" spans="1:8" ht="15.75">
      <c r="A11" s="8" t="s">
        <v>2</v>
      </c>
      <c r="B11" s="8" t="s">
        <v>205</v>
      </c>
      <c r="C11" s="8"/>
      <c r="D11" s="8"/>
      <c r="E11" s="8"/>
      <c r="F11" s="15"/>
      <c r="G11" s="15"/>
      <c r="H11" s="15"/>
    </row>
    <row r="12" spans="1:8" ht="15.75" hidden="1">
      <c r="A12" s="15"/>
      <c r="B12" s="16"/>
      <c r="C12" s="77"/>
      <c r="D12" s="16"/>
      <c r="E12" s="77"/>
      <c r="F12" s="15"/>
      <c r="G12" s="15"/>
      <c r="H12" s="15"/>
    </row>
    <row r="13" spans="1:8" ht="47.25">
      <c r="A13" s="59" t="s">
        <v>3</v>
      </c>
      <c r="B13" s="59" t="s">
        <v>4</v>
      </c>
      <c r="C13" s="59"/>
      <c r="D13" s="59"/>
      <c r="E13" s="59"/>
      <c r="F13" s="59"/>
      <c r="G13" s="59"/>
      <c r="H13" s="59" t="s">
        <v>5</v>
      </c>
    </row>
    <row r="14" spans="1:8" ht="15.75">
      <c r="A14" s="18">
        <v>1</v>
      </c>
      <c r="B14" s="19">
        <v>2</v>
      </c>
      <c r="C14" s="19"/>
      <c r="D14" s="19"/>
      <c r="E14" s="18">
        <v>3</v>
      </c>
      <c r="F14" s="19">
        <v>4</v>
      </c>
      <c r="G14" s="19"/>
      <c r="H14" s="19">
        <v>3</v>
      </c>
    </row>
    <row r="15" spans="1:8" ht="15.75">
      <c r="A15" s="20"/>
      <c r="B15" s="45" t="s">
        <v>71</v>
      </c>
      <c r="C15" s="45"/>
      <c r="D15" s="45"/>
      <c r="E15" s="97"/>
      <c r="F15" s="23"/>
      <c r="G15" s="23"/>
      <c r="H15" s="23"/>
    </row>
    <row r="16" spans="1:8" ht="15.75">
      <c r="A16" s="23">
        <v>1100</v>
      </c>
      <c r="B16" s="23" t="s">
        <v>72</v>
      </c>
      <c r="C16" s="25">
        <v>95.35</v>
      </c>
      <c r="D16" s="25">
        <f>ROUND(C16/0.702804,2)</f>
        <v>135.67</v>
      </c>
      <c r="E16" s="25">
        <f>ROUND(D16/20*10,2)</f>
        <v>67.84</v>
      </c>
      <c r="F16" s="25">
        <v>69.85</v>
      </c>
      <c r="G16" s="25">
        <v>88.71</v>
      </c>
      <c r="H16" s="25">
        <f>G16/10*10+10*0.355</f>
        <v>92.25999999999998</v>
      </c>
    </row>
    <row r="17" spans="1:8" ht="15" customHeight="1">
      <c r="A17" s="23">
        <v>1200</v>
      </c>
      <c r="B17" s="32" t="s">
        <v>73</v>
      </c>
      <c r="C17" s="47">
        <v>22.49</v>
      </c>
      <c r="D17" s="25">
        <f>ROUND(C17/0.702804,2)</f>
        <v>32</v>
      </c>
      <c r="E17" s="25">
        <f>ROUND(D17/20*10,2)</f>
        <v>16</v>
      </c>
      <c r="F17" s="25">
        <v>16.48</v>
      </c>
      <c r="G17" s="25">
        <v>21.37</v>
      </c>
      <c r="H17" s="25">
        <f>G17/10*10+10*0.085</f>
        <v>22.220000000000002</v>
      </c>
    </row>
    <row r="18" spans="1:8" ht="15.75">
      <c r="A18" s="31">
        <v>2341</v>
      </c>
      <c r="B18" s="32" t="s">
        <v>23</v>
      </c>
      <c r="C18" s="25">
        <v>1.66</v>
      </c>
      <c r="D18" s="25">
        <f>ROUND(C18/0.702804,2)</f>
        <v>2.36</v>
      </c>
      <c r="E18" s="25">
        <f>ROUND(D18/20*10,2)</f>
        <v>1.18</v>
      </c>
      <c r="F18" s="25">
        <f aca="true" t="shared" si="0" ref="F18:G20">E18</f>
        <v>1.18</v>
      </c>
      <c r="G18" s="25">
        <f t="shared" si="0"/>
        <v>1.18</v>
      </c>
      <c r="H18" s="25">
        <f>G18/10*10</f>
        <v>1.18</v>
      </c>
    </row>
    <row r="19" spans="1:8" ht="15.75">
      <c r="A19" s="23">
        <v>2249</v>
      </c>
      <c r="B19" s="32" t="s">
        <v>13</v>
      </c>
      <c r="C19" s="25">
        <v>3.9</v>
      </c>
      <c r="D19" s="25">
        <f>ROUND(C19/0.702804,2)</f>
        <v>5.55</v>
      </c>
      <c r="E19" s="25">
        <f>ROUND(D19/20*10,2)</f>
        <v>2.78</v>
      </c>
      <c r="F19" s="25">
        <f t="shared" si="0"/>
        <v>2.78</v>
      </c>
      <c r="G19" s="25">
        <f t="shared" si="0"/>
        <v>2.78</v>
      </c>
      <c r="H19" s="25">
        <f>G19/10*10</f>
        <v>2.78</v>
      </c>
    </row>
    <row r="20" spans="1:8" ht="15.75" hidden="1">
      <c r="A20" s="23">
        <v>2350</v>
      </c>
      <c r="B20" s="32" t="s">
        <v>25</v>
      </c>
      <c r="C20" s="25"/>
      <c r="D20" s="32"/>
      <c r="E20" s="25">
        <f>ROUND(D20/20*10,2)</f>
        <v>0</v>
      </c>
      <c r="F20" s="25">
        <f t="shared" si="0"/>
        <v>0</v>
      </c>
      <c r="G20" s="25">
        <f t="shared" si="0"/>
        <v>0</v>
      </c>
      <c r="H20" s="25">
        <f>G20/10*10</f>
        <v>0</v>
      </c>
    </row>
    <row r="21" spans="1:8" ht="15.75" hidden="1">
      <c r="A21" s="23"/>
      <c r="B21" s="23"/>
      <c r="C21" s="25"/>
      <c r="D21" s="23"/>
      <c r="E21" s="25"/>
      <c r="F21" s="25">
        <f>E21/20*10</f>
        <v>0</v>
      </c>
      <c r="G21" s="25">
        <f>F21</f>
        <v>0</v>
      </c>
      <c r="H21" s="25">
        <f>G21/10*10</f>
        <v>0</v>
      </c>
    </row>
    <row r="22" spans="1:8" ht="15.75">
      <c r="A22" s="23"/>
      <c r="B22" s="46" t="s">
        <v>74</v>
      </c>
      <c r="C22" s="28">
        <f aca="true" t="shared" si="1" ref="C22:H22">SUM(C16:C21)</f>
        <v>123.39999999999999</v>
      </c>
      <c r="D22" s="28">
        <f t="shared" si="1"/>
        <v>175.58</v>
      </c>
      <c r="E22" s="28">
        <f t="shared" si="1"/>
        <v>87.80000000000001</v>
      </c>
      <c r="F22" s="28">
        <f t="shared" si="1"/>
        <v>90.29</v>
      </c>
      <c r="G22" s="28">
        <f t="shared" si="1"/>
        <v>114.04</v>
      </c>
      <c r="H22" s="28">
        <f t="shared" si="1"/>
        <v>118.43999999999998</v>
      </c>
    </row>
    <row r="23" spans="1:8" ht="15.75">
      <c r="A23" s="29"/>
      <c r="B23" s="23" t="s">
        <v>75</v>
      </c>
      <c r="C23" s="25"/>
      <c r="D23" s="23"/>
      <c r="E23" s="25"/>
      <c r="F23" s="28"/>
      <c r="G23" s="28"/>
      <c r="H23" s="28"/>
    </row>
    <row r="24" spans="1:8" ht="15.75">
      <c r="A24" s="23">
        <v>1100</v>
      </c>
      <c r="B24" s="23" t="s">
        <v>72</v>
      </c>
      <c r="C24" s="25">
        <v>52.59</v>
      </c>
      <c r="D24" s="25">
        <f aca="true" t="shared" si="2" ref="D24:D59">ROUND(C24/0.702804,2)</f>
        <v>74.83</v>
      </c>
      <c r="E24" s="25">
        <f aca="true" t="shared" si="3" ref="E24:E59">ROUND(D24/20*10,2)</f>
        <v>37.42</v>
      </c>
      <c r="F24" s="25">
        <v>38.06</v>
      </c>
      <c r="G24" s="25">
        <v>37.92</v>
      </c>
      <c r="H24" s="25">
        <f aca="true" t="shared" si="4" ref="H24:H66">G24/10*10</f>
        <v>37.92</v>
      </c>
    </row>
    <row r="25" spans="1:8" ht="15" customHeight="1">
      <c r="A25" s="23">
        <v>1200</v>
      </c>
      <c r="B25" s="32" t="s">
        <v>73</v>
      </c>
      <c r="C25" s="47">
        <v>12.41</v>
      </c>
      <c r="D25" s="25">
        <f t="shared" si="2"/>
        <v>17.66</v>
      </c>
      <c r="E25" s="25">
        <f t="shared" si="3"/>
        <v>8.83</v>
      </c>
      <c r="F25" s="25">
        <v>8.99</v>
      </c>
      <c r="G25" s="25">
        <v>9.13</v>
      </c>
      <c r="H25" s="25">
        <f t="shared" si="4"/>
        <v>9.13</v>
      </c>
    </row>
    <row r="26" spans="1:8" ht="15" customHeight="1" hidden="1">
      <c r="A26" s="23">
        <v>2100</v>
      </c>
      <c r="B26" s="30" t="s">
        <v>42</v>
      </c>
      <c r="C26" s="25"/>
      <c r="D26" s="25">
        <f t="shared" si="2"/>
        <v>0</v>
      </c>
      <c r="E26" s="25">
        <f t="shared" si="3"/>
        <v>0</v>
      </c>
      <c r="F26" s="25">
        <f aca="true" t="shared" si="5" ref="F26:F60">E26</f>
        <v>0</v>
      </c>
      <c r="G26" s="25">
        <f aca="true" t="shared" si="6" ref="G26:G67">F26</f>
        <v>0</v>
      </c>
      <c r="H26" s="25">
        <f t="shared" si="4"/>
        <v>0</v>
      </c>
    </row>
    <row r="27" spans="1:8" ht="15.75" hidden="1">
      <c r="A27" s="31">
        <v>2210</v>
      </c>
      <c r="B27" s="32" t="s">
        <v>38</v>
      </c>
      <c r="C27" s="25">
        <v>0</v>
      </c>
      <c r="D27" s="25">
        <f t="shared" si="2"/>
        <v>0</v>
      </c>
      <c r="E27" s="25">
        <f t="shared" si="3"/>
        <v>0</v>
      </c>
      <c r="F27" s="25">
        <f t="shared" si="5"/>
        <v>0</v>
      </c>
      <c r="G27" s="25">
        <f t="shared" si="6"/>
        <v>0</v>
      </c>
      <c r="H27" s="25">
        <f t="shared" si="4"/>
        <v>0</v>
      </c>
    </row>
    <row r="28" spans="1:8" ht="15.75">
      <c r="A28" s="23">
        <v>2222</v>
      </c>
      <c r="B28" s="32" t="s">
        <v>39</v>
      </c>
      <c r="C28" s="25">
        <v>1</v>
      </c>
      <c r="D28" s="25">
        <f t="shared" si="2"/>
        <v>1.42</v>
      </c>
      <c r="E28" s="25">
        <f t="shared" si="3"/>
        <v>0.71</v>
      </c>
      <c r="F28" s="25">
        <f>E28</f>
        <v>0.71</v>
      </c>
      <c r="G28" s="25">
        <f t="shared" si="6"/>
        <v>0.71</v>
      </c>
      <c r="H28" s="25">
        <f t="shared" si="4"/>
        <v>0.71</v>
      </c>
    </row>
    <row r="29" spans="1:8" ht="15.75">
      <c r="A29" s="23">
        <v>2223</v>
      </c>
      <c r="B29" s="32" t="s">
        <v>40</v>
      </c>
      <c r="C29" s="25">
        <v>2</v>
      </c>
      <c r="D29" s="25">
        <f t="shared" si="2"/>
        <v>2.85</v>
      </c>
      <c r="E29" s="25">
        <f t="shared" si="3"/>
        <v>1.43</v>
      </c>
      <c r="F29" s="25">
        <f t="shared" si="5"/>
        <v>1.43</v>
      </c>
      <c r="G29" s="25">
        <f t="shared" si="6"/>
        <v>1.43</v>
      </c>
      <c r="H29" s="25">
        <f t="shared" si="4"/>
        <v>1.43</v>
      </c>
    </row>
    <row r="30" spans="1:8" ht="15.75">
      <c r="A30" s="23">
        <v>2230</v>
      </c>
      <c r="B30" s="32" t="s">
        <v>41</v>
      </c>
      <c r="C30" s="25">
        <v>1</v>
      </c>
      <c r="D30" s="25">
        <f t="shared" si="2"/>
        <v>1.42</v>
      </c>
      <c r="E30" s="25">
        <f t="shared" si="3"/>
        <v>0.71</v>
      </c>
      <c r="F30" s="25">
        <f t="shared" si="5"/>
        <v>0.71</v>
      </c>
      <c r="G30" s="25">
        <f t="shared" si="6"/>
        <v>0.71</v>
      </c>
      <c r="H30" s="25">
        <f t="shared" si="4"/>
        <v>0.71</v>
      </c>
    </row>
    <row r="31" spans="1:8" ht="15.75" hidden="1">
      <c r="A31" s="23">
        <v>2241</v>
      </c>
      <c r="B31" s="32" t="s">
        <v>9</v>
      </c>
      <c r="C31" s="25"/>
      <c r="D31" s="25">
        <f t="shared" si="2"/>
        <v>0</v>
      </c>
      <c r="E31" s="25">
        <f t="shared" si="3"/>
        <v>0</v>
      </c>
      <c r="F31" s="25">
        <f t="shared" si="5"/>
        <v>0</v>
      </c>
      <c r="G31" s="25">
        <f t="shared" si="6"/>
        <v>0</v>
      </c>
      <c r="H31" s="25">
        <f t="shared" si="4"/>
        <v>0</v>
      </c>
    </row>
    <row r="32" spans="1:8" ht="15.75" hidden="1">
      <c r="A32" s="23">
        <v>2242</v>
      </c>
      <c r="B32" s="32" t="s">
        <v>10</v>
      </c>
      <c r="C32" s="25">
        <v>0</v>
      </c>
      <c r="D32" s="25">
        <f t="shared" si="2"/>
        <v>0</v>
      </c>
      <c r="E32" s="25">
        <f t="shared" si="3"/>
        <v>0</v>
      </c>
      <c r="F32" s="25">
        <f t="shared" si="5"/>
        <v>0</v>
      </c>
      <c r="G32" s="25">
        <f t="shared" si="6"/>
        <v>0</v>
      </c>
      <c r="H32" s="25">
        <f t="shared" si="4"/>
        <v>0</v>
      </c>
    </row>
    <row r="33" spans="1:8" ht="15.75">
      <c r="A33" s="23">
        <v>2243</v>
      </c>
      <c r="B33" s="32" t="s">
        <v>11</v>
      </c>
      <c r="C33" s="25">
        <v>1</v>
      </c>
      <c r="D33" s="25">
        <f t="shared" si="2"/>
        <v>1.42</v>
      </c>
      <c r="E33" s="25">
        <f t="shared" si="3"/>
        <v>0.71</v>
      </c>
      <c r="F33" s="25">
        <f t="shared" si="5"/>
        <v>0.71</v>
      </c>
      <c r="G33" s="25">
        <f t="shared" si="6"/>
        <v>0.71</v>
      </c>
      <c r="H33" s="25">
        <f t="shared" si="4"/>
        <v>0.71</v>
      </c>
    </row>
    <row r="34" spans="1:8" ht="15.75">
      <c r="A34" s="23">
        <v>2244</v>
      </c>
      <c r="B34" s="32" t="s">
        <v>12</v>
      </c>
      <c r="C34" s="25">
        <v>13</v>
      </c>
      <c r="D34" s="25">
        <f t="shared" si="2"/>
        <v>18.5</v>
      </c>
      <c r="E34" s="25">
        <f t="shared" si="3"/>
        <v>9.25</v>
      </c>
      <c r="F34" s="25">
        <f t="shared" si="5"/>
        <v>9.25</v>
      </c>
      <c r="G34" s="25">
        <f t="shared" si="6"/>
        <v>9.25</v>
      </c>
      <c r="H34" s="25">
        <f>G34/10*10+10*0.13</f>
        <v>10.55</v>
      </c>
    </row>
    <row r="35" spans="1:8" ht="15.75" hidden="1">
      <c r="A35" s="23">
        <v>2247</v>
      </c>
      <c r="B35" s="45" t="s">
        <v>76</v>
      </c>
      <c r="C35" s="25">
        <v>0</v>
      </c>
      <c r="D35" s="25">
        <f t="shared" si="2"/>
        <v>0</v>
      </c>
      <c r="E35" s="25">
        <f t="shared" si="3"/>
        <v>0</v>
      </c>
      <c r="F35" s="25">
        <f t="shared" si="5"/>
        <v>0</v>
      </c>
      <c r="G35" s="25">
        <f t="shared" si="6"/>
        <v>0</v>
      </c>
      <c r="H35" s="25">
        <f t="shared" si="4"/>
        <v>0</v>
      </c>
    </row>
    <row r="36" spans="1:8" ht="15.75">
      <c r="A36" s="23">
        <v>2249</v>
      </c>
      <c r="B36" s="32" t="s">
        <v>13</v>
      </c>
      <c r="C36" s="25">
        <v>1</v>
      </c>
      <c r="D36" s="25">
        <f t="shared" si="2"/>
        <v>1.42</v>
      </c>
      <c r="E36" s="25">
        <f t="shared" si="3"/>
        <v>0.71</v>
      </c>
      <c r="F36" s="25">
        <f t="shared" si="5"/>
        <v>0.71</v>
      </c>
      <c r="G36" s="25">
        <f t="shared" si="6"/>
        <v>0.71</v>
      </c>
      <c r="H36" s="25">
        <f t="shared" si="4"/>
        <v>0.71</v>
      </c>
    </row>
    <row r="37" spans="1:8" ht="15.75">
      <c r="A37" s="23">
        <v>2251</v>
      </c>
      <c r="B37" s="32" t="s">
        <v>77</v>
      </c>
      <c r="C37" s="25">
        <v>1</v>
      </c>
      <c r="D37" s="25">
        <f t="shared" si="2"/>
        <v>1.42</v>
      </c>
      <c r="E37" s="25">
        <f t="shared" si="3"/>
        <v>0.71</v>
      </c>
      <c r="F37" s="25">
        <f t="shared" si="5"/>
        <v>0.71</v>
      </c>
      <c r="G37" s="25">
        <f t="shared" si="6"/>
        <v>0.71</v>
      </c>
      <c r="H37" s="25">
        <f t="shared" si="4"/>
        <v>0.71</v>
      </c>
    </row>
    <row r="38" spans="1:8" ht="15.75" hidden="1">
      <c r="A38" s="23">
        <v>2252</v>
      </c>
      <c r="B38" s="32" t="s">
        <v>7</v>
      </c>
      <c r="C38" s="25"/>
      <c r="D38" s="25">
        <f t="shared" si="2"/>
        <v>0</v>
      </c>
      <c r="E38" s="25">
        <f t="shared" si="3"/>
        <v>0</v>
      </c>
      <c r="F38" s="25">
        <f t="shared" si="5"/>
        <v>0</v>
      </c>
      <c r="G38" s="25">
        <f t="shared" si="6"/>
        <v>0</v>
      </c>
      <c r="H38" s="25">
        <f t="shared" si="4"/>
        <v>0</v>
      </c>
    </row>
    <row r="39" spans="1:8" ht="15.75" hidden="1">
      <c r="A39" s="23">
        <v>2259</v>
      </c>
      <c r="B39" s="32" t="s">
        <v>8</v>
      </c>
      <c r="C39" s="25"/>
      <c r="D39" s="25">
        <f t="shared" si="2"/>
        <v>0</v>
      </c>
      <c r="E39" s="25">
        <f t="shared" si="3"/>
        <v>0</v>
      </c>
      <c r="F39" s="25">
        <f t="shared" si="5"/>
        <v>0</v>
      </c>
      <c r="G39" s="25">
        <f t="shared" si="6"/>
        <v>0</v>
      </c>
      <c r="H39" s="25">
        <f t="shared" si="4"/>
        <v>0</v>
      </c>
    </row>
    <row r="40" spans="1:8" ht="15.75" hidden="1">
      <c r="A40" s="23">
        <v>2261</v>
      </c>
      <c r="B40" s="32" t="s">
        <v>14</v>
      </c>
      <c r="C40" s="25">
        <v>0</v>
      </c>
      <c r="D40" s="25">
        <f t="shared" si="2"/>
        <v>0</v>
      </c>
      <c r="E40" s="25">
        <f t="shared" si="3"/>
        <v>0</v>
      </c>
      <c r="F40" s="25">
        <f t="shared" si="5"/>
        <v>0</v>
      </c>
      <c r="G40" s="25">
        <f t="shared" si="6"/>
        <v>0</v>
      </c>
      <c r="H40" s="25">
        <f t="shared" si="4"/>
        <v>0</v>
      </c>
    </row>
    <row r="41" spans="1:8" ht="15.75">
      <c r="A41" s="23">
        <v>2262</v>
      </c>
      <c r="B41" s="32" t="s">
        <v>15</v>
      </c>
      <c r="C41" s="25">
        <v>1</v>
      </c>
      <c r="D41" s="25">
        <f t="shared" si="2"/>
        <v>1.42</v>
      </c>
      <c r="E41" s="25">
        <f t="shared" si="3"/>
        <v>0.71</v>
      </c>
      <c r="F41" s="25">
        <f t="shared" si="5"/>
        <v>0.71</v>
      </c>
      <c r="G41" s="25">
        <f t="shared" si="6"/>
        <v>0.71</v>
      </c>
      <c r="H41" s="25">
        <f t="shared" si="4"/>
        <v>0.71</v>
      </c>
    </row>
    <row r="42" spans="1:8" ht="15.75">
      <c r="A42" s="23">
        <v>2263</v>
      </c>
      <c r="B42" s="32" t="s">
        <v>16</v>
      </c>
      <c r="C42" s="25">
        <v>3</v>
      </c>
      <c r="D42" s="25">
        <f t="shared" si="2"/>
        <v>4.27</v>
      </c>
      <c r="E42" s="25">
        <f t="shared" si="3"/>
        <v>2.14</v>
      </c>
      <c r="F42" s="25">
        <f t="shared" si="5"/>
        <v>2.14</v>
      </c>
      <c r="G42" s="25">
        <f t="shared" si="6"/>
        <v>2.14</v>
      </c>
      <c r="H42" s="25">
        <f t="shared" si="4"/>
        <v>2.14</v>
      </c>
    </row>
    <row r="43" spans="1:8" ht="15.75" hidden="1">
      <c r="A43" s="23">
        <v>2264</v>
      </c>
      <c r="B43" s="32" t="s">
        <v>17</v>
      </c>
      <c r="C43" s="25">
        <v>0</v>
      </c>
      <c r="D43" s="25">
        <f t="shared" si="2"/>
        <v>0</v>
      </c>
      <c r="E43" s="25">
        <f t="shared" si="3"/>
        <v>0</v>
      </c>
      <c r="F43" s="25">
        <f t="shared" si="5"/>
        <v>0</v>
      </c>
      <c r="G43" s="25">
        <f t="shared" si="6"/>
        <v>0</v>
      </c>
      <c r="H43" s="25">
        <f t="shared" si="4"/>
        <v>0</v>
      </c>
    </row>
    <row r="44" spans="1:8" ht="15.75">
      <c r="A44" s="23">
        <v>2279</v>
      </c>
      <c r="B44" s="32" t="s">
        <v>18</v>
      </c>
      <c r="C44" s="25">
        <v>4</v>
      </c>
      <c r="D44" s="25">
        <f t="shared" si="2"/>
        <v>5.69</v>
      </c>
      <c r="E44" s="25">
        <f t="shared" si="3"/>
        <v>2.85</v>
      </c>
      <c r="F44" s="25">
        <f t="shared" si="5"/>
        <v>2.85</v>
      </c>
      <c r="G44" s="25">
        <f t="shared" si="6"/>
        <v>2.85</v>
      </c>
      <c r="H44" s="25">
        <f t="shared" si="4"/>
        <v>2.8500000000000005</v>
      </c>
    </row>
    <row r="45" spans="1:8" ht="15.75" hidden="1">
      <c r="A45" s="23">
        <v>2311</v>
      </c>
      <c r="B45" s="32" t="s">
        <v>19</v>
      </c>
      <c r="C45" s="25">
        <v>0</v>
      </c>
      <c r="D45" s="25">
        <f t="shared" si="2"/>
        <v>0</v>
      </c>
      <c r="E45" s="25">
        <f t="shared" si="3"/>
        <v>0</v>
      </c>
      <c r="F45" s="25">
        <f t="shared" si="5"/>
        <v>0</v>
      </c>
      <c r="G45" s="25">
        <f t="shared" si="6"/>
        <v>0</v>
      </c>
      <c r="H45" s="25">
        <f t="shared" si="4"/>
        <v>0</v>
      </c>
    </row>
    <row r="46" spans="1:8" ht="15.75">
      <c r="A46" s="23">
        <v>2312</v>
      </c>
      <c r="B46" s="32" t="s">
        <v>20</v>
      </c>
      <c r="C46" s="25">
        <v>1</v>
      </c>
      <c r="D46" s="25">
        <f t="shared" si="2"/>
        <v>1.42</v>
      </c>
      <c r="E46" s="25">
        <f t="shared" si="3"/>
        <v>0.71</v>
      </c>
      <c r="F46" s="25">
        <f t="shared" si="5"/>
        <v>0.71</v>
      </c>
      <c r="G46" s="25">
        <f t="shared" si="6"/>
        <v>0.71</v>
      </c>
      <c r="H46" s="25">
        <f t="shared" si="4"/>
        <v>0.71</v>
      </c>
    </row>
    <row r="47" spans="1:8" ht="15.75">
      <c r="A47" s="23">
        <v>2321</v>
      </c>
      <c r="B47" s="32" t="s">
        <v>21</v>
      </c>
      <c r="C47" s="25">
        <v>1</v>
      </c>
      <c r="D47" s="25">
        <f t="shared" si="2"/>
        <v>1.42</v>
      </c>
      <c r="E47" s="25">
        <f t="shared" si="3"/>
        <v>0.71</v>
      </c>
      <c r="F47" s="25">
        <f t="shared" si="5"/>
        <v>0.71</v>
      </c>
      <c r="G47" s="25">
        <f t="shared" si="6"/>
        <v>0.71</v>
      </c>
      <c r="H47" s="25">
        <f t="shared" si="4"/>
        <v>0.71</v>
      </c>
    </row>
    <row r="48" spans="1:8" ht="15.75">
      <c r="A48" s="23">
        <v>2322</v>
      </c>
      <c r="B48" s="32" t="s">
        <v>22</v>
      </c>
      <c r="C48" s="25">
        <v>1</v>
      </c>
      <c r="D48" s="25">
        <f t="shared" si="2"/>
        <v>1.42</v>
      </c>
      <c r="E48" s="25">
        <f t="shared" si="3"/>
        <v>0.71</v>
      </c>
      <c r="F48" s="25">
        <v>0.62</v>
      </c>
      <c r="G48" s="25">
        <f t="shared" si="6"/>
        <v>0.62</v>
      </c>
      <c r="H48" s="25">
        <f t="shared" si="4"/>
        <v>0.62</v>
      </c>
    </row>
    <row r="49" spans="1:8" ht="15.75" hidden="1">
      <c r="A49" s="23">
        <v>2341</v>
      </c>
      <c r="B49" s="32" t="s">
        <v>23</v>
      </c>
      <c r="C49" s="25">
        <v>0</v>
      </c>
      <c r="D49" s="25">
        <f t="shared" si="2"/>
        <v>0</v>
      </c>
      <c r="E49" s="25">
        <f t="shared" si="3"/>
        <v>0</v>
      </c>
      <c r="F49" s="25">
        <f t="shared" si="5"/>
        <v>0</v>
      </c>
      <c r="G49" s="25">
        <f t="shared" si="6"/>
        <v>0</v>
      </c>
      <c r="H49" s="25">
        <f t="shared" si="4"/>
        <v>0</v>
      </c>
    </row>
    <row r="50" spans="1:8" ht="15.75" hidden="1">
      <c r="A50" s="23">
        <v>2344</v>
      </c>
      <c r="B50" s="32" t="s">
        <v>24</v>
      </c>
      <c r="C50" s="25"/>
      <c r="D50" s="25">
        <f t="shared" si="2"/>
        <v>0</v>
      </c>
      <c r="E50" s="25">
        <f t="shared" si="3"/>
        <v>0</v>
      </c>
      <c r="F50" s="25">
        <f t="shared" si="5"/>
        <v>0</v>
      </c>
      <c r="G50" s="25">
        <f t="shared" si="6"/>
        <v>0</v>
      </c>
      <c r="H50" s="25">
        <f t="shared" si="4"/>
        <v>0</v>
      </c>
    </row>
    <row r="51" spans="1:8" ht="15.75">
      <c r="A51" s="23">
        <v>2350</v>
      </c>
      <c r="B51" s="32" t="s">
        <v>25</v>
      </c>
      <c r="C51" s="25">
        <v>3</v>
      </c>
      <c r="D51" s="25">
        <f t="shared" si="2"/>
        <v>4.27</v>
      </c>
      <c r="E51" s="25">
        <f t="shared" si="3"/>
        <v>2.14</v>
      </c>
      <c r="F51" s="25">
        <f t="shared" si="5"/>
        <v>2.14</v>
      </c>
      <c r="G51" s="25">
        <f t="shared" si="6"/>
        <v>2.14</v>
      </c>
      <c r="H51" s="25">
        <f t="shared" si="4"/>
        <v>2.14</v>
      </c>
    </row>
    <row r="52" spans="1:8" ht="15.75">
      <c r="A52" s="23">
        <v>2361</v>
      </c>
      <c r="B52" s="32" t="s">
        <v>26</v>
      </c>
      <c r="C52" s="25">
        <v>2</v>
      </c>
      <c r="D52" s="25">
        <f t="shared" si="2"/>
        <v>2.85</v>
      </c>
      <c r="E52" s="25">
        <f t="shared" si="3"/>
        <v>1.43</v>
      </c>
      <c r="F52" s="25">
        <f t="shared" si="5"/>
        <v>1.43</v>
      </c>
      <c r="G52" s="25">
        <f t="shared" si="6"/>
        <v>1.43</v>
      </c>
      <c r="H52" s="25">
        <f t="shared" si="4"/>
        <v>1.43</v>
      </c>
    </row>
    <row r="53" spans="1:8" ht="15.75" hidden="1">
      <c r="A53" s="23">
        <v>2362</v>
      </c>
      <c r="B53" s="32" t="s">
        <v>27</v>
      </c>
      <c r="C53" s="25"/>
      <c r="D53" s="25">
        <f t="shared" si="2"/>
        <v>0</v>
      </c>
      <c r="E53" s="25">
        <f t="shared" si="3"/>
        <v>0</v>
      </c>
      <c r="F53" s="25">
        <f t="shared" si="5"/>
        <v>0</v>
      </c>
      <c r="G53" s="25">
        <f t="shared" si="6"/>
        <v>0</v>
      </c>
      <c r="H53" s="25">
        <f t="shared" si="4"/>
        <v>0</v>
      </c>
    </row>
    <row r="54" spans="1:8" ht="15.75" hidden="1">
      <c r="A54" s="23">
        <v>2363</v>
      </c>
      <c r="B54" s="32" t="s">
        <v>28</v>
      </c>
      <c r="C54" s="25"/>
      <c r="D54" s="25">
        <f t="shared" si="2"/>
        <v>0</v>
      </c>
      <c r="E54" s="25">
        <f t="shared" si="3"/>
        <v>0</v>
      </c>
      <c r="F54" s="25">
        <f t="shared" si="5"/>
        <v>0</v>
      </c>
      <c r="G54" s="25">
        <f t="shared" si="6"/>
        <v>0</v>
      </c>
      <c r="H54" s="25">
        <f t="shared" si="4"/>
        <v>0</v>
      </c>
    </row>
    <row r="55" spans="1:8" ht="15.75" hidden="1">
      <c r="A55" s="23">
        <v>2370</v>
      </c>
      <c r="B55" s="32" t="s">
        <v>29</v>
      </c>
      <c r="C55" s="25"/>
      <c r="D55" s="25">
        <f t="shared" si="2"/>
        <v>0</v>
      </c>
      <c r="E55" s="25">
        <f t="shared" si="3"/>
        <v>0</v>
      </c>
      <c r="F55" s="25">
        <f t="shared" si="5"/>
        <v>0</v>
      </c>
      <c r="G55" s="25">
        <f t="shared" si="6"/>
        <v>0</v>
      </c>
      <c r="H55" s="25">
        <f t="shared" si="4"/>
        <v>0</v>
      </c>
    </row>
    <row r="56" spans="1:8" ht="15.75" hidden="1">
      <c r="A56" s="23">
        <v>2400</v>
      </c>
      <c r="B56" s="32" t="s">
        <v>43</v>
      </c>
      <c r="C56" s="25">
        <v>0</v>
      </c>
      <c r="D56" s="25">
        <f t="shared" si="2"/>
        <v>0</v>
      </c>
      <c r="E56" s="25">
        <f t="shared" si="3"/>
        <v>0</v>
      </c>
      <c r="F56" s="25">
        <f t="shared" si="5"/>
        <v>0</v>
      </c>
      <c r="G56" s="25">
        <f t="shared" si="6"/>
        <v>0</v>
      </c>
      <c r="H56" s="25">
        <f t="shared" si="4"/>
        <v>0</v>
      </c>
    </row>
    <row r="57" spans="1:8" ht="15.75" hidden="1">
      <c r="A57" s="23">
        <v>2512</v>
      </c>
      <c r="B57" s="32" t="s">
        <v>30</v>
      </c>
      <c r="C57" s="25">
        <v>0</v>
      </c>
      <c r="D57" s="25">
        <f t="shared" si="2"/>
        <v>0</v>
      </c>
      <c r="E57" s="25">
        <f t="shared" si="3"/>
        <v>0</v>
      </c>
      <c r="F57" s="25">
        <f t="shared" si="5"/>
        <v>0</v>
      </c>
      <c r="G57" s="25">
        <f t="shared" si="6"/>
        <v>0</v>
      </c>
      <c r="H57" s="25">
        <f t="shared" si="4"/>
        <v>0</v>
      </c>
    </row>
    <row r="58" spans="1:8" ht="15.75">
      <c r="A58" s="23">
        <v>2513</v>
      </c>
      <c r="B58" s="32" t="s">
        <v>31</v>
      </c>
      <c r="C58" s="25">
        <v>2</v>
      </c>
      <c r="D58" s="25">
        <f t="shared" si="2"/>
        <v>2.85</v>
      </c>
      <c r="E58" s="25">
        <f t="shared" si="3"/>
        <v>1.43</v>
      </c>
      <c r="F58" s="25">
        <f t="shared" si="5"/>
        <v>1.43</v>
      </c>
      <c r="G58" s="25">
        <v>1.48</v>
      </c>
      <c r="H58" s="25">
        <f t="shared" si="4"/>
        <v>1.48</v>
      </c>
    </row>
    <row r="59" spans="1:8" ht="15.75" hidden="1">
      <c r="A59" s="23">
        <v>2515</v>
      </c>
      <c r="B59" s="32" t="s">
        <v>78</v>
      </c>
      <c r="C59" s="25">
        <v>0</v>
      </c>
      <c r="D59" s="25">
        <f t="shared" si="2"/>
        <v>0</v>
      </c>
      <c r="E59" s="25">
        <f t="shared" si="3"/>
        <v>0</v>
      </c>
      <c r="F59" s="25">
        <f t="shared" si="5"/>
        <v>0</v>
      </c>
      <c r="G59" s="25">
        <f t="shared" si="6"/>
        <v>0</v>
      </c>
      <c r="H59" s="25">
        <f t="shared" si="4"/>
        <v>0</v>
      </c>
    </row>
    <row r="60" spans="1:8" ht="15.75">
      <c r="A60" s="23">
        <v>2519</v>
      </c>
      <c r="B60" s="32" t="s">
        <v>34</v>
      </c>
      <c r="C60" s="25">
        <v>1</v>
      </c>
      <c r="D60" s="25">
        <v>1.47</v>
      </c>
      <c r="E60" s="25">
        <v>0.69</v>
      </c>
      <c r="F60" s="25">
        <f t="shared" si="5"/>
        <v>0.69</v>
      </c>
      <c r="G60" s="25">
        <f t="shared" si="6"/>
        <v>0.69</v>
      </c>
      <c r="H60" s="25">
        <f t="shared" si="4"/>
        <v>0.69</v>
      </c>
    </row>
    <row r="61" spans="1:8" ht="15.75" hidden="1">
      <c r="A61" s="23">
        <v>6240</v>
      </c>
      <c r="B61" s="32"/>
      <c r="C61" s="25"/>
      <c r="D61" s="32"/>
      <c r="E61" s="25"/>
      <c r="F61" s="25">
        <f aca="true" t="shared" si="7" ref="F61:F67">E61/20*20</f>
        <v>0</v>
      </c>
      <c r="G61" s="25">
        <f t="shared" si="6"/>
        <v>0</v>
      </c>
      <c r="H61" s="25">
        <f t="shared" si="4"/>
        <v>0</v>
      </c>
    </row>
    <row r="62" spans="1:8" ht="15.75" hidden="1">
      <c r="A62" s="23">
        <v>6290</v>
      </c>
      <c r="B62" s="32"/>
      <c r="C62" s="25"/>
      <c r="D62" s="32"/>
      <c r="E62" s="25"/>
      <c r="F62" s="25">
        <f t="shared" si="7"/>
        <v>0</v>
      </c>
      <c r="G62" s="25">
        <f t="shared" si="6"/>
        <v>0</v>
      </c>
      <c r="H62" s="25">
        <f t="shared" si="4"/>
        <v>0</v>
      </c>
    </row>
    <row r="63" spans="1:8" ht="15.75" hidden="1">
      <c r="A63" s="23">
        <v>5121</v>
      </c>
      <c r="B63" s="32" t="s">
        <v>32</v>
      </c>
      <c r="C63" s="25">
        <v>0</v>
      </c>
      <c r="D63" s="32"/>
      <c r="E63" s="25">
        <v>0</v>
      </c>
      <c r="F63" s="25">
        <f t="shared" si="7"/>
        <v>0</v>
      </c>
      <c r="G63" s="25">
        <f t="shared" si="6"/>
        <v>0</v>
      </c>
      <c r="H63" s="25">
        <f t="shared" si="4"/>
        <v>0</v>
      </c>
    </row>
    <row r="64" spans="1:8" ht="15.75" hidden="1">
      <c r="A64" s="23">
        <v>5232</v>
      </c>
      <c r="B64" s="32" t="s">
        <v>33</v>
      </c>
      <c r="C64" s="25">
        <v>0</v>
      </c>
      <c r="D64" s="32"/>
      <c r="E64" s="25">
        <v>0</v>
      </c>
      <c r="F64" s="25">
        <f t="shared" si="7"/>
        <v>0</v>
      </c>
      <c r="G64" s="25">
        <f t="shared" si="6"/>
        <v>0</v>
      </c>
      <c r="H64" s="25">
        <f t="shared" si="4"/>
        <v>0</v>
      </c>
    </row>
    <row r="65" spans="1:8" ht="15.75" hidden="1">
      <c r="A65" s="23">
        <v>5238</v>
      </c>
      <c r="B65" s="32" t="s">
        <v>35</v>
      </c>
      <c r="C65" s="25">
        <v>0</v>
      </c>
      <c r="D65" s="32"/>
      <c r="E65" s="25">
        <v>0</v>
      </c>
      <c r="F65" s="25">
        <f t="shared" si="7"/>
        <v>0</v>
      </c>
      <c r="G65" s="25">
        <f t="shared" si="6"/>
        <v>0</v>
      </c>
      <c r="H65" s="25">
        <f t="shared" si="4"/>
        <v>0</v>
      </c>
    </row>
    <row r="66" spans="1:8" ht="15.75" hidden="1">
      <c r="A66" s="23">
        <v>5240</v>
      </c>
      <c r="B66" s="32" t="s">
        <v>36</v>
      </c>
      <c r="C66" s="25">
        <v>0</v>
      </c>
      <c r="D66" s="32"/>
      <c r="E66" s="25">
        <v>0</v>
      </c>
      <c r="F66" s="25">
        <f t="shared" si="7"/>
        <v>0</v>
      </c>
      <c r="G66" s="25">
        <f t="shared" si="6"/>
        <v>0</v>
      </c>
      <c r="H66" s="25">
        <f t="shared" si="4"/>
        <v>0</v>
      </c>
    </row>
    <row r="67" spans="1:8" ht="15.75" hidden="1">
      <c r="A67" s="23">
        <v>5250</v>
      </c>
      <c r="B67" s="32" t="s">
        <v>37</v>
      </c>
      <c r="C67" s="25"/>
      <c r="D67" s="32"/>
      <c r="E67" s="25"/>
      <c r="F67" s="25">
        <f t="shared" si="7"/>
        <v>0</v>
      </c>
      <c r="G67" s="25">
        <f t="shared" si="6"/>
        <v>0</v>
      </c>
      <c r="H67" s="25">
        <f>G67/10*10</f>
        <v>0</v>
      </c>
    </row>
    <row r="68" spans="1:8" ht="15.75">
      <c r="A68" s="33"/>
      <c r="B68" s="34" t="s">
        <v>79</v>
      </c>
      <c r="C68" s="82">
        <f aca="true" t="shared" si="8" ref="C68:H68">SUM(C24:C67)</f>
        <v>104</v>
      </c>
      <c r="D68" s="82">
        <f t="shared" si="8"/>
        <v>148.01999999999995</v>
      </c>
      <c r="E68" s="82">
        <f t="shared" si="8"/>
        <v>74</v>
      </c>
      <c r="F68" s="82">
        <f t="shared" si="8"/>
        <v>74.71000000000001</v>
      </c>
      <c r="G68" s="82">
        <f t="shared" si="8"/>
        <v>74.76</v>
      </c>
      <c r="H68" s="82">
        <f t="shared" si="8"/>
        <v>76.06</v>
      </c>
    </row>
    <row r="69" spans="1:8" ht="15.75">
      <c r="A69" s="33"/>
      <c r="B69" s="34" t="s">
        <v>80</v>
      </c>
      <c r="C69" s="82">
        <f aca="true" t="shared" si="9" ref="C69:H69">C68+C22</f>
        <v>227.39999999999998</v>
      </c>
      <c r="D69" s="82">
        <f t="shared" si="9"/>
        <v>323.59999999999997</v>
      </c>
      <c r="E69" s="82">
        <f t="shared" si="9"/>
        <v>161.8</v>
      </c>
      <c r="F69" s="82">
        <f t="shared" si="9"/>
        <v>165</v>
      </c>
      <c r="G69" s="82">
        <f t="shared" si="9"/>
        <v>188.8</v>
      </c>
      <c r="H69" s="82">
        <f t="shared" si="9"/>
        <v>194.5</v>
      </c>
    </row>
    <row r="70" spans="1:8" ht="15.75">
      <c r="A70" s="9"/>
      <c r="B70" s="14"/>
      <c r="C70" s="35"/>
      <c r="D70" s="35"/>
      <c r="E70" s="35"/>
      <c r="F70" s="35"/>
      <c r="G70" s="35"/>
      <c r="H70" s="35"/>
    </row>
    <row r="71" spans="1:8" ht="15.75">
      <c r="A71" s="212" t="s">
        <v>45</v>
      </c>
      <c r="B71" s="213"/>
      <c r="C71" s="36">
        <v>20</v>
      </c>
      <c r="D71" s="36">
        <v>20</v>
      </c>
      <c r="E71" s="42">
        <v>10</v>
      </c>
      <c r="F71" s="42">
        <v>10</v>
      </c>
      <c r="G71" s="42">
        <v>10</v>
      </c>
      <c r="H71" s="162">
        <v>10</v>
      </c>
    </row>
    <row r="72" spans="1:8" ht="15.75">
      <c r="A72" s="214" t="s">
        <v>91</v>
      </c>
      <c r="B72" s="215"/>
      <c r="C72" s="99">
        <f aca="true" t="shared" si="10" ref="C72:H72">ROUND(C69/C71,2)</f>
        <v>11.37</v>
      </c>
      <c r="D72" s="99">
        <f t="shared" si="10"/>
        <v>16.18</v>
      </c>
      <c r="E72" s="28">
        <f t="shared" si="10"/>
        <v>16.18</v>
      </c>
      <c r="F72" s="28">
        <f t="shared" si="10"/>
        <v>16.5</v>
      </c>
      <c r="G72" s="28">
        <f t="shared" si="10"/>
        <v>18.88</v>
      </c>
      <c r="H72" s="164">
        <f t="shared" si="10"/>
        <v>19.45</v>
      </c>
    </row>
    <row r="73" spans="1:8" ht="15.75">
      <c r="A73" s="14"/>
      <c r="B73" s="11"/>
      <c r="C73" s="11"/>
      <c r="D73" s="11"/>
      <c r="E73" s="11"/>
      <c r="F73" s="11"/>
      <c r="G73" s="11"/>
      <c r="H73" s="11"/>
    </row>
    <row r="74" spans="1:8" ht="15.75">
      <c r="A74" s="212" t="s">
        <v>46</v>
      </c>
      <c r="B74" s="213"/>
      <c r="C74" s="72"/>
      <c r="D74" s="72"/>
      <c r="E74" s="37"/>
      <c r="F74" s="37"/>
      <c r="G74" s="37"/>
      <c r="H74" s="37"/>
    </row>
    <row r="75" spans="1:8" ht="15.75">
      <c r="A75" s="212" t="s">
        <v>56</v>
      </c>
      <c r="B75" s="213"/>
      <c r="C75" s="72"/>
      <c r="D75" s="72"/>
      <c r="E75" s="37"/>
      <c r="F75" s="37"/>
      <c r="G75" s="37"/>
      <c r="H75" s="37"/>
    </row>
    <row r="76" spans="1:8" ht="15.75">
      <c r="A76" s="38"/>
      <c r="B76" s="38"/>
      <c r="C76" s="38"/>
      <c r="D76" s="38"/>
      <c r="E76" s="38"/>
      <c r="F76" s="38"/>
      <c r="G76" s="38"/>
      <c r="H76" s="38"/>
    </row>
    <row r="77" spans="1:8" ht="15.75">
      <c r="A77" s="38" t="s">
        <v>47</v>
      </c>
      <c r="B77" s="38"/>
      <c r="C77" s="38"/>
      <c r="D77" s="38"/>
      <c r="E77" s="38"/>
      <c r="F77" s="38"/>
      <c r="G77" s="38"/>
      <c r="H77" s="38"/>
    </row>
    <row r="78" spans="1:8" ht="15.75">
      <c r="A78" s="38"/>
      <c r="B78" s="38"/>
      <c r="C78" s="38"/>
      <c r="D78" s="38"/>
      <c r="E78" s="38"/>
      <c r="F78" s="38"/>
      <c r="G78" s="38"/>
      <c r="H78" s="38"/>
    </row>
    <row r="79" spans="1:8" ht="15.75">
      <c r="A79" s="38"/>
      <c r="B79" s="39"/>
      <c r="C79" s="39"/>
      <c r="D79" s="39"/>
      <c r="E79" s="39"/>
      <c r="F79" s="38"/>
      <c r="G79" s="38"/>
      <c r="H79" s="38"/>
    </row>
    <row r="80" spans="1:8" ht="15.75">
      <c r="A80" s="38"/>
      <c r="B80" s="101"/>
      <c r="C80" s="101"/>
      <c r="D80" s="101"/>
      <c r="E80" s="39"/>
      <c r="F80" s="38"/>
      <c r="G80" s="38"/>
      <c r="H80" s="38"/>
    </row>
    <row r="81" spans="2:5" ht="15">
      <c r="B81" s="232"/>
      <c r="C81" s="232"/>
      <c r="D81" s="232"/>
      <c r="E81" s="232"/>
    </row>
    <row r="82" spans="2:5" ht="15">
      <c r="B82" s="2"/>
      <c r="C82" s="2"/>
      <c r="D82" s="2"/>
      <c r="E82" s="2"/>
    </row>
  </sheetData>
  <sheetProtection/>
  <mergeCells count="13">
    <mergeCell ref="A74:B74"/>
    <mergeCell ref="A75:B75"/>
    <mergeCell ref="B81:E81"/>
    <mergeCell ref="B7:E7"/>
    <mergeCell ref="B8:E8"/>
    <mergeCell ref="B9:E9"/>
    <mergeCell ref="B10:E10"/>
    <mergeCell ref="A71:B71"/>
    <mergeCell ref="A72:B72"/>
    <mergeCell ref="A3:H3"/>
    <mergeCell ref="B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zoomScale="90" zoomScalePageLayoutView="90" workbookViewId="0" topLeftCell="A1">
      <selection activeCell="A1" sqref="A1:IV3"/>
    </sheetView>
  </sheetViews>
  <sheetFormatPr defaultColWidth="9.140625" defaultRowHeight="12.75"/>
  <cols>
    <col min="1" max="1" width="12.57421875" style="7" customWidth="1"/>
    <col min="2" max="2" width="94.00390625" style="7" customWidth="1"/>
    <col min="3" max="3" width="19.00390625" style="7" hidden="1" customWidth="1"/>
    <col min="4" max="6" width="24.140625" style="15" hidden="1" customWidth="1"/>
    <col min="7" max="7" width="32.8515625" style="15" customWidth="1"/>
  </cols>
  <sheetData>
    <row r="1" spans="1:7" ht="15.75">
      <c r="A1" s="15"/>
      <c r="B1" s="13"/>
      <c r="C1" s="77"/>
      <c r="G1" s="9"/>
    </row>
    <row r="2" spans="1:7" ht="15.75">
      <c r="A2" s="15"/>
      <c r="B2" s="12"/>
      <c r="C2" s="76"/>
      <c r="D2" s="76"/>
      <c r="E2" s="76"/>
      <c r="F2" s="76"/>
      <c r="G2" s="9"/>
    </row>
    <row r="3" spans="1:7" ht="15.75">
      <c r="A3" s="15"/>
      <c r="B3" s="15"/>
      <c r="C3" s="77"/>
      <c r="D3" s="14"/>
      <c r="E3" s="14"/>
      <c r="F3" s="14"/>
      <c r="G3" s="14"/>
    </row>
    <row r="4" spans="1:7" ht="15.75">
      <c r="A4" s="208" t="s">
        <v>6</v>
      </c>
      <c r="B4" s="208"/>
      <c r="C4" s="208"/>
      <c r="D4" s="208"/>
      <c r="E4" s="208"/>
      <c r="F4" s="208"/>
      <c r="G4" s="208"/>
    </row>
    <row r="5" spans="1:7" ht="15.75">
      <c r="A5" s="15"/>
      <c r="B5" s="209"/>
      <c r="C5" s="209"/>
      <c r="D5" s="14"/>
      <c r="E5" s="14"/>
      <c r="F5" s="14"/>
      <c r="G5" s="14"/>
    </row>
    <row r="6" spans="1:7" ht="15.75">
      <c r="A6" s="195" t="s">
        <v>1</v>
      </c>
      <c r="B6" s="195"/>
      <c r="C6" s="195"/>
      <c r="D6" s="14"/>
      <c r="E6" s="14"/>
      <c r="F6" s="14"/>
      <c r="G6" s="14"/>
    </row>
    <row r="7" spans="1:7" ht="15.75">
      <c r="A7" s="195" t="s">
        <v>0</v>
      </c>
      <c r="B7" s="195"/>
      <c r="C7" s="195"/>
      <c r="D7" s="14"/>
      <c r="E7" s="14"/>
      <c r="F7" s="14"/>
      <c r="G7" s="14"/>
    </row>
    <row r="8" spans="1:7" ht="15.75">
      <c r="A8" s="8"/>
      <c r="B8" s="195" t="s">
        <v>44</v>
      </c>
      <c r="C8" s="195"/>
      <c r="D8" s="14"/>
      <c r="E8" s="14"/>
      <c r="F8" s="14"/>
      <c r="G8" s="14"/>
    </row>
    <row r="9" spans="1:7" ht="15.75">
      <c r="A9" s="8"/>
      <c r="B9" s="195" t="s">
        <v>57</v>
      </c>
      <c r="C9" s="195"/>
      <c r="D9" s="14"/>
      <c r="E9" s="14"/>
      <c r="F9" s="14"/>
      <c r="G9" s="14"/>
    </row>
    <row r="10" spans="1:7" ht="15.75">
      <c r="A10" s="8"/>
      <c r="B10" s="195" t="s">
        <v>198</v>
      </c>
      <c r="C10" s="195"/>
      <c r="D10" s="14"/>
      <c r="E10" s="14"/>
      <c r="F10" s="14"/>
      <c r="G10" s="14"/>
    </row>
    <row r="11" spans="1:7" ht="15.75">
      <c r="A11" s="8" t="s">
        <v>2</v>
      </c>
      <c r="B11" s="8" t="s">
        <v>205</v>
      </c>
      <c r="C11" s="8"/>
      <c r="D11" s="14"/>
      <c r="E11" s="14"/>
      <c r="F11" s="14"/>
      <c r="G11" s="14"/>
    </row>
    <row r="12" spans="1:7" ht="15.75" hidden="1">
      <c r="A12" s="8"/>
      <c r="B12" s="8"/>
      <c r="C12" s="8"/>
      <c r="D12" s="14"/>
      <c r="E12" s="14"/>
      <c r="F12" s="14"/>
      <c r="G12" s="14"/>
    </row>
    <row r="13" spans="1:7" ht="78.75">
      <c r="A13" s="59" t="s">
        <v>3</v>
      </c>
      <c r="B13" s="59" t="s">
        <v>4</v>
      </c>
      <c r="C13" s="17" t="s">
        <v>5</v>
      </c>
      <c r="D13" s="17"/>
      <c r="E13" s="17"/>
      <c r="F13" s="17"/>
      <c r="G13" s="59" t="s">
        <v>5</v>
      </c>
    </row>
    <row r="14" spans="1:7" ht="15.75">
      <c r="A14" s="18">
        <v>1</v>
      </c>
      <c r="B14" s="19">
        <v>2</v>
      </c>
      <c r="C14" s="18">
        <v>3</v>
      </c>
      <c r="D14" s="19">
        <v>3</v>
      </c>
      <c r="E14" s="19"/>
      <c r="F14" s="19"/>
      <c r="G14" s="19">
        <v>3</v>
      </c>
    </row>
    <row r="15" spans="1:7" ht="15.75">
      <c r="A15" s="18"/>
      <c r="B15" s="21" t="s">
        <v>71</v>
      </c>
      <c r="C15" s="79"/>
      <c r="D15" s="22"/>
      <c r="E15" s="22"/>
      <c r="F15" s="22"/>
      <c r="G15" s="22"/>
    </row>
    <row r="16" spans="1:7" ht="15.75">
      <c r="A16" s="22">
        <v>1100</v>
      </c>
      <c r="B16" s="24" t="s">
        <v>72</v>
      </c>
      <c r="C16" s="80">
        <v>4899.18</v>
      </c>
      <c r="D16" s="80">
        <f>C16/2550*20</f>
        <v>38.42494117647059</v>
      </c>
      <c r="E16" s="68">
        <f>ROUND(D16/0.702804,2)</f>
        <v>54.67</v>
      </c>
      <c r="F16" s="68">
        <v>69.43</v>
      </c>
      <c r="G16" s="80">
        <f>F16/20*10+10*0.98</f>
        <v>44.515</v>
      </c>
    </row>
    <row r="17" spans="1:7" ht="15.75" customHeight="1">
      <c r="A17" s="23">
        <v>1200</v>
      </c>
      <c r="B17" s="32" t="s">
        <v>73</v>
      </c>
      <c r="C17" s="47">
        <v>1180.21</v>
      </c>
      <c r="D17" s="25">
        <f>C17/2550*20</f>
        <v>9.256549019607844</v>
      </c>
      <c r="E17" s="68">
        <f>ROUND(D17/0.702804,2)</f>
        <v>13.17</v>
      </c>
      <c r="F17" s="68">
        <v>16.73</v>
      </c>
      <c r="G17" s="80">
        <f>F17/20*10+10*0.24</f>
        <v>10.765</v>
      </c>
    </row>
    <row r="18" spans="1:7" ht="15.75">
      <c r="A18" s="88">
        <v>2341</v>
      </c>
      <c r="B18" s="26" t="s">
        <v>23</v>
      </c>
      <c r="C18" s="80">
        <v>193.8</v>
      </c>
      <c r="D18" s="80">
        <f>C18/2550*20</f>
        <v>1.52</v>
      </c>
      <c r="E18" s="68">
        <f>ROUND(D18/0.702804,2)</f>
        <v>2.16</v>
      </c>
      <c r="F18" s="68">
        <f>E18</f>
        <v>2.16</v>
      </c>
      <c r="G18" s="80">
        <f>F18/20*10</f>
        <v>1.08</v>
      </c>
    </row>
    <row r="19" spans="1:7" ht="15.75" customHeight="1">
      <c r="A19" s="22">
        <v>2350</v>
      </c>
      <c r="B19" s="26" t="s">
        <v>25</v>
      </c>
      <c r="C19" s="80">
        <v>36.6</v>
      </c>
      <c r="D19" s="80">
        <f>C19/2550*20</f>
        <v>0.2870588235294118</v>
      </c>
      <c r="E19" s="68">
        <f>ROUND(D19/0.702804,2)</f>
        <v>0.41</v>
      </c>
      <c r="F19" s="68">
        <f>E19</f>
        <v>0.41</v>
      </c>
      <c r="G19" s="80">
        <f>F19/20*10</f>
        <v>0.20499999999999996</v>
      </c>
    </row>
    <row r="20" spans="1:7" ht="15.75">
      <c r="A20" s="22"/>
      <c r="B20" s="27" t="s">
        <v>74</v>
      </c>
      <c r="C20" s="82">
        <f>SUM(C16:C19)</f>
        <v>6309.790000000001</v>
      </c>
      <c r="D20" s="82">
        <f>SUM(D16:D19)</f>
        <v>49.48854901960785</v>
      </c>
      <c r="E20" s="82">
        <f>SUM(E16:E19)</f>
        <v>70.41</v>
      </c>
      <c r="F20" s="82">
        <f>SUM(F16:F19)</f>
        <v>88.73</v>
      </c>
      <c r="G20" s="82">
        <f>SUM(G16:G19)</f>
        <v>56.565</v>
      </c>
    </row>
    <row r="21" spans="1:7" ht="15.75">
      <c r="A21" s="33"/>
      <c r="B21" s="24" t="s">
        <v>75</v>
      </c>
      <c r="C21" s="80"/>
      <c r="D21" s="81"/>
      <c r="E21" s="81"/>
      <c r="F21" s="81"/>
      <c r="G21" s="81"/>
    </row>
    <row r="22" spans="1:7" ht="15.75">
      <c r="A22" s="23">
        <v>1100</v>
      </c>
      <c r="B22" s="24" t="s">
        <v>72</v>
      </c>
      <c r="C22" s="80">
        <v>961.4</v>
      </c>
      <c r="D22" s="25">
        <f aca="true" t="shared" si="0" ref="D22:D65">C22/2550*20</f>
        <v>7.540392156862746</v>
      </c>
      <c r="E22" s="68">
        <f aca="true" t="shared" si="1" ref="E22:E65">ROUND(D22/0.702804,2)</f>
        <v>10.73</v>
      </c>
      <c r="F22" s="68">
        <f>E22</f>
        <v>10.73</v>
      </c>
      <c r="G22" s="80">
        <f aca="true" t="shared" si="2" ref="G22:G65">F22/20*10</f>
        <v>5.365</v>
      </c>
    </row>
    <row r="23" spans="1:7" ht="15.75" customHeight="1">
      <c r="A23" s="23">
        <v>1200</v>
      </c>
      <c r="B23" s="26" t="s">
        <v>73</v>
      </c>
      <c r="C23" s="81">
        <v>231.6</v>
      </c>
      <c r="D23" s="25">
        <f t="shared" si="0"/>
        <v>1.816470588235294</v>
      </c>
      <c r="E23" s="68">
        <f t="shared" si="1"/>
        <v>2.58</v>
      </c>
      <c r="F23" s="68">
        <f>E23</f>
        <v>2.58</v>
      </c>
      <c r="G23" s="80">
        <f t="shared" si="2"/>
        <v>1.29</v>
      </c>
    </row>
    <row r="24" spans="1:7" ht="15.75" hidden="1">
      <c r="A24" s="23">
        <v>2100</v>
      </c>
      <c r="B24" s="30" t="s">
        <v>42</v>
      </c>
      <c r="C24" s="80"/>
      <c r="D24" s="25">
        <f t="shared" si="0"/>
        <v>0</v>
      </c>
      <c r="E24" s="68">
        <f t="shared" si="1"/>
        <v>0</v>
      </c>
      <c r="F24" s="68">
        <f aca="true" t="shared" si="3" ref="F24:F65">E24</f>
        <v>0</v>
      </c>
      <c r="G24" s="80">
        <f t="shared" si="2"/>
        <v>0</v>
      </c>
    </row>
    <row r="25" spans="1:7" ht="15.75">
      <c r="A25" s="31">
        <v>2210</v>
      </c>
      <c r="B25" s="26" t="s">
        <v>38</v>
      </c>
      <c r="C25" s="80">
        <v>8</v>
      </c>
      <c r="D25" s="25">
        <f t="shared" si="0"/>
        <v>0.06274509803921569</v>
      </c>
      <c r="E25" s="68">
        <f t="shared" si="1"/>
        <v>0.09</v>
      </c>
      <c r="F25" s="68">
        <f t="shared" si="3"/>
        <v>0.09</v>
      </c>
      <c r="G25" s="80">
        <f t="shared" si="2"/>
        <v>0.045</v>
      </c>
    </row>
    <row r="26" spans="1:7" ht="15.75">
      <c r="A26" s="23">
        <v>2222</v>
      </c>
      <c r="B26" s="26" t="s">
        <v>39</v>
      </c>
      <c r="C26" s="80">
        <v>16</v>
      </c>
      <c r="D26" s="25">
        <f t="shared" si="0"/>
        <v>0.12549019607843137</v>
      </c>
      <c r="E26" s="68">
        <f t="shared" si="1"/>
        <v>0.18</v>
      </c>
      <c r="F26" s="68">
        <f t="shared" si="3"/>
        <v>0.18</v>
      </c>
      <c r="G26" s="80">
        <f t="shared" si="2"/>
        <v>0.09</v>
      </c>
    </row>
    <row r="27" spans="1:7" ht="15.75">
      <c r="A27" s="23">
        <v>2223</v>
      </c>
      <c r="B27" s="26" t="s">
        <v>40</v>
      </c>
      <c r="C27" s="80">
        <v>12</v>
      </c>
      <c r="D27" s="25">
        <f t="shared" si="0"/>
        <v>0.09411764705882353</v>
      </c>
      <c r="E27" s="68">
        <f t="shared" si="1"/>
        <v>0.13</v>
      </c>
      <c r="F27" s="68">
        <f t="shared" si="3"/>
        <v>0.13</v>
      </c>
      <c r="G27" s="80">
        <f t="shared" si="2"/>
        <v>0.065</v>
      </c>
    </row>
    <row r="28" spans="1:7" ht="15.75" customHeight="1">
      <c r="A28" s="23">
        <v>2230</v>
      </c>
      <c r="B28" s="26" t="s">
        <v>41</v>
      </c>
      <c r="C28" s="80">
        <v>3</v>
      </c>
      <c r="D28" s="25">
        <f t="shared" si="0"/>
        <v>0.023529411764705882</v>
      </c>
      <c r="E28" s="68">
        <f t="shared" si="1"/>
        <v>0.03</v>
      </c>
      <c r="F28" s="68">
        <f t="shared" si="3"/>
        <v>0.03</v>
      </c>
      <c r="G28" s="80">
        <f t="shared" si="2"/>
        <v>0.015</v>
      </c>
    </row>
    <row r="29" spans="1:7" ht="15.75" hidden="1">
      <c r="A29" s="23">
        <v>2241</v>
      </c>
      <c r="B29" s="26" t="s">
        <v>9</v>
      </c>
      <c r="C29" s="80"/>
      <c r="D29" s="25">
        <f t="shared" si="0"/>
        <v>0</v>
      </c>
      <c r="E29" s="68">
        <f t="shared" si="1"/>
        <v>0</v>
      </c>
      <c r="F29" s="68">
        <f t="shared" si="3"/>
        <v>0</v>
      </c>
      <c r="G29" s="80">
        <f t="shared" si="2"/>
        <v>0</v>
      </c>
    </row>
    <row r="30" spans="1:7" ht="15.75">
      <c r="A30" s="23">
        <v>2242</v>
      </c>
      <c r="B30" s="26" t="s">
        <v>10</v>
      </c>
      <c r="C30" s="80">
        <v>5</v>
      </c>
      <c r="D30" s="25">
        <f t="shared" si="0"/>
        <v>0.0392156862745098</v>
      </c>
      <c r="E30" s="68">
        <f t="shared" si="1"/>
        <v>0.06</v>
      </c>
      <c r="F30" s="68">
        <f t="shared" si="3"/>
        <v>0.06</v>
      </c>
      <c r="G30" s="80">
        <f t="shared" si="2"/>
        <v>0.03</v>
      </c>
    </row>
    <row r="31" spans="1:7" ht="15.75">
      <c r="A31" s="23">
        <v>2243</v>
      </c>
      <c r="B31" s="26" t="s">
        <v>11</v>
      </c>
      <c r="C31" s="80">
        <v>18</v>
      </c>
      <c r="D31" s="25">
        <f t="shared" si="0"/>
        <v>0.1411764705882353</v>
      </c>
      <c r="E31" s="68">
        <f t="shared" si="1"/>
        <v>0.2</v>
      </c>
      <c r="F31" s="68">
        <f t="shared" si="3"/>
        <v>0.2</v>
      </c>
      <c r="G31" s="80">
        <f t="shared" si="2"/>
        <v>0.1</v>
      </c>
    </row>
    <row r="32" spans="1:7" ht="15.75">
      <c r="A32" s="23">
        <v>2244</v>
      </c>
      <c r="B32" s="26" t="s">
        <v>12</v>
      </c>
      <c r="C32" s="80">
        <v>268.71</v>
      </c>
      <c r="D32" s="25">
        <f t="shared" si="0"/>
        <v>2.1075294117647054</v>
      </c>
      <c r="E32" s="68">
        <f t="shared" si="1"/>
        <v>3</v>
      </c>
      <c r="F32" s="68">
        <f t="shared" si="3"/>
        <v>3</v>
      </c>
      <c r="G32" s="80">
        <f>F32/20*10+10*0.08</f>
        <v>2.3</v>
      </c>
    </row>
    <row r="33" spans="1:7" ht="15.75">
      <c r="A33" s="23">
        <v>2247</v>
      </c>
      <c r="B33" s="21" t="s">
        <v>76</v>
      </c>
      <c r="C33" s="80">
        <v>1</v>
      </c>
      <c r="D33" s="25">
        <f t="shared" si="0"/>
        <v>0.00784313725490196</v>
      </c>
      <c r="E33" s="68">
        <f t="shared" si="1"/>
        <v>0.01</v>
      </c>
      <c r="F33" s="68">
        <f t="shared" si="3"/>
        <v>0.01</v>
      </c>
      <c r="G33" s="80">
        <f t="shared" si="2"/>
        <v>0.005</v>
      </c>
    </row>
    <row r="34" spans="1:7" ht="15.75">
      <c r="A34" s="23">
        <v>2249</v>
      </c>
      <c r="B34" s="32" t="s">
        <v>13</v>
      </c>
      <c r="C34" s="25">
        <v>7</v>
      </c>
      <c r="D34" s="25">
        <f t="shared" si="0"/>
        <v>0.054901960784313725</v>
      </c>
      <c r="E34" s="68">
        <f t="shared" si="1"/>
        <v>0.08</v>
      </c>
      <c r="F34" s="68">
        <f t="shared" si="3"/>
        <v>0.08</v>
      </c>
      <c r="G34" s="80">
        <f t="shared" si="2"/>
        <v>0.04</v>
      </c>
    </row>
    <row r="35" spans="1:7" ht="15.75">
      <c r="A35" s="22">
        <v>2251</v>
      </c>
      <c r="B35" s="26" t="s">
        <v>77</v>
      </c>
      <c r="C35" s="80">
        <v>20</v>
      </c>
      <c r="D35" s="80">
        <f t="shared" si="0"/>
        <v>0.1568627450980392</v>
      </c>
      <c r="E35" s="68">
        <f t="shared" si="1"/>
        <v>0.22</v>
      </c>
      <c r="F35" s="68">
        <f t="shared" si="3"/>
        <v>0.22</v>
      </c>
      <c r="G35" s="80">
        <f t="shared" si="2"/>
        <v>0.10999999999999999</v>
      </c>
    </row>
    <row r="36" spans="1:7" ht="15.75" hidden="1">
      <c r="A36" s="22">
        <v>2252</v>
      </c>
      <c r="B36" s="26" t="s">
        <v>7</v>
      </c>
      <c r="C36" s="80"/>
      <c r="D36" s="80">
        <f t="shared" si="0"/>
        <v>0</v>
      </c>
      <c r="E36" s="68">
        <f t="shared" si="1"/>
        <v>0</v>
      </c>
      <c r="F36" s="68">
        <f t="shared" si="3"/>
        <v>0</v>
      </c>
      <c r="G36" s="80">
        <f t="shared" si="2"/>
        <v>0</v>
      </c>
    </row>
    <row r="37" spans="1:7" ht="15.75" customHeight="1" hidden="1">
      <c r="A37" s="22">
        <v>2259</v>
      </c>
      <c r="B37" s="26" t="s">
        <v>8</v>
      </c>
      <c r="C37" s="80"/>
      <c r="D37" s="80">
        <f t="shared" si="0"/>
        <v>0</v>
      </c>
      <c r="E37" s="68">
        <f t="shared" si="1"/>
        <v>0</v>
      </c>
      <c r="F37" s="68">
        <f t="shared" si="3"/>
        <v>0</v>
      </c>
      <c r="G37" s="80">
        <f t="shared" si="2"/>
        <v>0</v>
      </c>
    </row>
    <row r="38" spans="1:7" ht="15.75">
      <c r="A38" s="22">
        <v>2261</v>
      </c>
      <c r="B38" s="26" t="s">
        <v>14</v>
      </c>
      <c r="C38" s="80">
        <v>4</v>
      </c>
      <c r="D38" s="80">
        <f t="shared" si="0"/>
        <v>0.03137254901960784</v>
      </c>
      <c r="E38" s="68">
        <f t="shared" si="1"/>
        <v>0.04</v>
      </c>
      <c r="F38" s="68">
        <f t="shared" si="3"/>
        <v>0.04</v>
      </c>
      <c r="G38" s="80">
        <f t="shared" si="2"/>
        <v>0.02</v>
      </c>
    </row>
    <row r="39" spans="1:7" ht="15.75">
      <c r="A39" s="22">
        <v>2262</v>
      </c>
      <c r="B39" s="26" t="s">
        <v>15</v>
      </c>
      <c r="C39" s="80">
        <v>16</v>
      </c>
      <c r="D39" s="80">
        <f t="shared" si="0"/>
        <v>0.12549019607843137</v>
      </c>
      <c r="E39" s="68">
        <f t="shared" si="1"/>
        <v>0.18</v>
      </c>
      <c r="F39" s="68">
        <f t="shared" si="3"/>
        <v>0.18</v>
      </c>
      <c r="G39" s="80">
        <f t="shared" si="2"/>
        <v>0.09</v>
      </c>
    </row>
    <row r="40" spans="1:7" ht="15.75">
      <c r="A40" s="22">
        <v>2263</v>
      </c>
      <c r="B40" s="26" t="s">
        <v>16</v>
      </c>
      <c r="C40" s="80">
        <v>59</v>
      </c>
      <c r="D40" s="80">
        <f t="shared" si="0"/>
        <v>0.46274509803921565</v>
      </c>
      <c r="E40" s="68">
        <f t="shared" si="1"/>
        <v>0.66</v>
      </c>
      <c r="F40" s="68">
        <f t="shared" si="3"/>
        <v>0.66</v>
      </c>
      <c r="G40" s="80">
        <f t="shared" si="2"/>
        <v>0.33</v>
      </c>
    </row>
    <row r="41" spans="1:7" ht="15.75">
      <c r="A41" s="22">
        <v>2264</v>
      </c>
      <c r="B41" s="26" t="s">
        <v>17</v>
      </c>
      <c r="C41" s="80">
        <v>0</v>
      </c>
      <c r="D41" s="80">
        <f t="shared" si="0"/>
        <v>0</v>
      </c>
      <c r="E41" s="68">
        <f t="shared" si="1"/>
        <v>0</v>
      </c>
      <c r="F41" s="68">
        <f t="shared" si="3"/>
        <v>0</v>
      </c>
      <c r="G41" s="80">
        <f t="shared" si="2"/>
        <v>0</v>
      </c>
    </row>
    <row r="42" spans="1:7" ht="15.75">
      <c r="A42" s="22">
        <v>2279</v>
      </c>
      <c r="B42" s="26" t="s">
        <v>18</v>
      </c>
      <c r="C42" s="80">
        <v>77</v>
      </c>
      <c r="D42" s="80">
        <f t="shared" si="0"/>
        <v>0.603921568627451</v>
      </c>
      <c r="E42" s="68">
        <f t="shared" si="1"/>
        <v>0.86</v>
      </c>
      <c r="F42" s="68">
        <f t="shared" si="3"/>
        <v>0.86</v>
      </c>
      <c r="G42" s="80">
        <f t="shared" si="2"/>
        <v>0.42999999999999994</v>
      </c>
    </row>
    <row r="43" spans="1:7" ht="15.75">
      <c r="A43" s="22">
        <v>2311</v>
      </c>
      <c r="B43" s="26" t="s">
        <v>19</v>
      </c>
      <c r="C43" s="80">
        <v>7</v>
      </c>
      <c r="D43" s="80">
        <f t="shared" si="0"/>
        <v>0.054901960784313725</v>
      </c>
      <c r="E43" s="68">
        <f t="shared" si="1"/>
        <v>0.08</v>
      </c>
      <c r="F43" s="68">
        <f t="shared" si="3"/>
        <v>0.08</v>
      </c>
      <c r="G43" s="80">
        <f t="shared" si="2"/>
        <v>0.04</v>
      </c>
    </row>
    <row r="44" spans="1:7" ht="15.75">
      <c r="A44" s="22">
        <v>2312</v>
      </c>
      <c r="B44" s="26" t="s">
        <v>20</v>
      </c>
      <c r="C44" s="80">
        <v>11</v>
      </c>
      <c r="D44" s="80">
        <f t="shared" si="0"/>
        <v>0.08627450980392157</v>
      </c>
      <c r="E44" s="68">
        <f t="shared" si="1"/>
        <v>0.12</v>
      </c>
      <c r="F44" s="68">
        <f t="shared" si="3"/>
        <v>0.12</v>
      </c>
      <c r="G44" s="80">
        <f t="shared" si="2"/>
        <v>0.06</v>
      </c>
    </row>
    <row r="45" spans="1:7" ht="15.75">
      <c r="A45" s="22">
        <v>2321</v>
      </c>
      <c r="B45" s="26" t="s">
        <v>21</v>
      </c>
      <c r="C45" s="80">
        <v>31</v>
      </c>
      <c r="D45" s="80">
        <f t="shared" si="0"/>
        <v>0.2431372549019608</v>
      </c>
      <c r="E45" s="68">
        <f t="shared" si="1"/>
        <v>0.35</v>
      </c>
      <c r="F45" s="68">
        <f t="shared" si="3"/>
        <v>0.35</v>
      </c>
      <c r="G45" s="80">
        <f t="shared" si="2"/>
        <v>0.175</v>
      </c>
    </row>
    <row r="46" spans="1:7" ht="15.75">
      <c r="A46" s="22">
        <v>2322</v>
      </c>
      <c r="B46" s="26" t="s">
        <v>22</v>
      </c>
      <c r="C46" s="89">
        <v>12</v>
      </c>
      <c r="D46" s="80">
        <f t="shared" si="0"/>
        <v>0.09411764705882353</v>
      </c>
      <c r="E46" s="68">
        <f t="shared" si="1"/>
        <v>0.13</v>
      </c>
      <c r="F46" s="68">
        <f t="shared" si="3"/>
        <v>0.13</v>
      </c>
      <c r="G46" s="80">
        <f t="shared" si="2"/>
        <v>0.065</v>
      </c>
    </row>
    <row r="47" spans="1:7" ht="15.75">
      <c r="A47" s="22">
        <v>2341</v>
      </c>
      <c r="B47" s="26" t="s">
        <v>23</v>
      </c>
      <c r="C47" s="80">
        <v>8</v>
      </c>
      <c r="D47" s="80">
        <f t="shared" si="0"/>
        <v>0.06274509803921569</v>
      </c>
      <c r="E47" s="68">
        <f t="shared" si="1"/>
        <v>0.09</v>
      </c>
      <c r="F47" s="68">
        <f t="shared" si="3"/>
        <v>0.09</v>
      </c>
      <c r="G47" s="80">
        <f t="shared" si="2"/>
        <v>0.045</v>
      </c>
    </row>
    <row r="48" spans="1:7" ht="15.75" hidden="1">
      <c r="A48" s="22">
        <v>2344</v>
      </c>
      <c r="B48" s="26" t="s">
        <v>24</v>
      </c>
      <c r="C48" s="80"/>
      <c r="D48" s="80">
        <f t="shared" si="0"/>
        <v>0</v>
      </c>
      <c r="E48" s="68">
        <f t="shared" si="1"/>
        <v>0</v>
      </c>
      <c r="F48" s="68">
        <f t="shared" si="3"/>
        <v>0</v>
      </c>
      <c r="G48" s="80">
        <f t="shared" si="2"/>
        <v>0</v>
      </c>
    </row>
    <row r="49" spans="1:7" ht="15.75">
      <c r="A49" s="23">
        <v>2350</v>
      </c>
      <c r="B49" s="26" t="s">
        <v>25</v>
      </c>
      <c r="C49" s="80">
        <v>52</v>
      </c>
      <c r="D49" s="25">
        <f t="shared" si="0"/>
        <v>0.40784313725490196</v>
      </c>
      <c r="E49" s="68">
        <f t="shared" si="1"/>
        <v>0.58</v>
      </c>
      <c r="F49" s="68">
        <f t="shared" si="3"/>
        <v>0.58</v>
      </c>
      <c r="G49" s="80">
        <f t="shared" si="2"/>
        <v>0.29</v>
      </c>
    </row>
    <row r="50" spans="1:7" ht="15.75">
      <c r="A50" s="22">
        <v>2361</v>
      </c>
      <c r="B50" s="26" t="s">
        <v>26</v>
      </c>
      <c r="C50" s="80">
        <v>32</v>
      </c>
      <c r="D50" s="25">
        <f t="shared" si="0"/>
        <v>0.25098039215686274</v>
      </c>
      <c r="E50" s="68">
        <f t="shared" si="1"/>
        <v>0.36</v>
      </c>
      <c r="F50" s="68">
        <f t="shared" si="3"/>
        <v>0.36</v>
      </c>
      <c r="G50" s="80">
        <f t="shared" si="2"/>
        <v>0.18</v>
      </c>
    </row>
    <row r="51" spans="1:7" ht="15.75" hidden="1">
      <c r="A51" s="22">
        <v>2362</v>
      </c>
      <c r="B51" s="26" t="s">
        <v>27</v>
      </c>
      <c r="C51" s="80"/>
      <c r="D51" s="25">
        <f t="shared" si="0"/>
        <v>0</v>
      </c>
      <c r="E51" s="68">
        <f t="shared" si="1"/>
        <v>0</v>
      </c>
      <c r="F51" s="68">
        <f t="shared" si="3"/>
        <v>0</v>
      </c>
      <c r="G51" s="80">
        <f t="shared" si="2"/>
        <v>0</v>
      </c>
    </row>
    <row r="52" spans="1:7" ht="15.75" hidden="1">
      <c r="A52" s="22">
        <v>2363</v>
      </c>
      <c r="B52" s="26" t="s">
        <v>28</v>
      </c>
      <c r="C52" s="80"/>
      <c r="D52" s="25">
        <f t="shared" si="0"/>
        <v>0</v>
      </c>
      <c r="E52" s="68">
        <f t="shared" si="1"/>
        <v>0</v>
      </c>
      <c r="F52" s="68">
        <f t="shared" si="3"/>
        <v>0</v>
      </c>
      <c r="G52" s="80">
        <f t="shared" si="2"/>
        <v>0</v>
      </c>
    </row>
    <row r="53" spans="1:7" ht="15.75" hidden="1">
      <c r="A53" s="22">
        <v>2370</v>
      </c>
      <c r="B53" s="26" t="s">
        <v>29</v>
      </c>
      <c r="C53" s="80"/>
      <c r="D53" s="25">
        <f t="shared" si="0"/>
        <v>0</v>
      </c>
      <c r="E53" s="68">
        <f t="shared" si="1"/>
        <v>0</v>
      </c>
      <c r="F53" s="68">
        <f t="shared" si="3"/>
        <v>0</v>
      </c>
      <c r="G53" s="80">
        <f t="shared" si="2"/>
        <v>0</v>
      </c>
    </row>
    <row r="54" spans="1:7" ht="15.75">
      <c r="A54" s="23">
        <v>2400</v>
      </c>
      <c r="B54" s="26" t="s">
        <v>43</v>
      </c>
      <c r="C54" s="80">
        <v>2</v>
      </c>
      <c r="D54" s="25">
        <f t="shared" si="0"/>
        <v>0.01568627450980392</v>
      </c>
      <c r="E54" s="68">
        <f t="shared" si="1"/>
        <v>0.02</v>
      </c>
      <c r="F54" s="68">
        <f t="shared" si="3"/>
        <v>0.02</v>
      </c>
      <c r="G54" s="80">
        <f t="shared" si="2"/>
        <v>0.01</v>
      </c>
    </row>
    <row r="55" spans="1:7" ht="15.75" hidden="1">
      <c r="A55" s="23">
        <v>2512</v>
      </c>
      <c r="B55" s="26" t="s">
        <v>30</v>
      </c>
      <c r="C55" s="80">
        <v>0</v>
      </c>
      <c r="D55" s="25">
        <f t="shared" si="0"/>
        <v>0</v>
      </c>
      <c r="E55" s="68">
        <f t="shared" si="1"/>
        <v>0</v>
      </c>
      <c r="F55" s="68">
        <f t="shared" si="3"/>
        <v>0</v>
      </c>
      <c r="G55" s="80">
        <f t="shared" si="2"/>
        <v>0</v>
      </c>
    </row>
    <row r="56" spans="1:7" ht="15.75" customHeight="1">
      <c r="A56" s="23">
        <v>2513</v>
      </c>
      <c r="B56" s="26" t="s">
        <v>31</v>
      </c>
      <c r="C56" s="80">
        <v>43</v>
      </c>
      <c r="D56" s="25">
        <f t="shared" si="0"/>
        <v>0.3372549019607843</v>
      </c>
      <c r="E56" s="68">
        <f t="shared" si="1"/>
        <v>0.48</v>
      </c>
      <c r="F56" s="68">
        <f t="shared" si="3"/>
        <v>0.48</v>
      </c>
      <c r="G56" s="80">
        <f t="shared" si="2"/>
        <v>0.24</v>
      </c>
    </row>
    <row r="57" spans="1:7" ht="15.75" customHeight="1">
      <c r="A57" s="23">
        <v>2515</v>
      </c>
      <c r="B57" s="26" t="s">
        <v>78</v>
      </c>
      <c r="C57" s="80">
        <v>2</v>
      </c>
      <c r="D57" s="25">
        <f t="shared" si="0"/>
        <v>0.01568627450980392</v>
      </c>
      <c r="E57" s="68">
        <f t="shared" si="1"/>
        <v>0.02</v>
      </c>
      <c r="F57" s="68">
        <f t="shared" si="3"/>
        <v>0.02</v>
      </c>
      <c r="G57" s="80">
        <f t="shared" si="2"/>
        <v>0.01</v>
      </c>
    </row>
    <row r="58" spans="1:7" ht="15.75" customHeight="1">
      <c r="A58" s="23">
        <v>2519</v>
      </c>
      <c r="B58" s="26" t="s">
        <v>34</v>
      </c>
      <c r="C58" s="80">
        <v>10</v>
      </c>
      <c r="D58" s="25">
        <f t="shared" si="0"/>
        <v>0.0784313725490196</v>
      </c>
      <c r="E58" s="68">
        <f t="shared" si="1"/>
        <v>0.11</v>
      </c>
      <c r="F58" s="68">
        <f t="shared" si="3"/>
        <v>0.11</v>
      </c>
      <c r="G58" s="80">
        <f t="shared" si="2"/>
        <v>0.05499999999999999</v>
      </c>
    </row>
    <row r="59" spans="1:7" ht="15.75" hidden="1">
      <c r="A59" s="23">
        <v>6240</v>
      </c>
      <c r="B59" s="26"/>
      <c r="C59" s="80"/>
      <c r="D59" s="25">
        <f t="shared" si="0"/>
        <v>0</v>
      </c>
      <c r="E59" s="68">
        <f t="shared" si="1"/>
        <v>0</v>
      </c>
      <c r="F59" s="68">
        <f t="shared" si="3"/>
        <v>0</v>
      </c>
      <c r="G59" s="80">
        <f t="shared" si="2"/>
        <v>0</v>
      </c>
    </row>
    <row r="60" spans="1:7" ht="15.75" hidden="1">
      <c r="A60" s="23">
        <v>6290</v>
      </c>
      <c r="B60" s="26"/>
      <c r="C60" s="80"/>
      <c r="D60" s="25">
        <f t="shared" si="0"/>
        <v>0</v>
      </c>
      <c r="E60" s="68">
        <f t="shared" si="1"/>
        <v>0</v>
      </c>
      <c r="F60" s="68">
        <f t="shared" si="3"/>
        <v>0</v>
      </c>
      <c r="G60" s="80">
        <f t="shared" si="2"/>
        <v>0</v>
      </c>
    </row>
    <row r="61" spans="1:7" ht="15.75">
      <c r="A61" s="23">
        <v>5121</v>
      </c>
      <c r="B61" s="26" t="s">
        <v>32</v>
      </c>
      <c r="C61" s="80">
        <v>8</v>
      </c>
      <c r="D61" s="25">
        <f t="shared" si="0"/>
        <v>0.06274509803921569</v>
      </c>
      <c r="E61" s="68">
        <f t="shared" si="1"/>
        <v>0.09</v>
      </c>
      <c r="F61" s="68">
        <f t="shared" si="3"/>
        <v>0.09</v>
      </c>
      <c r="G61" s="80">
        <f t="shared" si="2"/>
        <v>0.045</v>
      </c>
    </row>
    <row r="62" spans="1:7" ht="15.75">
      <c r="A62" s="23">
        <v>5232</v>
      </c>
      <c r="B62" s="26" t="s">
        <v>33</v>
      </c>
      <c r="C62" s="80">
        <v>1</v>
      </c>
      <c r="D62" s="25">
        <f t="shared" si="0"/>
        <v>0.00784313725490196</v>
      </c>
      <c r="E62" s="68">
        <v>0.11</v>
      </c>
      <c r="F62" s="68">
        <v>0.19</v>
      </c>
      <c r="G62" s="80">
        <f t="shared" si="2"/>
        <v>0.095</v>
      </c>
    </row>
    <row r="63" spans="1:7" ht="15.75" hidden="1">
      <c r="A63" s="23">
        <v>5238</v>
      </c>
      <c r="B63" s="26" t="s">
        <v>35</v>
      </c>
      <c r="C63" s="80">
        <v>0</v>
      </c>
      <c r="D63" s="25">
        <f t="shared" si="0"/>
        <v>0</v>
      </c>
      <c r="E63" s="68">
        <f t="shared" si="1"/>
        <v>0</v>
      </c>
      <c r="F63" s="68">
        <f t="shared" si="3"/>
        <v>0</v>
      </c>
      <c r="G63" s="80">
        <f t="shared" si="2"/>
        <v>0</v>
      </c>
    </row>
    <row r="64" spans="1:7" ht="15.75" hidden="1">
      <c r="A64" s="23">
        <v>5240</v>
      </c>
      <c r="B64" s="26" t="s">
        <v>36</v>
      </c>
      <c r="C64" s="80">
        <v>0</v>
      </c>
      <c r="D64" s="25">
        <f t="shared" si="0"/>
        <v>0</v>
      </c>
      <c r="E64" s="68">
        <f t="shared" si="1"/>
        <v>0</v>
      </c>
      <c r="F64" s="68">
        <f t="shared" si="3"/>
        <v>0</v>
      </c>
      <c r="G64" s="80">
        <f t="shared" si="2"/>
        <v>0</v>
      </c>
    </row>
    <row r="65" spans="1:7" ht="15.75" hidden="1">
      <c r="A65" s="23">
        <v>5250</v>
      </c>
      <c r="B65" s="26" t="s">
        <v>37</v>
      </c>
      <c r="C65" s="80"/>
      <c r="D65" s="25">
        <f t="shared" si="0"/>
        <v>0</v>
      </c>
      <c r="E65" s="68">
        <f t="shared" si="1"/>
        <v>0</v>
      </c>
      <c r="F65" s="68">
        <f t="shared" si="3"/>
        <v>0</v>
      </c>
      <c r="G65" s="80">
        <f t="shared" si="2"/>
        <v>0</v>
      </c>
    </row>
    <row r="66" spans="1:7" ht="15.75">
      <c r="A66" s="33"/>
      <c r="B66" s="34" t="s">
        <v>79</v>
      </c>
      <c r="C66" s="82">
        <f>SUM(C22:C65)</f>
        <v>1926.71</v>
      </c>
      <c r="D66" s="28">
        <f>SUM(D22:D65)</f>
        <v>15.111450980392155</v>
      </c>
      <c r="E66" s="28">
        <f>SUM(E22:E65)</f>
        <v>21.589999999999993</v>
      </c>
      <c r="F66" s="28">
        <f>SUM(F22:F65)</f>
        <v>21.669999999999995</v>
      </c>
      <c r="G66" s="28">
        <f>SUM(G22:G65)</f>
        <v>11.634999999999998</v>
      </c>
    </row>
    <row r="67" spans="1:7" ht="15.75">
      <c r="A67" s="33"/>
      <c r="B67" s="34" t="s">
        <v>80</v>
      </c>
      <c r="C67" s="82">
        <f>C66+C20</f>
        <v>8236.5</v>
      </c>
      <c r="D67" s="28">
        <f>D66+D20</f>
        <v>64.60000000000001</v>
      </c>
      <c r="E67" s="28">
        <f>E66+E20</f>
        <v>91.99999999999999</v>
      </c>
      <c r="F67" s="28">
        <f>F66+F20</f>
        <v>110.4</v>
      </c>
      <c r="G67" s="28">
        <f>G66+G20</f>
        <v>68.19999999999999</v>
      </c>
    </row>
    <row r="68" spans="1:7" ht="15.75">
      <c r="A68" s="9"/>
      <c r="B68" s="14"/>
      <c r="C68" s="35"/>
      <c r="D68" s="35"/>
      <c r="E68" s="35"/>
      <c r="F68" s="35"/>
      <c r="G68" s="35"/>
    </row>
    <row r="69" spans="1:7" ht="15.75" customHeight="1">
      <c r="A69" s="212" t="s">
        <v>45</v>
      </c>
      <c r="B69" s="213"/>
      <c r="C69" s="36">
        <v>2550</v>
      </c>
      <c r="D69" s="17">
        <v>20</v>
      </c>
      <c r="E69" s="17">
        <v>20</v>
      </c>
      <c r="F69" s="17">
        <v>20</v>
      </c>
      <c r="G69" s="160">
        <v>10</v>
      </c>
    </row>
    <row r="70" spans="1:7" ht="15.75" customHeight="1">
      <c r="A70" s="212" t="s">
        <v>54</v>
      </c>
      <c r="B70" s="213"/>
      <c r="C70" s="90">
        <f>C67/C69</f>
        <v>3.23</v>
      </c>
      <c r="D70" s="82">
        <f>D67/D69</f>
        <v>3.2300000000000004</v>
      </c>
      <c r="E70" s="82">
        <f>E67/E69</f>
        <v>4.6</v>
      </c>
      <c r="F70" s="82">
        <f>F67/F69</f>
        <v>5.5200000000000005</v>
      </c>
      <c r="G70" s="161">
        <f>G67/G69</f>
        <v>6.8199999999999985</v>
      </c>
    </row>
    <row r="71" spans="1:7" ht="15.75">
      <c r="A71" s="86"/>
      <c r="B71" s="87"/>
      <c r="C71" s="11"/>
      <c r="D71" s="7"/>
      <c r="E71" s="7"/>
      <c r="F71" s="7"/>
      <c r="G71" s="7"/>
    </row>
    <row r="72" spans="1:7" ht="15.75" customHeight="1">
      <c r="A72" s="214" t="s">
        <v>46</v>
      </c>
      <c r="B72" s="215"/>
      <c r="C72" s="37"/>
      <c r="D72" s="37"/>
      <c r="E72" s="37"/>
      <c r="F72" s="37"/>
      <c r="G72" s="37"/>
    </row>
    <row r="73" spans="1:7" ht="15.75" customHeight="1">
      <c r="A73" s="214" t="s">
        <v>56</v>
      </c>
      <c r="B73" s="215"/>
      <c r="C73" s="37"/>
      <c r="D73" s="37"/>
      <c r="E73" s="37"/>
      <c r="F73" s="37"/>
      <c r="G73" s="37"/>
    </row>
    <row r="74" spans="1:7" ht="15.75">
      <c r="A74" s="38"/>
      <c r="B74" s="38"/>
      <c r="C74" s="38"/>
      <c r="D74" s="38"/>
      <c r="E74" s="38"/>
      <c r="F74" s="38"/>
      <c r="G74" s="38"/>
    </row>
    <row r="75" spans="1:7" ht="15.75">
      <c r="A75" s="38" t="s">
        <v>47</v>
      </c>
      <c r="B75" s="38"/>
      <c r="C75" s="38"/>
      <c r="D75" s="38"/>
      <c r="E75" s="38"/>
      <c r="F75" s="38"/>
      <c r="G75" s="38"/>
    </row>
    <row r="76" spans="1:7" ht="15.75">
      <c r="A76" s="38"/>
      <c r="B76" s="38"/>
      <c r="C76" s="38"/>
      <c r="D76" s="38"/>
      <c r="E76" s="38"/>
      <c r="F76" s="38"/>
      <c r="G76" s="38"/>
    </row>
    <row r="77" spans="1:7" ht="15.75">
      <c r="A77" s="38"/>
      <c r="B77" s="39"/>
      <c r="C77" s="38"/>
      <c r="D77" s="38"/>
      <c r="E77" s="38"/>
      <c r="F77" s="38"/>
      <c r="G77" s="38"/>
    </row>
    <row r="78" spans="1:7" ht="15.75">
      <c r="A78" s="38"/>
      <c r="B78" s="96"/>
      <c r="C78" s="38"/>
      <c r="D78" s="38"/>
      <c r="E78" s="38"/>
      <c r="F78" s="38"/>
      <c r="G78" s="38"/>
    </row>
  </sheetData>
  <sheetProtection/>
  <mergeCells count="11">
    <mergeCell ref="B9:C9"/>
    <mergeCell ref="B10:C10"/>
    <mergeCell ref="A69:B69"/>
    <mergeCell ref="A70:B70"/>
    <mergeCell ref="A72:B72"/>
    <mergeCell ref="A73:B73"/>
    <mergeCell ref="A4:G4"/>
    <mergeCell ref="B5:C5"/>
    <mergeCell ref="A6:C6"/>
    <mergeCell ref="A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Layout" workbookViewId="0" topLeftCell="A89">
      <selection activeCell="A82" sqref="A82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8.57421875" style="4" hidden="1" customWidth="1"/>
    <col min="4" max="4" width="16.421875" style="4" hidden="1" customWidth="1"/>
    <col min="5" max="7" width="21.57421875" style="4" hidden="1" customWidth="1"/>
    <col min="8" max="8" width="33.00390625" style="4" customWidth="1"/>
    <col min="9" max="9" width="33.00390625" style="92" customWidth="1"/>
  </cols>
  <sheetData>
    <row r="1" spans="2:8" ht="15.75">
      <c r="B1" s="12"/>
      <c r="C1" s="15"/>
      <c r="D1" s="85"/>
      <c r="E1" s="76"/>
      <c r="F1" s="76"/>
      <c r="G1" s="76"/>
      <c r="H1" s="9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15"/>
      <c r="G5" s="15"/>
      <c r="H5" s="15"/>
    </row>
    <row r="6" spans="1:8" ht="15.75">
      <c r="A6" s="195" t="s">
        <v>0</v>
      </c>
      <c r="B6" s="195"/>
      <c r="C6" s="195"/>
      <c r="D6" s="195"/>
      <c r="E6" s="195"/>
      <c r="F6" s="15"/>
      <c r="G6" s="15"/>
      <c r="H6" s="14"/>
    </row>
    <row r="7" spans="1:8" ht="15.75">
      <c r="A7" s="8"/>
      <c r="B7" s="195" t="s">
        <v>44</v>
      </c>
      <c r="C7" s="195"/>
      <c r="D7" s="195"/>
      <c r="E7" s="195"/>
      <c r="F7" s="15"/>
      <c r="G7" s="15"/>
      <c r="H7" s="14"/>
    </row>
    <row r="8" spans="1:8" ht="15.75">
      <c r="A8" s="8"/>
      <c r="B8" s="195" t="s">
        <v>87</v>
      </c>
      <c r="C8" s="195"/>
      <c r="D8" s="195"/>
      <c r="E8" s="195"/>
      <c r="F8" s="15"/>
      <c r="G8" s="15"/>
      <c r="H8" s="15"/>
    </row>
    <row r="9" spans="1:8" ht="15.75">
      <c r="A9" s="8"/>
      <c r="B9" s="195" t="s">
        <v>107</v>
      </c>
      <c r="C9" s="195"/>
      <c r="D9" s="195"/>
      <c r="E9" s="195"/>
      <c r="F9" s="15"/>
      <c r="G9" s="15"/>
      <c r="H9" s="15"/>
    </row>
    <row r="10" spans="1:8" ht="15.75">
      <c r="A10" s="8"/>
      <c r="B10" s="195" t="s">
        <v>201</v>
      </c>
      <c r="C10" s="195"/>
      <c r="D10" s="195"/>
      <c r="E10" s="195"/>
      <c r="F10" s="15"/>
      <c r="G10" s="15"/>
      <c r="H10" s="15"/>
    </row>
    <row r="11" spans="1:8" ht="15.75">
      <c r="A11" s="8" t="s">
        <v>2</v>
      </c>
      <c r="B11" s="8" t="s">
        <v>205</v>
      </c>
      <c r="C11" s="8"/>
      <c r="D11" s="8"/>
      <c r="E11" s="8"/>
      <c r="F11" s="15"/>
      <c r="G11" s="15"/>
      <c r="H11" s="15"/>
    </row>
    <row r="12" spans="1:8" ht="15.75" hidden="1">
      <c r="A12" s="15"/>
      <c r="B12" s="16"/>
      <c r="C12" s="77"/>
      <c r="D12" s="16"/>
      <c r="E12" s="77"/>
      <c r="F12" s="15"/>
      <c r="G12" s="15"/>
      <c r="H12" s="15"/>
    </row>
    <row r="13" spans="1:8" ht="47.25">
      <c r="A13" s="59" t="s">
        <v>3</v>
      </c>
      <c r="B13" s="59" t="s">
        <v>4</v>
      </c>
      <c r="C13" s="59"/>
      <c r="D13" s="59"/>
      <c r="E13" s="59"/>
      <c r="F13" s="59"/>
      <c r="G13" s="59"/>
      <c r="H13" s="59" t="s">
        <v>5</v>
      </c>
    </row>
    <row r="14" spans="1:8" ht="15.75">
      <c r="A14" s="18">
        <v>1</v>
      </c>
      <c r="B14" s="19">
        <v>2</v>
      </c>
      <c r="C14" s="19"/>
      <c r="D14" s="19"/>
      <c r="E14" s="18">
        <v>3</v>
      </c>
      <c r="F14" s="19">
        <v>4</v>
      </c>
      <c r="G14" s="19"/>
      <c r="H14" s="19">
        <v>3</v>
      </c>
    </row>
    <row r="15" spans="1:8" ht="15.75">
      <c r="A15" s="20"/>
      <c r="B15" s="45" t="s">
        <v>71</v>
      </c>
      <c r="C15" s="45"/>
      <c r="D15" s="45"/>
      <c r="E15" s="97"/>
      <c r="F15" s="23"/>
      <c r="G15" s="23"/>
      <c r="H15" s="23"/>
    </row>
    <row r="16" spans="1:8" ht="15.75">
      <c r="A16" s="23">
        <v>1100</v>
      </c>
      <c r="B16" s="23" t="s">
        <v>72</v>
      </c>
      <c r="C16" s="25">
        <v>114.41</v>
      </c>
      <c r="D16" s="25">
        <f>ROUND(C16/0.702804,2)</f>
        <v>162.79</v>
      </c>
      <c r="E16" s="25">
        <f>ROUND(D16/20*10,2)</f>
        <v>81.4</v>
      </c>
      <c r="F16" s="25">
        <v>83.04</v>
      </c>
      <c r="G16" s="25">
        <v>105.46</v>
      </c>
      <c r="H16" s="25">
        <f>G16/10*10+10*0.43</f>
        <v>109.75999999999999</v>
      </c>
    </row>
    <row r="17" spans="1:8" ht="15.75">
      <c r="A17" s="23">
        <v>1200</v>
      </c>
      <c r="B17" s="32" t="s">
        <v>73</v>
      </c>
      <c r="C17" s="47">
        <v>26.99</v>
      </c>
      <c r="D17" s="25">
        <f>ROUND(C17/0.702804,2)</f>
        <v>38.4</v>
      </c>
      <c r="E17" s="25">
        <f>ROUND(D17/20*10,2)</f>
        <v>19.2</v>
      </c>
      <c r="F17" s="25">
        <v>19.59</v>
      </c>
      <c r="G17" s="25">
        <v>25.41</v>
      </c>
      <c r="H17" s="25">
        <f>G17/10*10+10*0.1</f>
        <v>26.41</v>
      </c>
    </row>
    <row r="18" spans="1:8" ht="15.75">
      <c r="A18" s="31">
        <v>2341</v>
      </c>
      <c r="B18" s="32" t="s">
        <v>23</v>
      </c>
      <c r="C18" s="25">
        <v>1.94</v>
      </c>
      <c r="D18" s="25">
        <f>ROUND(C18/0.702804,2)</f>
        <v>2.76</v>
      </c>
      <c r="E18" s="25">
        <f>ROUND(D18/20*10,2)</f>
        <v>1.38</v>
      </c>
      <c r="F18" s="25">
        <f aca="true" t="shared" si="0" ref="F18:G20">E18</f>
        <v>1.38</v>
      </c>
      <c r="G18" s="25">
        <f t="shared" si="0"/>
        <v>1.38</v>
      </c>
      <c r="H18" s="25">
        <f>G18/10*10</f>
        <v>1.38</v>
      </c>
    </row>
    <row r="19" spans="1:8" ht="15.75">
      <c r="A19" s="23">
        <v>2249</v>
      </c>
      <c r="B19" s="32" t="s">
        <v>13</v>
      </c>
      <c r="C19" s="25">
        <v>3.9</v>
      </c>
      <c r="D19" s="25">
        <f>ROUND(C19/0.702804,2)</f>
        <v>5.55</v>
      </c>
      <c r="E19" s="25">
        <f>ROUND(D19/20*10,2)</f>
        <v>2.78</v>
      </c>
      <c r="F19" s="25">
        <f t="shared" si="0"/>
        <v>2.78</v>
      </c>
      <c r="G19" s="25">
        <f t="shared" si="0"/>
        <v>2.78</v>
      </c>
      <c r="H19" s="25">
        <f>G19/10*10</f>
        <v>2.78</v>
      </c>
    </row>
    <row r="20" spans="1:8" ht="15.75" hidden="1">
      <c r="A20" s="23">
        <v>2341</v>
      </c>
      <c r="B20" s="32" t="s">
        <v>23</v>
      </c>
      <c r="C20" s="25"/>
      <c r="D20" s="32"/>
      <c r="E20" s="25">
        <f>ROUND(D20/20*10,2)</f>
        <v>0</v>
      </c>
      <c r="F20" s="25">
        <f t="shared" si="0"/>
        <v>0</v>
      </c>
      <c r="G20" s="25">
        <f t="shared" si="0"/>
        <v>0</v>
      </c>
      <c r="H20" s="25">
        <f>G20/10*10</f>
        <v>0</v>
      </c>
    </row>
    <row r="21" spans="1:8" ht="15.75" hidden="1">
      <c r="A21" s="23">
        <v>2350</v>
      </c>
      <c r="B21" s="32" t="s">
        <v>25</v>
      </c>
      <c r="C21" s="25"/>
      <c r="D21" s="32"/>
      <c r="E21" s="25"/>
      <c r="F21" s="25">
        <f>E21/20*10</f>
        <v>0</v>
      </c>
      <c r="G21" s="25">
        <f>F21</f>
        <v>0</v>
      </c>
      <c r="H21" s="68"/>
    </row>
    <row r="22" spans="1:8" ht="15.75" hidden="1">
      <c r="A22" s="23"/>
      <c r="B22" s="32"/>
      <c r="C22" s="25"/>
      <c r="D22" s="32"/>
      <c r="E22" s="25"/>
      <c r="F22" s="28"/>
      <c r="G22" s="28"/>
      <c r="H22" s="28"/>
    </row>
    <row r="23" spans="1:8" ht="15.75" hidden="1">
      <c r="A23" s="23"/>
      <c r="B23" s="32"/>
      <c r="C23" s="25"/>
      <c r="D23" s="32"/>
      <c r="E23" s="25"/>
      <c r="F23" s="28"/>
      <c r="G23" s="28"/>
      <c r="H23" s="28"/>
    </row>
    <row r="24" spans="1:8" ht="15.75" hidden="1">
      <c r="A24" s="23"/>
      <c r="B24" s="23"/>
      <c r="C24" s="25"/>
      <c r="D24" s="23"/>
      <c r="E24" s="25"/>
      <c r="F24" s="25">
        <f>E24/20*20</f>
        <v>0</v>
      </c>
      <c r="G24" s="25"/>
      <c r="H24" s="25">
        <f>E24/20*20</f>
        <v>0</v>
      </c>
    </row>
    <row r="25" spans="1:8" ht="15.75">
      <c r="A25" s="23"/>
      <c r="B25" s="46" t="s">
        <v>74</v>
      </c>
      <c r="C25" s="28">
        <f aca="true" t="shared" si="1" ref="C25:H25">SUM(C16:C24)</f>
        <v>147.24</v>
      </c>
      <c r="D25" s="28">
        <f t="shared" si="1"/>
        <v>209.5</v>
      </c>
      <c r="E25" s="28">
        <f t="shared" si="1"/>
        <v>104.76</v>
      </c>
      <c r="F25" s="28">
        <f t="shared" si="1"/>
        <v>106.79</v>
      </c>
      <c r="G25" s="28">
        <f t="shared" si="1"/>
        <v>135.03</v>
      </c>
      <c r="H25" s="28">
        <f t="shared" si="1"/>
        <v>140.32999999999998</v>
      </c>
    </row>
    <row r="26" spans="1:8" ht="15.75">
      <c r="A26" s="29"/>
      <c r="B26" s="23" t="s">
        <v>75</v>
      </c>
      <c r="C26" s="25"/>
      <c r="D26" s="23"/>
      <c r="E26" s="25"/>
      <c r="F26" s="25"/>
      <c r="G26" s="25"/>
      <c r="H26" s="25"/>
    </row>
    <row r="27" spans="1:8" ht="15.75">
      <c r="A27" s="23">
        <v>1100</v>
      </c>
      <c r="B27" s="23" t="s">
        <v>72</v>
      </c>
      <c r="C27" s="25">
        <v>63.11</v>
      </c>
      <c r="D27" s="25">
        <f aca="true" t="shared" si="2" ref="D27:D62">ROUND(C27/0.702804,2)</f>
        <v>89.8</v>
      </c>
      <c r="E27" s="25">
        <f aca="true" t="shared" si="3" ref="E27:E62">ROUND(D27/20*10,2)</f>
        <v>44.9</v>
      </c>
      <c r="F27" s="25">
        <v>46.25</v>
      </c>
      <c r="G27" s="25">
        <v>46.06</v>
      </c>
      <c r="H27" s="25">
        <f aca="true" t="shared" si="4" ref="H27:H70">G27/10*10</f>
        <v>46.06</v>
      </c>
    </row>
    <row r="28" spans="1:8" ht="15.75">
      <c r="A28" s="23">
        <v>1200</v>
      </c>
      <c r="B28" s="32" t="s">
        <v>73</v>
      </c>
      <c r="C28" s="47">
        <v>14.89</v>
      </c>
      <c r="D28" s="25">
        <f t="shared" si="2"/>
        <v>21.19</v>
      </c>
      <c r="E28" s="25">
        <f t="shared" si="3"/>
        <v>10.6</v>
      </c>
      <c r="F28" s="25">
        <v>10.91</v>
      </c>
      <c r="G28" s="25">
        <v>11.1</v>
      </c>
      <c r="H28" s="25">
        <f t="shared" si="4"/>
        <v>11.099999999999998</v>
      </c>
    </row>
    <row r="29" spans="1:8" ht="15.75" hidden="1">
      <c r="A29" s="23">
        <v>2100</v>
      </c>
      <c r="B29" s="30" t="s">
        <v>42</v>
      </c>
      <c r="C29" s="25"/>
      <c r="D29" s="25">
        <f t="shared" si="2"/>
        <v>0</v>
      </c>
      <c r="E29" s="25">
        <f t="shared" si="3"/>
        <v>0</v>
      </c>
      <c r="F29" s="25">
        <f aca="true" t="shared" si="5" ref="F29:F62">E29</f>
        <v>0</v>
      </c>
      <c r="G29" s="25">
        <f aca="true" t="shared" si="6" ref="G29:G70">F29</f>
        <v>0</v>
      </c>
      <c r="H29" s="25">
        <f t="shared" si="4"/>
        <v>0</v>
      </c>
    </row>
    <row r="30" spans="1:8" ht="15.75">
      <c r="A30" s="31">
        <v>2210</v>
      </c>
      <c r="B30" s="32" t="s">
        <v>38</v>
      </c>
      <c r="C30" s="25">
        <v>1</v>
      </c>
      <c r="D30" s="25">
        <f t="shared" si="2"/>
        <v>1.42</v>
      </c>
      <c r="E30" s="25">
        <f t="shared" si="3"/>
        <v>0.71</v>
      </c>
      <c r="F30" s="25">
        <f t="shared" si="5"/>
        <v>0.71</v>
      </c>
      <c r="G30" s="25">
        <f t="shared" si="6"/>
        <v>0.71</v>
      </c>
      <c r="H30" s="25">
        <f t="shared" si="4"/>
        <v>0.71</v>
      </c>
    </row>
    <row r="31" spans="1:8" ht="15.75">
      <c r="A31" s="23">
        <v>2222</v>
      </c>
      <c r="B31" s="32" t="s">
        <v>39</v>
      </c>
      <c r="C31" s="25">
        <v>1</v>
      </c>
      <c r="D31" s="25">
        <f t="shared" si="2"/>
        <v>1.42</v>
      </c>
      <c r="E31" s="25">
        <f t="shared" si="3"/>
        <v>0.71</v>
      </c>
      <c r="F31" s="25">
        <f t="shared" si="5"/>
        <v>0.71</v>
      </c>
      <c r="G31" s="25">
        <f t="shared" si="6"/>
        <v>0.71</v>
      </c>
      <c r="H31" s="25">
        <f t="shared" si="4"/>
        <v>0.71</v>
      </c>
    </row>
    <row r="32" spans="1:8" ht="15.75">
      <c r="A32" s="23">
        <v>2223</v>
      </c>
      <c r="B32" s="32" t="s">
        <v>40</v>
      </c>
      <c r="C32" s="25">
        <v>1</v>
      </c>
      <c r="D32" s="25">
        <f t="shared" si="2"/>
        <v>1.42</v>
      </c>
      <c r="E32" s="25">
        <f t="shared" si="3"/>
        <v>0.71</v>
      </c>
      <c r="F32" s="25">
        <f t="shared" si="5"/>
        <v>0.71</v>
      </c>
      <c r="G32" s="25">
        <f t="shared" si="6"/>
        <v>0.71</v>
      </c>
      <c r="H32" s="25">
        <f t="shared" si="4"/>
        <v>0.71</v>
      </c>
    </row>
    <row r="33" spans="1:8" ht="15.75" hidden="1">
      <c r="A33" s="23">
        <v>2230</v>
      </c>
      <c r="B33" s="32" t="s">
        <v>41</v>
      </c>
      <c r="C33" s="25">
        <v>0</v>
      </c>
      <c r="D33" s="25">
        <f t="shared" si="2"/>
        <v>0</v>
      </c>
      <c r="E33" s="25">
        <f t="shared" si="3"/>
        <v>0</v>
      </c>
      <c r="F33" s="25">
        <f t="shared" si="5"/>
        <v>0</v>
      </c>
      <c r="G33" s="25">
        <f t="shared" si="6"/>
        <v>0</v>
      </c>
      <c r="H33" s="25">
        <f t="shared" si="4"/>
        <v>0</v>
      </c>
    </row>
    <row r="34" spans="1:8" ht="15.75" hidden="1">
      <c r="A34" s="23">
        <v>2241</v>
      </c>
      <c r="B34" s="32" t="s">
        <v>9</v>
      </c>
      <c r="C34" s="25"/>
      <c r="D34" s="25">
        <f t="shared" si="2"/>
        <v>0</v>
      </c>
      <c r="E34" s="25">
        <f t="shared" si="3"/>
        <v>0</v>
      </c>
      <c r="F34" s="25">
        <f t="shared" si="5"/>
        <v>0</v>
      </c>
      <c r="G34" s="25">
        <f t="shared" si="6"/>
        <v>0</v>
      </c>
      <c r="H34" s="25">
        <f t="shared" si="4"/>
        <v>0</v>
      </c>
    </row>
    <row r="35" spans="1:8" ht="15.75" hidden="1">
      <c r="A35" s="23">
        <v>2242</v>
      </c>
      <c r="B35" s="32" t="s">
        <v>10</v>
      </c>
      <c r="C35" s="25">
        <v>0</v>
      </c>
      <c r="D35" s="25">
        <f t="shared" si="2"/>
        <v>0</v>
      </c>
      <c r="E35" s="25">
        <f t="shared" si="3"/>
        <v>0</v>
      </c>
      <c r="F35" s="25">
        <f t="shared" si="5"/>
        <v>0</v>
      </c>
      <c r="G35" s="25">
        <f t="shared" si="6"/>
        <v>0</v>
      </c>
      <c r="H35" s="25">
        <f t="shared" si="4"/>
        <v>0</v>
      </c>
    </row>
    <row r="36" spans="1:8" ht="15.75">
      <c r="A36" s="23">
        <v>2243</v>
      </c>
      <c r="B36" s="32" t="s">
        <v>11</v>
      </c>
      <c r="C36" s="25">
        <v>1</v>
      </c>
      <c r="D36" s="25">
        <f t="shared" si="2"/>
        <v>1.42</v>
      </c>
      <c r="E36" s="25">
        <f t="shared" si="3"/>
        <v>0.71</v>
      </c>
      <c r="F36" s="25">
        <f t="shared" si="5"/>
        <v>0.71</v>
      </c>
      <c r="G36" s="25">
        <f t="shared" si="6"/>
        <v>0.71</v>
      </c>
      <c r="H36" s="25">
        <f t="shared" si="4"/>
        <v>0.71</v>
      </c>
    </row>
    <row r="37" spans="1:8" ht="15.75">
      <c r="A37" s="23">
        <v>2244</v>
      </c>
      <c r="B37" s="32" t="s">
        <v>12</v>
      </c>
      <c r="C37" s="25">
        <v>17.96</v>
      </c>
      <c r="D37" s="25">
        <f t="shared" si="2"/>
        <v>25.55</v>
      </c>
      <c r="E37" s="25">
        <f t="shared" si="3"/>
        <v>12.78</v>
      </c>
      <c r="F37" s="25">
        <f t="shared" si="5"/>
        <v>12.78</v>
      </c>
      <c r="G37" s="25">
        <f t="shared" si="6"/>
        <v>12.78</v>
      </c>
      <c r="H37" s="25">
        <f>G37/10*10+10*0.13</f>
        <v>14.080000000000002</v>
      </c>
    </row>
    <row r="38" spans="1:8" ht="15.75" hidden="1">
      <c r="A38" s="23">
        <v>2247</v>
      </c>
      <c r="B38" s="45" t="s">
        <v>76</v>
      </c>
      <c r="C38" s="25">
        <v>0</v>
      </c>
      <c r="D38" s="25">
        <f t="shared" si="2"/>
        <v>0</v>
      </c>
      <c r="E38" s="25">
        <f t="shared" si="3"/>
        <v>0</v>
      </c>
      <c r="F38" s="25">
        <f t="shared" si="5"/>
        <v>0</v>
      </c>
      <c r="G38" s="25">
        <f t="shared" si="6"/>
        <v>0</v>
      </c>
      <c r="H38" s="25">
        <f t="shared" si="4"/>
        <v>0</v>
      </c>
    </row>
    <row r="39" spans="1:8" ht="15.75">
      <c r="A39" s="23">
        <v>2249</v>
      </c>
      <c r="B39" s="32" t="s">
        <v>13</v>
      </c>
      <c r="C39" s="25">
        <v>2</v>
      </c>
      <c r="D39" s="25">
        <f t="shared" si="2"/>
        <v>2.85</v>
      </c>
      <c r="E39" s="25">
        <f t="shared" si="3"/>
        <v>1.43</v>
      </c>
      <c r="F39" s="25">
        <f t="shared" si="5"/>
        <v>1.43</v>
      </c>
      <c r="G39" s="25">
        <f t="shared" si="6"/>
        <v>1.43</v>
      </c>
      <c r="H39" s="25">
        <f t="shared" si="4"/>
        <v>1.43</v>
      </c>
    </row>
    <row r="40" spans="1:8" ht="15.75" hidden="1">
      <c r="A40" s="23">
        <v>2251</v>
      </c>
      <c r="B40" s="32" t="s">
        <v>77</v>
      </c>
      <c r="C40" s="25">
        <v>0</v>
      </c>
      <c r="D40" s="25">
        <f t="shared" si="2"/>
        <v>0</v>
      </c>
      <c r="E40" s="25">
        <f t="shared" si="3"/>
        <v>0</v>
      </c>
      <c r="F40" s="25">
        <f t="shared" si="5"/>
        <v>0</v>
      </c>
      <c r="G40" s="25">
        <f t="shared" si="6"/>
        <v>0</v>
      </c>
      <c r="H40" s="25">
        <f t="shared" si="4"/>
        <v>0</v>
      </c>
    </row>
    <row r="41" spans="1:8" ht="15.75" hidden="1">
      <c r="A41" s="23">
        <v>2252</v>
      </c>
      <c r="B41" s="32" t="s">
        <v>7</v>
      </c>
      <c r="C41" s="25"/>
      <c r="D41" s="25">
        <f t="shared" si="2"/>
        <v>0</v>
      </c>
      <c r="E41" s="25">
        <f t="shared" si="3"/>
        <v>0</v>
      </c>
      <c r="F41" s="25">
        <f t="shared" si="5"/>
        <v>0</v>
      </c>
      <c r="G41" s="25">
        <f t="shared" si="6"/>
        <v>0</v>
      </c>
      <c r="H41" s="25">
        <f t="shared" si="4"/>
        <v>0</v>
      </c>
    </row>
    <row r="42" spans="1:8" ht="15.75" hidden="1">
      <c r="A42" s="23">
        <v>2259</v>
      </c>
      <c r="B42" s="32" t="s">
        <v>8</v>
      </c>
      <c r="C42" s="25"/>
      <c r="D42" s="25">
        <f t="shared" si="2"/>
        <v>0</v>
      </c>
      <c r="E42" s="25">
        <f t="shared" si="3"/>
        <v>0</v>
      </c>
      <c r="F42" s="25">
        <f t="shared" si="5"/>
        <v>0</v>
      </c>
      <c r="G42" s="25">
        <f t="shared" si="6"/>
        <v>0</v>
      </c>
      <c r="H42" s="25">
        <f t="shared" si="4"/>
        <v>0</v>
      </c>
    </row>
    <row r="43" spans="1:8" ht="15.75" hidden="1">
      <c r="A43" s="23">
        <v>2261</v>
      </c>
      <c r="B43" s="32" t="s">
        <v>14</v>
      </c>
      <c r="C43" s="25">
        <v>0</v>
      </c>
      <c r="D43" s="25">
        <f t="shared" si="2"/>
        <v>0</v>
      </c>
      <c r="E43" s="25">
        <f t="shared" si="3"/>
        <v>0</v>
      </c>
      <c r="F43" s="25">
        <f t="shared" si="5"/>
        <v>0</v>
      </c>
      <c r="G43" s="25">
        <f t="shared" si="6"/>
        <v>0</v>
      </c>
      <c r="H43" s="25">
        <f t="shared" si="4"/>
        <v>0</v>
      </c>
    </row>
    <row r="44" spans="1:8" ht="15.75">
      <c r="A44" s="23">
        <v>2262</v>
      </c>
      <c r="B44" s="32" t="s">
        <v>15</v>
      </c>
      <c r="C44" s="25">
        <v>1</v>
      </c>
      <c r="D44" s="25">
        <f t="shared" si="2"/>
        <v>1.42</v>
      </c>
      <c r="E44" s="25">
        <f t="shared" si="3"/>
        <v>0.71</v>
      </c>
      <c r="F44" s="25">
        <f t="shared" si="5"/>
        <v>0.71</v>
      </c>
      <c r="G44" s="25">
        <f t="shared" si="6"/>
        <v>0.71</v>
      </c>
      <c r="H44" s="25">
        <f t="shared" si="4"/>
        <v>0.71</v>
      </c>
    </row>
    <row r="45" spans="1:8" ht="15.75">
      <c r="A45" s="23">
        <v>2263</v>
      </c>
      <c r="B45" s="32" t="s">
        <v>16</v>
      </c>
      <c r="C45" s="25">
        <v>4</v>
      </c>
      <c r="D45" s="25">
        <f t="shared" si="2"/>
        <v>5.69</v>
      </c>
      <c r="E45" s="25">
        <f t="shared" si="3"/>
        <v>2.85</v>
      </c>
      <c r="F45" s="25">
        <f t="shared" si="5"/>
        <v>2.85</v>
      </c>
      <c r="G45" s="25">
        <f t="shared" si="6"/>
        <v>2.85</v>
      </c>
      <c r="H45" s="25">
        <f t="shared" si="4"/>
        <v>2.8500000000000005</v>
      </c>
    </row>
    <row r="46" spans="1:8" ht="15.75" hidden="1">
      <c r="A46" s="23">
        <v>2264</v>
      </c>
      <c r="B46" s="32" t="s">
        <v>17</v>
      </c>
      <c r="C46" s="25">
        <v>0</v>
      </c>
      <c r="D46" s="25">
        <f t="shared" si="2"/>
        <v>0</v>
      </c>
      <c r="E46" s="25">
        <f t="shared" si="3"/>
        <v>0</v>
      </c>
      <c r="F46" s="25">
        <f t="shared" si="5"/>
        <v>0</v>
      </c>
      <c r="G46" s="25">
        <f t="shared" si="6"/>
        <v>0</v>
      </c>
      <c r="H46" s="25">
        <f t="shared" si="4"/>
        <v>0</v>
      </c>
    </row>
    <row r="47" spans="1:8" ht="15.75">
      <c r="A47" s="23">
        <v>2279</v>
      </c>
      <c r="B47" s="32" t="s">
        <v>18</v>
      </c>
      <c r="C47" s="25">
        <v>4</v>
      </c>
      <c r="D47" s="25">
        <f t="shared" si="2"/>
        <v>5.69</v>
      </c>
      <c r="E47" s="25">
        <f t="shared" si="3"/>
        <v>2.85</v>
      </c>
      <c r="F47" s="25">
        <f t="shared" si="5"/>
        <v>2.85</v>
      </c>
      <c r="G47" s="25">
        <f t="shared" si="6"/>
        <v>2.85</v>
      </c>
      <c r="H47" s="25">
        <f t="shared" si="4"/>
        <v>2.8500000000000005</v>
      </c>
    </row>
    <row r="48" spans="1:8" ht="15.75" hidden="1">
      <c r="A48" s="23">
        <v>2311</v>
      </c>
      <c r="B48" s="32" t="s">
        <v>19</v>
      </c>
      <c r="C48" s="25">
        <v>0</v>
      </c>
      <c r="D48" s="25">
        <f t="shared" si="2"/>
        <v>0</v>
      </c>
      <c r="E48" s="25">
        <f t="shared" si="3"/>
        <v>0</v>
      </c>
      <c r="F48" s="25">
        <f t="shared" si="5"/>
        <v>0</v>
      </c>
      <c r="G48" s="25">
        <f t="shared" si="6"/>
        <v>0</v>
      </c>
      <c r="H48" s="25">
        <f t="shared" si="4"/>
        <v>0</v>
      </c>
    </row>
    <row r="49" spans="1:8" ht="15.75">
      <c r="A49" s="23">
        <v>2312</v>
      </c>
      <c r="B49" s="32" t="s">
        <v>20</v>
      </c>
      <c r="C49" s="25">
        <v>1</v>
      </c>
      <c r="D49" s="25">
        <f t="shared" si="2"/>
        <v>1.42</v>
      </c>
      <c r="E49" s="25">
        <f t="shared" si="3"/>
        <v>0.71</v>
      </c>
      <c r="F49" s="25">
        <f t="shared" si="5"/>
        <v>0.71</v>
      </c>
      <c r="G49" s="25">
        <f t="shared" si="6"/>
        <v>0.71</v>
      </c>
      <c r="H49" s="25">
        <f t="shared" si="4"/>
        <v>0.71</v>
      </c>
    </row>
    <row r="50" spans="1:8" ht="15.75">
      <c r="A50" s="23">
        <v>2321</v>
      </c>
      <c r="B50" s="32" t="s">
        <v>21</v>
      </c>
      <c r="C50" s="25">
        <v>2</v>
      </c>
      <c r="D50" s="25">
        <f t="shared" si="2"/>
        <v>2.85</v>
      </c>
      <c r="E50" s="25">
        <f t="shared" si="3"/>
        <v>1.43</v>
      </c>
      <c r="F50" s="25">
        <f t="shared" si="5"/>
        <v>1.43</v>
      </c>
      <c r="G50" s="25">
        <f t="shared" si="6"/>
        <v>1.43</v>
      </c>
      <c r="H50" s="25">
        <f t="shared" si="4"/>
        <v>1.43</v>
      </c>
    </row>
    <row r="51" spans="1:8" ht="15.75">
      <c r="A51" s="23">
        <v>2322</v>
      </c>
      <c r="B51" s="32" t="s">
        <v>22</v>
      </c>
      <c r="C51" s="25">
        <v>1</v>
      </c>
      <c r="D51" s="25">
        <f t="shared" si="2"/>
        <v>1.42</v>
      </c>
      <c r="E51" s="25">
        <f t="shared" si="3"/>
        <v>0.71</v>
      </c>
      <c r="F51" s="25">
        <f t="shared" si="5"/>
        <v>0.71</v>
      </c>
      <c r="G51" s="25">
        <f t="shared" si="6"/>
        <v>0.71</v>
      </c>
      <c r="H51" s="25">
        <f t="shared" si="4"/>
        <v>0.71</v>
      </c>
    </row>
    <row r="52" spans="1:8" ht="15.75">
      <c r="A52" s="23">
        <v>2341</v>
      </c>
      <c r="B52" s="32" t="s">
        <v>23</v>
      </c>
      <c r="C52" s="25">
        <v>1</v>
      </c>
      <c r="D52" s="25">
        <f t="shared" si="2"/>
        <v>1.42</v>
      </c>
      <c r="E52" s="25">
        <f t="shared" si="3"/>
        <v>0.71</v>
      </c>
      <c r="F52" s="25">
        <f t="shared" si="5"/>
        <v>0.71</v>
      </c>
      <c r="G52" s="25">
        <f t="shared" si="6"/>
        <v>0.71</v>
      </c>
      <c r="H52" s="25">
        <f t="shared" si="4"/>
        <v>0.71</v>
      </c>
    </row>
    <row r="53" spans="1:8" ht="15.75" hidden="1">
      <c r="A53" s="23">
        <v>2344</v>
      </c>
      <c r="B53" s="32" t="s">
        <v>24</v>
      </c>
      <c r="C53" s="25"/>
      <c r="D53" s="25">
        <f t="shared" si="2"/>
        <v>0</v>
      </c>
      <c r="E53" s="25">
        <f t="shared" si="3"/>
        <v>0</v>
      </c>
      <c r="F53" s="25">
        <f t="shared" si="5"/>
        <v>0</v>
      </c>
      <c r="G53" s="25">
        <f t="shared" si="6"/>
        <v>0</v>
      </c>
      <c r="H53" s="25">
        <f t="shared" si="4"/>
        <v>0</v>
      </c>
    </row>
    <row r="54" spans="1:8" ht="15.75">
      <c r="A54" s="23">
        <v>2350</v>
      </c>
      <c r="B54" s="32" t="s">
        <v>25</v>
      </c>
      <c r="C54" s="25">
        <v>3</v>
      </c>
      <c r="D54" s="25">
        <f t="shared" si="2"/>
        <v>4.27</v>
      </c>
      <c r="E54" s="25">
        <f t="shared" si="3"/>
        <v>2.14</v>
      </c>
      <c r="F54" s="25">
        <f t="shared" si="5"/>
        <v>2.14</v>
      </c>
      <c r="G54" s="25">
        <f t="shared" si="6"/>
        <v>2.14</v>
      </c>
      <c r="H54" s="25">
        <f t="shared" si="4"/>
        <v>2.14</v>
      </c>
    </row>
    <row r="55" spans="1:8" ht="15.75">
      <c r="A55" s="23">
        <v>2361</v>
      </c>
      <c r="B55" s="32" t="s">
        <v>26</v>
      </c>
      <c r="C55" s="25">
        <v>2</v>
      </c>
      <c r="D55" s="25">
        <f t="shared" si="2"/>
        <v>2.85</v>
      </c>
      <c r="E55" s="25">
        <f t="shared" si="3"/>
        <v>1.43</v>
      </c>
      <c r="F55" s="25">
        <f t="shared" si="5"/>
        <v>1.43</v>
      </c>
      <c r="G55" s="25">
        <f t="shared" si="6"/>
        <v>1.43</v>
      </c>
      <c r="H55" s="25">
        <f t="shared" si="4"/>
        <v>1.43</v>
      </c>
    </row>
    <row r="56" spans="1:8" ht="15.75" hidden="1">
      <c r="A56" s="23">
        <v>2362</v>
      </c>
      <c r="B56" s="32" t="s">
        <v>27</v>
      </c>
      <c r="C56" s="25"/>
      <c r="D56" s="25">
        <f t="shared" si="2"/>
        <v>0</v>
      </c>
      <c r="E56" s="25">
        <f t="shared" si="3"/>
        <v>0</v>
      </c>
      <c r="F56" s="25">
        <f t="shared" si="5"/>
        <v>0</v>
      </c>
      <c r="G56" s="25">
        <f t="shared" si="6"/>
        <v>0</v>
      </c>
      <c r="H56" s="25">
        <f t="shared" si="4"/>
        <v>0</v>
      </c>
    </row>
    <row r="57" spans="1:8" ht="14.25" customHeight="1" hidden="1">
      <c r="A57" s="23">
        <v>2363</v>
      </c>
      <c r="B57" s="32" t="s">
        <v>28</v>
      </c>
      <c r="C57" s="25"/>
      <c r="D57" s="25">
        <f t="shared" si="2"/>
        <v>0</v>
      </c>
      <c r="E57" s="25">
        <f t="shared" si="3"/>
        <v>0</v>
      </c>
      <c r="F57" s="25">
        <f t="shared" si="5"/>
        <v>0</v>
      </c>
      <c r="G57" s="25">
        <f t="shared" si="6"/>
        <v>0</v>
      </c>
      <c r="H57" s="25">
        <f t="shared" si="4"/>
        <v>0</v>
      </c>
    </row>
    <row r="58" spans="1:8" ht="15.75" hidden="1">
      <c r="A58" s="23">
        <v>2370</v>
      </c>
      <c r="B58" s="32" t="s">
        <v>29</v>
      </c>
      <c r="C58" s="25"/>
      <c r="D58" s="25">
        <f t="shared" si="2"/>
        <v>0</v>
      </c>
      <c r="E58" s="25">
        <f t="shared" si="3"/>
        <v>0</v>
      </c>
      <c r="F58" s="25">
        <f t="shared" si="5"/>
        <v>0</v>
      </c>
      <c r="G58" s="25">
        <f t="shared" si="6"/>
        <v>0</v>
      </c>
      <c r="H58" s="25">
        <f t="shared" si="4"/>
        <v>0</v>
      </c>
    </row>
    <row r="59" spans="1:8" ht="15.75" hidden="1">
      <c r="A59" s="23">
        <v>2400</v>
      </c>
      <c r="B59" s="32" t="s">
        <v>43</v>
      </c>
      <c r="C59" s="25">
        <v>0</v>
      </c>
      <c r="D59" s="25">
        <f t="shared" si="2"/>
        <v>0</v>
      </c>
      <c r="E59" s="25">
        <f t="shared" si="3"/>
        <v>0</v>
      </c>
      <c r="F59" s="25">
        <f t="shared" si="5"/>
        <v>0</v>
      </c>
      <c r="G59" s="25">
        <f t="shared" si="6"/>
        <v>0</v>
      </c>
      <c r="H59" s="25">
        <f t="shared" si="4"/>
        <v>0</v>
      </c>
    </row>
    <row r="60" spans="1:8" ht="15.75" hidden="1">
      <c r="A60" s="23">
        <v>2512</v>
      </c>
      <c r="B60" s="32" t="s">
        <v>30</v>
      </c>
      <c r="C60" s="25">
        <v>0</v>
      </c>
      <c r="D60" s="25">
        <f t="shared" si="2"/>
        <v>0</v>
      </c>
      <c r="E60" s="25">
        <f t="shared" si="3"/>
        <v>0</v>
      </c>
      <c r="F60" s="25">
        <f t="shared" si="5"/>
        <v>0</v>
      </c>
      <c r="G60" s="25">
        <f t="shared" si="6"/>
        <v>0</v>
      </c>
      <c r="H60" s="25">
        <f t="shared" si="4"/>
        <v>0</v>
      </c>
    </row>
    <row r="61" spans="1:8" ht="15.75">
      <c r="A61" s="23">
        <v>2513</v>
      </c>
      <c r="B61" s="32" t="s">
        <v>31</v>
      </c>
      <c r="C61" s="25">
        <v>2</v>
      </c>
      <c r="D61" s="25">
        <f t="shared" si="2"/>
        <v>2.85</v>
      </c>
      <c r="E61" s="25">
        <f t="shared" si="3"/>
        <v>1.43</v>
      </c>
      <c r="F61" s="25">
        <f t="shared" si="5"/>
        <v>1.43</v>
      </c>
      <c r="G61" s="25">
        <f t="shared" si="6"/>
        <v>1.43</v>
      </c>
      <c r="H61" s="25">
        <f t="shared" si="4"/>
        <v>1.43</v>
      </c>
    </row>
    <row r="62" spans="1:8" ht="15.75" customHeight="1" hidden="1">
      <c r="A62" s="23">
        <v>2515</v>
      </c>
      <c r="B62" s="32" t="s">
        <v>78</v>
      </c>
      <c r="C62" s="25">
        <v>0</v>
      </c>
      <c r="D62" s="25">
        <f t="shared" si="2"/>
        <v>0</v>
      </c>
      <c r="E62" s="25">
        <f t="shared" si="3"/>
        <v>0</v>
      </c>
      <c r="F62" s="25">
        <f t="shared" si="5"/>
        <v>0</v>
      </c>
      <c r="G62" s="25">
        <f t="shared" si="6"/>
        <v>0</v>
      </c>
      <c r="H62" s="25">
        <f t="shared" si="4"/>
        <v>0</v>
      </c>
    </row>
    <row r="63" spans="1:8" ht="15.75">
      <c r="A63" s="23">
        <v>2519</v>
      </c>
      <c r="B63" s="32" t="s">
        <v>34</v>
      </c>
      <c r="C63" s="25">
        <v>2</v>
      </c>
      <c r="D63" s="25">
        <v>2.95</v>
      </c>
      <c r="E63" s="25">
        <v>1.42</v>
      </c>
      <c r="F63" s="25">
        <v>1.43</v>
      </c>
      <c r="G63" s="25">
        <v>1.39</v>
      </c>
      <c r="H63" s="25">
        <f t="shared" si="4"/>
        <v>1.39</v>
      </c>
    </row>
    <row r="64" spans="1:8" ht="15.75" hidden="1">
      <c r="A64" s="23">
        <v>6240</v>
      </c>
      <c r="B64" s="32"/>
      <c r="C64" s="25"/>
      <c r="D64" s="32"/>
      <c r="E64" s="25"/>
      <c r="F64" s="25">
        <f aca="true" t="shared" si="7" ref="F64:F70">E64/20*20</f>
        <v>0</v>
      </c>
      <c r="G64" s="25">
        <f t="shared" si="6"/>
        <v>0</v>
      </c>
      <c r="H64" s="25">
        <f t="shared" si="4"/>
        <v>0</v>
      </c>
    </row>
    <row r="65" spans="1:8" ht="15.75" hidden="1">
      <c r="A65" s="23">
        <v>6290</v>
      </c>
      <c r="B65" s="32"/>
      <c r="C65" s="25"/>
      <c r="D65" s="32"/>
      <c r="E65" s="25"/>
      <c r="F65" s="25">
        <f t="shared" si="7"/>
        <v>0</v>
      </c>
      <c r="G65" s="25">
        <f t="shared" si="6"/>
        <v>0</v>
      </c>
      <c r="H65" s="25">
        <f t="shared" si="4"/>
        <v>0</v>
      </c>
    </row>
    <row r="66" spans="1:8" ht="15.75" hidden="1">
      <c r="A66" s="23">
        <v>5121</v>
      </c>
      <c r="B66" s="32" t="s">
        <v>32</v>
      </c>
      <c r="C66" s="25">
        <v>0</v>
      </c>
      <c r="D66" s="32"/>
      <c r="E66" s="25">
        <v>0</v>
      </c>
      <c r="F66" s="25">
        <f t="shared" si="7"/>
        <v>0</v>
      </c>
      <c r="G66" s="25">
        <f t="shared" si="6"/>
        <v>0</v>
      </c>
      <c r="H66" s="25">
        <f t="shared" si="4"/>
        <v>0</v>
      </c>
    </row>
    <row r="67" spans="1:8" ht="15.75" hidden="1">
      <c r="A67" s="23">
        <v>5232</v>
      </c>
      <c r="B67" s="32" t="s">
        <v>33</v>
      </c>
      <c r="C67" s="25">
        <v>0</v>
      </c>
      <c r="D67" s="32"/>
      <c r="E67" s="25">
        <v>0</v>
      </c>
      <c r="F67" s="25">
        <f t="shared" si="7"/>
        <v>0</v>
      </c>
      <c r="G67" s="25">
        <f t="shared" si="6"/>
        <v>0</v>
      </c>
      <c r="H67" s="25">
        <f t="shared" si="4"/>
        <v>0</v>
      </c>
    </row>
    <row r="68" spans="1:8" ht="15.75" hidden="1">
      <c r="A68" s="23">
        <v>5238</v>
      </c>
      <c r="B68" s="32" t="s">
        <v>35</v>
      </c>
      <c r="C68" s="25">
        <v>0</v>
      </c>
      <c r="D68" s="32"/>
      <c r="E68" s="25">
        <v>0</v>
      </c>
      <c r="F68" s="25">
        <f t="shared" si="7"/>
        <v>0</v>
      </c>
      <c r="G68" s="25">
        <f t="shared" si="6"/>
        <v>0</v>
      </c>
      <c r="H68" s="25">
        <f t="shared" si="4"/>
        <v>0</v>
      </c>
    </row>
    <row r="69" spans="1:8" ht="15.75" hidden="1">
      <c r="A69" s="23">
        <v>5240</v>
      </c>
      <c r="B69" s="32" t="s">
        <v>36</v>
      </c>
      <c r="C69" s="25">
        <v>0</v>
      </c>
      <c r="D69" s="32"/>
      <c r="E69" s="25">
        <v>0</v>
      </c>
      <c r="F69" s="25">
        <f t="shared" si="7"/>
        <v>0</v>
      </c>
      <c r="G69" s="25">
        <f t="shared" si="6"/>
        <v>0</v>
      </c>
      <c r="H69" s="25">
        <f t="shared" si="4"/>
        <v>0</v>
      </c>
    </row>
    <row r="70" spans="1:8" ht="15.75" hidden="1">
      <c r="A70" s="23">
        <v>5250</v>
      </c>
      <c r="B70" s="32" t="s">
        <v>37</v>
      </c>
      <c r="C70" s="25"/>
      <c r="D70" s="32"/>
      <c r="E70" s="25"/>
      <c r="F70" s="25">
        <f t="shared" si="7"/>
        <v>0</v>
      </c>
      <c r="G70" s="25">
        <f t="shared" si="6"/>
        <v>0</v>
      </c>
      <c r="H70" s="25">
        <f t="shared" si="4"/>
        <v>0</v>
      </c>
    </row>
    <row r="71" spans="1:8" ht="15.75">
      <c r="A71" s="29"/>
      <c r="B71" s="48" t="s">
        <v>79</v>
      </c>
      <c r="C71" s="28">
        <f aca="true" t="shared" si="8" ref="C71:H71">SUM(C27:C70)</f>
        <v>124.96000000000001</v>
      </c>
      <c r="D71" s="28">
        <f t="shared" si="8"/>
        <v>177.89999999999992</v>
      </c>
      <c r="E71" s="28">
        <f t="shared" si="8"/>
        <v>88.94</v>
      </c>
      <c r="F71" s="28">
        <f t="shared" si="8"/>
        <v>90.61</v>
      </c>
      <c r="G71" s="28">
        <f t="shared" si="8"/>
        <v>90.57</v>
      </c>
      <c r="H71" s="28">
        <f t="shared" si="8"/>
        <v>91.86999999999999</v>
      </c>
    </row>
    <row r="72" spans="1:8" ht="15.75">
      <c r="A72" s="29"/>
      <c r="B72" s="48" t="s">
        <v>80</v>
      </c>
      <c r="C72" s="28">
        <f aca="true" t="shared" si="9" ref="C72:H72">C71+C25</f>
        <v>272.20000000000005</v>
      </c>
      <c r="D72" s="28">
        <f t="shared" si="9"/>
        <v>387.3999999999999</v>
      </c>
      <c r="E72" s="28">
        <f t="shared" si="9"/>
        <v>193.7</v>
      </c>
      <c r="F72" s="28">
        <f t="shared" si="9"/>
        <v>197.4</v>
      </c>
      <c r="G72" s="28">
        <f t="shared" si="9"/>
        <v>225.6</v>
      </c>
      <c r="H72" s="28">
        <f t="shared" si="9"/>
        <v>232.2</v>
      </c>
    </row>
    <row r="73" spans="1:8" ht="15.75">
      <c r="A73" s="9"/>
      <c r="B73" s="14"/>
      <c r="C73" s="35"/>
      <c r="D73" s="35"/>
      <c r="E73" s="35"/>
      <c r="F73" s="35"/>
      <c r="G73" s="35"/>
      <c r="H73" s="35"/>
    </row>
    <row r="74" spans="1:8" ht="15.75">
      <c r="A74" s="212" t="s">
        <v>45</v>
      </c>
      <c r="B74" s="213"/>
      <c r="C74" s="36">
        <v>20</v>
      </c>
      <c r="D74" s="36">
        <v>20</v>
      </c>
      <c r="E74" s="42">
        <v>10</v>
      </c>
      <c r="F74" s="42">
        <v>10</v>
      </c>
      <c r="G74" s="42">
        <v>10</v>
      </c>
      <c r="H74" s="162">
        <v>10</v>
      </c>
    </row>
    <row r="75" spans="1:8" ht="15.75">
      <c r="A75" s="212" t="s">
        <v>91</v>
      </c>
      <c r="B75" s="213"/>
      <c r="C75" s="99">
        <f aca="true" t="shared" si="10" ref="C75:H75">ROUND(C72/C74,2)</f>
        <v>13.61</v>
      </c>
      <c r="D75" s="99">
        <f t="shared" si="10"/>
        <v>19.37</v>
      </c>
      <c r="E75" s="28">
        <f t="shared" si="10"/>
        <v>19.37</v>
      </c>
      <c r="F75" s="28">
        <f t="shared" si="10"/>
        <v>19.74</v>
      </c>
      <c r="G75" s="28">
        <f t="shared" si="10"/>
        <v>22.56</v>
      </c>
      <c r="H75" s="164">
        <f t="shared" si="10"/>
        <v>23.22</v>
      </c>
    </row>
    <row r="76" spans="1:8" ht="15.75">
      <c r="A76" s="14"/>
      <c r="B76" s="11"/>
      <c r="C76" s="11"/>
      <c r="D76" s="11"/>
      <c r="E76" s="11"/>
      <c r="F76" s="15"/>
      <c r="G76" s="15"/>
      <c r="H76" s="15"/>
    </row>
    <row r="77" spans="1:8" ht="15.75">
      <c r="A77" s="212" t="s">
        <v>46</v>
      </c>
      <c r="B77" s="213"/>
      <c r="C77" s="72"/>
      <c r="D77" s="72"/>
      <c r="E77" s="37"/>
      <c r="F77" s="37"/>
      <c r="G77" s="37"/>
      <c r="H77" s="37"/>
    </row>
    <row r="78" spans="1:8" ht="15.75">
      <c r="A78" s="212" t="s">
        <v>56</v>
      </c>
      <c r="B78" s="213"/>
      <c r="C78" s="72"/>
      <c r="D78" s="72"/>
      <c r="E78" s="37"/>
      <c r="F78" s="37"/>
      <c r="G78" s="37"/>
      <c r="H78" s="37"/>
    </row>
    <row r="79" spans="1:8" ht="15.75">
      <c r="A79" s="38"/>
      <c r="B79" s="38"/>
      <c r="C79" s="38"/>
      <c r="D79" s="38"/>
      <c r="E79" s="38"/>
      <c r="F79" s="38"/>
      <c r="G79" s="38"/>
      <c r="H79" s="38"/>
    </row>
    <row r="80" spans="1:8" ht="15.75">
      <c r="A80" s="38" t="s">
        <v>47</v>
      </c>
      <c r="B80" s="38"/>
      <c r="C80" s="38"/>
      <c r="D80" s="38"/>
      <c r="E80" s="38"/>
      <c r="F80" s="38"/>
      <c r="G80" s="38"/>
      <c r="H80" s="38"/>
    </row>
    <row r="81" spans="1:8" ht="15.75">
      <c r="A81" s="38"/>
      <c r="B81" s="38"/>
      <c r="C81" s="38"/>
      <c r="D81" s="38"/>
      <c r="E81" s="38"/>
      <c r="F81" s="38"/>
      <c r="G81" s="38"/>
      <c r="H81" s="38"/>
    </row>
    <row r="82" spans="1:8" ht="15.75">
      <c r="A82" s="38"/>
      <c r="B82" s="39"/>
      <c r="C82" s="39"/>
      <c r="D82" s="39"/>
      <c r="E82" s="39"/>
      <c r="F82" s="38"/>
      <c r="G82" s="38"/>
      <c r="H82" s="38"/>
    </row>
    <row r="83" spans="1:8" ht="15.75">
      <c r="A83" s="38"/>
      <c r="B83" s="101"/>
      <c r="C83" s="101"/>
      <c r="D83" s="101"/>
      <c r="E83" s="39"/>
      <c r="F83" s="38"/>
      <c r="G83" s="38"/>
      <c r="H83" s="38"/>
    </row>
    <row r="84" spans="2:5" ht="15">
      <c r="B84" s="232"/>
      <c r="C84" s="232"/>
      <c r="D84" s="232"/>
      <c r="E84" s="232"/>
    </row>
    <row r="85" spans="2:5" ht="15">
      <c r="B85" s="2"/>
      <c r="C85" s="2"/>
      <c r="D85" s="2"/>
      <c r="E85" s="2"/>
    </row>
  </sheetData>
  <sheetProtection/>
  <mergeCells count="13">
    <mergeCell ref="A77:B77"/>
    <mergeCell ref="A78:B78"/>
    <mergeCell ref="B84:E84"/>
    <mergeCell ref="B7:E7"/>
    <mergeCell ref="B8:E8"/>
    <mergeCell ref="B9:E9"/>
    <mergeCell ref="B10:E10"/>
    <mergeCell ref="A74:B74"/>
    <mergeCell ref="A75:B75"/>
    <mergeCell ref="A3:H3"/>
    <mergeCell ref="B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61">
      <selection activeCell="A80" sqref="A80"/>
    </sheetView>
  </sheetViews>
  <sheetFormatPr defaultColWidth="9.140625" defaultRowHeight="12.75"/>
  <cols>
    <col min="1" max="1" width="13.57421875" style="1" customWidth="1"/>
    <col min="2" max="2" width="95.7109375" style="1" customWidth="1"/>
    <col min="3" max="3" width="19.28125" style="1" hidden="1" customWidth="1"/>
    <col min="4" max="4" width="19.8515625" style="1" hidden="1" customWidth="1"/>
    <col min="5" max="5" width="31.421875" style="4" customWidth="1"/>
  </cols>
  <sheetData>
    <row r="1" spans="1:5" ht="15.75">
      <c r="A1" s="4"/>
      <c r="B1" s="75"/>
      <c r="C1" s="75"/>
      <c r="D1" s="75"/>
      <c r="E1" s="9"/>
    </row>
    <row r="2" spans="1:5" ht="18.75">
      <c r="A2" s="193" t="s">
        <v>6</v>
      </c>
      <c r="B2" s="193"/>
      <c r="C2" s="193"/>
      <c r="D2" s="193"/>
      <c r="E2" s="193"/>
    </row>
    <row r="3" spans="1:5" ht="15.75">
      <c r="A3" s="195" t="s">
        <v>1</v>
      </c>
      <c r="B3" s="195"/>
      <c r="C3" s="8"/>
      <c r="D3" s="8"/>
      <c r="E3" s="14"/>
    </row>
    <row r="4" spans="1:5" ht="15.75">
      <c r="A4" s="195" t="s">
        <v>0</v>
      </c>
      <c r="B4" s="195"/>
      <c r="C4" s="8"/>
      <c r="D4" s="8"/>
      <c r="E4" s="14"/>
    </row>
    <row r="5" spans="1:5" ht="15.75">
      <c r="A5" s="8"/>
      <c r="B5" s="8" t="s">
        <v>44</v>
      </c>
      <c r="C5" s="8"/>
      <c r="D5" s="8"/>
      <c r="E5" s="14"/>
    </row>
    <row r="6" spans="1:5" ht="15.75">
      <c r="A6" s="8"/>
      <c r="B6" s="8" t="s">
        <v>87</v>
      </c>
      <c r="C6" s="8"/>
      <c r="D6" s="8"/>
      <c r="E6" s="14"/>
    </row>
    <row r="7" spans="1:5" ht="15.75">
      <c r="A7" s="8"/>
      <c r="B7" s="8" t="s">
        <v>221</v>
      </c>
      <c r="C7" s="8"/>
      <c r="D7" s="8"/>
      <c r="E7" s="14"/>
    </row>
    <row r="8" spans="1:5" ht="15.75">
      <c r="A8" s="8"/>
      <c r="B8" s="8" t="s">
        <v>222</v>
      </c>
      <c r="C8" s="8"/>
      <c r="D8" s="8"/>
      <c r="E8" s="14"/>
    </row>
    <row r="9" spans="1:5" ht="15.75">
      <c r="A9" s="8" t="s">
        <v>2</v>
      </c>
      <c r="B9" s="8" t="s">
        <v>205</v>
      </c>
      <c r="C9" s="8"/>
      <c r="D9" s="8"/>
      <c r="E9" s="14"/>
    </row>
    <row r="10" spans="1:5" ht="15.75" hidden="1">
      <c r="A10" s="15"/>
      <c r="B10" s="16"/>
      <c r="C10" s="16"/>
      <c r="D10" s="16"/>
      <c r="E10" s="14"/>
    </row>
    <row r="11" spans="1:5" ht="47.25">
      <c r="A11" s="59" t="s">
        <v>3</v>
      </c>
      <c r="B11" s="59" t="s">
        <v>4</v>
      </c>
      <c r="C11" s="59"/>
      <c r="D11" s="59"/>
      <c r="E11" s="59" t="s">
        <v>5</v>
      </c>
    </row>
    <row r="12" spans="1:5" ht="15.75">
      <c r="A12" s="18">
        <v>1</v>
      </c>
      <c r="B12" s="19">
        <v>2</v>
      </c>
      <c r="C12" s="19"/>
      <c r="D12" s="19"/>
      <c r="E12" s="19">
        <v>3</v>
      </c>
    </row>
    <row r="13" spans="1:5" ht="15.75">
      <c r="A13" s="18"/>
      <c r="B13" s="21" t="s">
        <v>68</v>
      </c>
      <c r="C13" s="21"/>
      <c r="D13" s="21"/>
      <c r="E13" s="23"/>
    </row>
    <row r="14" spans="1:5" ht="15.75">
      <c r="A14" s="23">
        <v>1100</v>
      </c>
      <c r="B14" s="24" t="s">
        <v>59</v>
      </c>
      <c r="C14" s="25">
        <v>208.75</v>
      </c>
      <c r="D14" s="25">
        <v>265.11</v>
      </c>
      <c r="E14" s="25">
        <f>D14/100*50+50*0.185</f>
        <v>141.805</v>
      </c>
    </row>
    <row r="15" spans="1:5" ht="15.75" customHeight="1">
      <c r="A15" s="23">
        <v>1200</v>
      </c>
      <c r="B15" s="26" t="s">
        <v>60</v>
      </c>
      <c r="C15" s="25">
        <v>49.24</v>
      </c>
      <c r="D15" s="25">
        <v>63.86</v>
      </c>
      <c r="E15" s="25">
        <f>D15/100*50+50*0.045</f>
        <v>34.17999999999999</v>
      </c>
    </row>
    <row r="16" spans="1:5" ht="15.75">
      <c r="A16" s="23">
        <v>2222</v>
      </c>
      <c r="B16" s="26" t="s">
        <v>39</v>
      </c>
      <c r="C16" s="25">
        <v>0.94</v>
      </c>
      <c r="D16" s="25">
        <v>0.94</v>
      </c>
      <c r="E16" s="25">
        <f aca="true" t="shared" si="0" ref="E16:E24">D16/100*50</f>
        <v>0.4699999999999999</v>
      </c>
    </row>
    <row r="17" spans="1:5" ht="15.75">
      <c r="A17" s="31">
        <v>2341</v>
      </c>
      <c r="B17" s="26" t="s">
        <v>23</v>
      </c>
      <c r="C17" s="25">
        <v>79.37</v>
      </c>
      <c r="D17" s="25">
        <v>79.37</v>
      </c>
      <c r="E17" s="25">
        <f t="shared" si="0"/>
        <v>39.685</v>
      </c>
    </row>
    <row r="18" spans="1:5" ht="15.75">
      <c r="A18" s="23">
        <v>2223</v>
      </c>
      <c r="B18" s="26" t="s">
        <v>40</v>
      </c>
      <c r="C18" s="25">
        <v>4.65</v>
      </c>
      <c r="D18" s="25">
        <v>4.65</v>
      </c>
      <c r="E18" s="25">
        <f t="shared" si="0"/>
        <v>2.325</v>
      </c>
    </row>
    <row r="19" spans="1:5" ht="15.75">
      <c r="A19" s="23">
        <v>2321</v>
      </c>
      <c r="B19" s="26" t="s">
        <v>21</v>
      </c>
      <c r="C19" s="25">
        <v>5.67</v>
      </c>
      <c r="D19" s="25">
        <v>5.67</v>
      </c>
      <c r="E19" s="25">
        <f t="shared" si="0"/>
        <v>2.835</v>
      </c>
    </row>
    <row r="20" spans="1:5" ht="15.75" hidden="1">
      <c r="A20" s="23">
        <v>2243</v>
      </c>
      <c r="B20" s="26" t="s">
        <v>11</v>
      </c>
      <c r="C20" s="25">
        <v>0</v>
      </c>
      <c r="D20" s="25">
        <v>0</v>
      </c>
      <c r="E20" s="25">
        <f t="shared" si="0"/>
        <v>0</v>
      </c>
    </row>
    <row r="21" spans="1:5" ht="15.75">
      <c r="A21" s="23">
        <v>5232</v>
      </c>
      <c r="B21" s="26" t="s">
        <v>33</v>
      </c>
      <c r="C21" s="25">
        <v>5.41</v>
      </c>
      <c r="D21" s="25">
        <v>5.41</v>
      </c>
      <c r="E21" s="25">
        <f t="shared" si="0"/>
        <v>2.705</v>
      </c>
    </row>
    <row r="22" spans="1:5" ht="15.75">
      <c r="A22" s="23">
        <v>2312</v>
      </c>
      <c r="B22" s="26" t="s">
        <v>20</v>
      </c>
      <c r="C22" s="25">
        <v>0.96</v>
      </c>
      <c r="D22" s="25">
        <v>0.96</v>
      </c>
      <c r="E22" s="25">
        <f t="shared" si="0"/>
        <v>0.48</v>
      </c>
    </row>
    <row r="23" spans="1:5" ht="15.75">
      <c r="A23" s="23">
        <v>2311</v>
      </c>
      <c r="B23" s="26" t="s">
        <v>19</v>
      </c>
      <c r="C23" s="25">
        <v>2</v>
      </c>
      <c r="D23" s="25">
        <v>2</v>
      </c>
      <c r="E23" s="25">
        <f t="shared" si="0"/>
        <v>1</v>
      </c>
    </row>
    <row r="24" spans="1:5" ht="15.75">
      <c r="A24" s="23">
        <v>2361</v>
      </c>
      <c r="B24" s="26" t="s">
        <v>96</v>
      </c>
      <c r="C24" s="25">
        <v>60.15</v>
      </c>
      <c r="D24" s="25">
        <v>60.15</v>
      </c>
      <c r="E24" s="25">
        <f t="shared" si="0"/>
        <v>30.075000000000003</v>
      </c>
    </row>
    <row r="25" spans="1:5" ht="15.75">
      <c r="A25" s="22"/>
      <c r="B25" s="27" t="s">
        <v>67</v>
      </c>
      <c r="C25" s="28">
        <f>SUM(C14:C24)</f>
        <v>417.14</v>
      </c>
      <c r="D25" s="28">
        <f>SUM(D14:D24)</f>
        <v>488.12</v>
      </c>
      <c r="E25" s="28">
        <f>SUM(E14:E24)</f>
        <v>255.56</v>
      </c>
    </row>
    <row r="26" spans="1:5" ht="15.75">
      <c r="A26" s="29"/>
      <c r="B26" s="24" t="s">
        <v>61</v>
      </c>
      <c r="C26" s="28"/>
      <c r="D26" s="28"/>
      <c r="E26" s="28"/>
    </row>
    <row r="27" spans="1:5" ht="15.75">
      <c r="A27" s="23">
        <v>1100</v>
      </c>
      <c r="B27" s="24" t="s">
        <v>59</v>
      </c>
      <c r="C27" s="25">
        <v>82.5</v>
      </c>
      <c r="D27" s="25">
        <v>82.17</v>
      </c>
      <c r="E27" s="25">
        <f aca="true" t="shared" si="1" ref="E27:E68">D27/100*50</f>
        <v>41.085</v>
      </c>
    </row>
    <row r="28" spans="1:5" ht="15.75" customHeight="1">
      <c r="A28" s="23">
        <v>1200</v>
      </c>
      <c r="B28" s="26" t="s">
        <v>60</v>
      </c>
      <c r="C28" s="25">
        <v>19.46</v>
      </c>
      <c r="D28" s="25">
        <v>19.79</v>
      </c>
      <c r="E28" s="25">
        <f t="shared" si="1"/>
        <v>9.895</v>
      </c>
    </row>
    <row r="29" spans="1:5" ht="15.75">
      <c r="A29" s="31">
        <v>2210</v>
      </c>
      <c r="B29" s="26" t="s">
        <v>38</v>
      </c>
      <c r="C29" s="25">
        <v>0.5</v>
      </c>
      <c r="D29" s="25">
        <v>0.5</v>
      </c>
      <c r="E29" s="25">
        <f t="shared" si="1"/>
        <v>0.25</v>
      </c>
    </row>
    <row r="30" spans="1:5" ht="15.75">
      <c r="A30" s="23">
        <v>2222</v>
      </c>
      <c r="B30" s="26" t="s">
        <v>39</v>
      </c>
      <c r="C30" s="25">
        <v>2.1</v>
      </c>
      <c r="D30" s="25">
        <v>2.1</v>
      </c>
      <c r="E30" s="25">
        <f t="shared" si="1"/>
        <v>1.05</v>
      </c>
    </row>
    <row r="31" spans="1:5" ht="15.75">
      <c r="A31" s="23">
        <v>2223</v>
      </c>
      <c r="B31" s="26" t="s">
        <v>40</v>
      </c>
      <c r="C31" s="25">
        <v>3.5</v>
      </c>
      <c r="D31" s="25">
        <v>3.5</v>
      </c>
      <c r="E31" s="25">
        <f t="shared" si="1"/>
        <v>1.7500000000000002</v>
      </c>
    </row>
    <row r="32" spans="1:5" ht="15.75">
      <c r="A32" s="23">
        <v>2230</v>
      </c>
      <c r="B32" s="26" t="s">
        <v>41</v>
      </c>
      <c r="C32" s="25">
        <v>1.6</v>
      </c>
      <c r="D32" s="25">
        <v>1.6</v>
      </c>
      <c r="E32" s="25">
        <f t="shared" si="1"/>
        <v>0.8</v>
      </c>
    </row>
    <row r="33" spans="1:5" ht="15.75">
      <c r="A33" s="23">
        <v>2241</v>
      </c>
      <c r="B33" s="26" t="s">
        <v>9</v>
      </c>
      <c r="C33" s="25">
        <v>1.95</v>
      </c>
      <c r="D33" s="25">
        <v>1.95</v>
      </c>
      <c r="E33" s="25">
        <f t="shared" si="1"/>
        <v>0.975</v>
      </c>
    </row>
    <row r="34" spans="1:5" ht="15.75">
      <c r="A34" s="23">
        <v>2242</v>
      </c>
      <c r="B34" s="26" t="s">
        <v>10</v>
      </c>
      <c r="C34" s="25">
        <v>1.83</v>
      </c>
      <c r="D34" s="25">
        <v>1.83</v>
      </c>
      <c r="E34" s="25">
        <f t="shared" si="1"/>
        <v>0.915</v>
      </c>
    </row>
    <row r="35" spans="1:5" ht="15.75">
      <c r="A35" s="23">
        <v>2243</v>
      </c>
      <c r="B35" s="26" t="s">
        <v>11</v>
      </c>
      <c r="C35" s="25">
        <v>1.04</v>
      </c>
      <c r="D35" s="25">
        <v>1.04</v>
      </c>
      <c r="E35" s="25">
        <f t="shared" si="1"/>
        <v>0.52</v>
      </c>
    </row>
    <row r="36" spans="1:5" ht="15.75">
      <c r="A36" s="22">
        <v>2244</v>
      </c>
      <c r="B36" s="26" t="s">
        <v>12</v>
      </c>
      <c r="C36" s="25">
        <v>2.85</v>
      </c>
      <c r="D36" s="25">
        <v>2.85</v>
      </c>
      <c r="E36" s="25">
        <f>D36/100*50+50*0.03</f>
        <v>2.925</v>
      </c>
    </row>
    <row r="37" spans="1:5" ht="15.75">
      <c r="A37" s="22">
        <v>2247</v>
      </c>
      <c r="B37" s="21" t="s">
        <v>62</v>
      </c>
      <c r="C37" s="25">
        <v>0.5</v>
      </c>
      <c r="D37" s="25">
        <v>0.5</v>
      </c>
      <c r="E37" s="25">
        <f t="shared" si="1"/>
        <v>0.25</v>
      </c>
    </row>
    <row r="38" spans="1:5" ht="15.75">
      <c r="A38" s="22">
        <v>2249</v>
      </c>
      <c r="B38" s="26" t="s">
        <v>13</v>
      </c>
      <c r="C38" s="25">
        <v>2.83</v>
      </c>
      <c r="D38" s="25">
        <v>2.83</v>
      </c>
      <c r="E38" s="25">
        <f t="shared" si="1"/>
        <v>1.415</v>
      </c>
    </row>
    <row r="39" spans="1:5" ht="15.75">
      <c r="A39" s="22">
        <v>2251</v>
      </c>
      <c r="B39" s="26" t="s">
        <v>63</v>
      </c>
      <c r="C39" s="25">
        <v>1.1</v>
      </c>
      <c r="D39" s="25">
        <v>1.1</v>
      </c>
      <c r="E39" s="25">
        <f t="shared" si="1"/>
        <v>0.55</v>
      </c>
    </row>
    <row r="40" spans="1:5" ht="15.75" hidden="1">
      <c r="A40" s="22">
        <v>2252</v>
      </c>
      <c r="B40" s="26" t="s">
        <v>7</v>
      </c>
      <c r="C40" s="25"/>
      <c r="D40" s="25"/>
      <c r="E40" s="25">
        <f t="shared" si="1"/>
        <v>0</v>
      </c>
    </row>
    <row r="41" spans="1:5" ht="15.75" hidden="1">
      <c r="A41" s="22">
        <v>2259</v>
      </c>
      <c r="B41" s="26" t="s">
        <v>8</v>
      </c>
      <c r="C41" s="25"/>
      <c r="D41" s="25"/>
      <c r="E41" s="25">
        <f t="shared" si="1"/>
        <v>0</v>
      </c>
    </row>
    <row r="42" spans="1:5" ht="15.75">
      <c r="A42" s="22">
        <v>2261</v>
      </c>
      <c r="B42" s="26" t="s">
        <v>14</v>
      </c>
      <c r="C42" s="25">
        <v>1.83</v>
      </c>
      <c r="D42" s="25">
        <v>1.83</v>
      </c>
      <c r="E42" s="25">
        <f t="shared" si="1"/>
        <v>0.915</v>
      </c>
    </row>
    <row r="43" spans="1:5" ht="15.75">
      <c r="A43" s="22">
        <v>2262</v>
      </c>
      <c r="B43" s="26" t="s">
        <v>15</v>
      </c>
      <c r="C43" s="25">
        <v>1.79</v>
      </c>
      <c r="D43" s="25">
        <v>1.79</v>
      </c>
      <c r="E43" s="25">
        <f t="shared" si="1"/>
        <v>0.895</v>
      </c>
    </row>
    <row r="44" spans="1:5" ht="15.75">
      <c r="A44" s="22">
        <v>2263</v>
      </c>
      <c r="B44" s="26" t="s">
        <v>16</v>
      </c>
      <c r="C44" s="25">
        <v>1.65</v>
      </c>
      <c r="D44" s="25">
        <v>1.65</v>
      </c>
      <c r="E44" s="25">
        <f t="shared" si="1"/>
        <v>0.8250000000000001</v>
      </c>
    </row>
    <row r="45" spans="1:5" ht="15.75" hidden="1">
      <c r="A45" s="23">
        <v>2264</v>
      </c>
      <c r="B45" s="26" t="s">
        <v>17</v>
      </c>
      <c r="C45" s="25"/>
      <c r="D45" s="25"/>
      <c r="E45" s="25">
        <f t="shared" si="1"/>
        <v>0</v>
      </c>
    </row>
    <row r="46" spans="1:5" ht="15.75">
      <c r="A46" s="23">
        <v>2279</v>
      </c>
      <c r="B46" s="26" t="s">
        <v>18</v>
      </c>
      <c r="C46" s="25">
        <v>1.83</v>
      </c>
      <c r="D46" s="25">
        <v>1.83</v>
      </c>
      <c r="E46" s="25">
        <f t="shared" si="1"/>
        <v>0.915</v>
      </c>
    </row>
    <row r="47" spans="1:5" ht="15.75">
      <c r="A47" s="23">
        <v>2311</v>
      </c>
      <c r="B47" s="26" t="s">
        <v>19</v>
      </c>
      <c r="C47" s="25">
        <v>1.2</v>
      </c>
      <c r="D47" s="25">
        <v>1.2</v>
      </c>
      <c r="E47" s="25">
        <f t="shared" si="1"/>
        <v>0.6</v>
      </c>
    </row>
    <row r="48" spans="1:5" ht="15.75">
      <c r="A48" s="23">
        <v>2312</v>
      </c>
      <c r="B48" s="26" t="s">
        <v>20</v>
      </c>
      <c r="C48" s="25">
        <v>1.11</v>
      </c>
      <c r="D48" s="25">
        <v>1.11</v>
      </c>
      <c r="E48" s="25">
        <f t="shared" si="1"/>
        <v>0.555</v>
      </c>
    </row>
    <row r="49" spans="1:5" ht="15.75">
      <c r="A49" s="23">
        <v>2321</v>
      </c>
      <c r="B49" s="26" t="s">
        <v>21</v>
      </c>
      <c r="C49" s="25">
        <v>1.83</v>
      </c>
      <c r="D49" s="25">
        <v>1.83</v>
      </c>
      <c r="E49" s="25">
        <f t="shared" si="1"/>
        <v>0.915</v>
      </c>
    </row>
    <row r="50" spans="1:5" ht="15.75">
      <c r="A50" s="23">
        <v>2322</v>
      </c>
      <c r="B50" s="26" t="s">
        <v>22</v>
      </c>
      <c r="C50" s="25">
        <v>1.75</v>
      </c>
      <c r="D50" s="25">
        <v>1.75</v>
      </c>
      <c r="E50" s="25">
        <f t="shared" si="1"/>
        <v>0.8750000000000001</v>
      </c>
    </row>
    <row r="51" spans="1:5" ht="15.75">
      <c r="A51" s="23">
        <v>2341</v>
      </c>
      <c r="B51" s="26" t="s">
        <v>23</v>
      </c>
      <c r="C51" s="25">
        <v>2.84</v>
      </c>
      <c r="D51" s="25">
        <v>2.84</v>
      </c>
      <c r="E51" s="25">
        <f t="shared" si="1"/>
        <v>1.42</v>
      </c>
    </row>
    <row r="52" spans="1:5" ht="15.75" hidden="1">
      <c r="A52" s="23">
        <v>2344</v>
      </c>
      <c r="B52" s="26" t="s">
        <v>24</v>
      </c>
      <c r="C52" s="25"/>
      <c r="D52" s="25"/>
      <c r="E52" s="25">
        <f t="shared" si="1"/>
        <v>0</v>
      </c>
    </row>
    <row r="53" spans="1:5" ht="15.75">
      <c r="A53" s="23">
        <v>2350</v>
      </c>
      <c r="B53" s="26" t="s">
        <v>25</v>
      </c>
      <c r="C53" s="25">
        <v>2.83</v>
      </c>
      <c r="D53" s="25">
        <v>2.83</v>
      </c>
      <c r="E53" s="25">
        <f t="shared" si="1"/>
        <v>1.415</v>
      </c>
    </row>
    <row r="54" spans="1:5" ht="15.75">
      <c r="A54" s="23">
        <v>2361</v>
      </c>
      <c r="B54" s="26" t="s">
        <v>26</v>
      </c>
      <c r="C54" s="25">
        <v>1.98</v>
      </c>
      <c r="D54" s="25">
        <v>1.98</v>
      </c>
      <c r="E54" s="25">
        <f t="shared" si="1"/>
        <v>0.9899999999999999</v>
      </c>
    </row>
    <row r="55" spans="1:5" ht="15.75" hidden="1">
      <c r="A55" s="23">
        <v>2362</v>
      </c>
      <c r="B55" s="26" t="s">
        <v>27</v>
      </c>
      <c r="C55" s="25"/>
      <c r="D55" s="25"/>
      <c r="E55" s="25">
        <f t="shared" si="1"/>
        <v>0</v>
      </c>
    </row>
    <row r="56" spans="1:5" ht="15.75" hidden="1">
      <c r="A56" s="23">
        <v>2363</v>
      </c>
      <c r="B56" s="26" t="s">
        <v>28</v>
      </c>
      <c r="C56" s="25"/>
      <c r="D56" s="25"/>
      <c r="E56" s="25">
        <f t="shared" si="1"/>
        <v>0</v>
      </c>
    </row>
    <row r="57" spans="1:5" ht="15.75" hidden="1">
      <c r="A57" s="23">
        <v>2370</v>
      </c>
      <c r="B57" s="26" t="s">
        <v>29</v>
      </c>
      <c r="C57" s="25"/>
      <c r="D57" s="25"/>
      <c r="E57" s="25">
        <f t="shared" si="1"/>
        <v>0</v>
      </c>
    </row>
    <row r="58" spans="1:5" ht="15.75">
      <c r="A58" s="23">
        <v>2400</v>
      </c>
      <c r="B58" s="26" t="s">
        <v>43</v>
      </c>
      <c r="C58" s="25">
        <v>0.7</v>
      </c>
      <c r="D58" s="25">
        <v>0.7</v>
      </c>
      <c r="E58" s="25">
        <f t="shared" si="1"/>
        <v>0.35</v>
      </c>
    </row>
    <row r="59" spans="1:5" ht="15.75" hidden="1">
      <c r="A59" s="23">
        <v>2512</v>
      </c>
      <c r="B59" s="26" t="s">
        <v>30</v>
      </c>
      <c r="C59" s="25"/>
      <c r="D59" s="25"/>
      <c r="E59" s="25">
        <f t="shared" si="1"/>
        <v>0</v>
      </c>
    </row>
    <row r="60" spans="1:5" ht="15.75">
      <c r="A60" s="23">
        <v>2513</v>
      </c>
      <c r="B60" s="26" t="s">
        <v>31</v>
      </c>
      <c r="C60" s="25">
        <v>2.95</v>
      </c>
      <c r="D60" s="25">
        <v>2.95</v>
      </c>
      <c r="E60" s="25">
        <f t="shared" si="1"/>
        <v>1.475</v>
      </c>
    </row>
    <row r="61" spans="1:5" ht="15.75">
      <c r="A61" s="23">
        <v>2515</v>
      </c>
      <c r="B61" s="26" t="s">
        <v>64</v>
      </c>
      <c r="C61" s="25">
        <v>1.83</v>
      </c>
      <c r="D61" s="25">
        <v>1.83</v>
      </c>
      <c r="E61" s="25">
        <f t="shared" si="1"/>
        <v>0.915</v>
      </c>
    </row>
    <row r="62" spans="1:5" ht="15.75">
      <c r="A62" s="23">
        <v>2519</v>
      </c>
      <c r="B62" s="26" t="s">
        <v>34</v>
      </c>
      <c r="C62" s="25">
        <v>1.84</v>
      </c>
      <c r="D62" s="25">
        <v>1.84</v>
      </c>
      <c r="E62" s="25">
        <f t="shared" si="1"/>
        <v>0.9199999999999999</v>
      </c>
    </row>
    <row r="63" spans="1:5" ht="15.75" hidden="1">
      <c r="A63" s="23">
        <v>6240</v>
      </c>
      <c r="B63" s="26"/>
      <c r="C63" s="25"/>
      <c r="D63" s="25"/>
      <c r="E63" s="25">
        <f t="shared" si="1"/>
        <v>0</v>
      </c>
    </row>
    <row r="64" spans="1:5" ht="15.75" hidden="1">
      <c r="A64" s="23">
        <v>6290</v>
      </c>
      <c r="B64" s="26"/>
      <c r="C64" s="25"/>
      <c r="D64" s="25"/>
      <c r="E64" s="25">
        <f t="shared" si="1"/>
        <v>0</v>
      </c>
    </row>
    <row r="65" spans="1:5" ht="15.75">
      <c r="A65" s="23">
        <v>5121</v>
      </c>
      <c r="B65" s="26" t="s">
        <v>32</v>
      </c>
      <c r="C65" s="25">
        <v>0.17</v>
      </c>
      <c r="D65" s="25">
        <v>0.17</v>
      </c>
      <c r="E65" s="25">
        <f t="shared" si="1"/>
        <v>0.085</v>
      </c>
    </row>
    <row r="66" spans="1:5" ht="15.75">
      <c r="A66" s="23">
        <v>5232</v>
      </c>
      <c r="B66" s="26" t="s">
        <v>33</v>
      </c>
      <c r="C66" s="25">
        <v>1.02</v>
      </c>
      <c r="D66" s="25">
        <v>1.04</v>
      </c>
      <c r="E66" s="25">
        <f t="shared" si="1"/>
        <v>0.52</v>
      </c>
    </row>
    <row r="67" spans="1:5" ht="15.75">
      <c r="A67" s="23">
        <v>5238</v>
      </c>
      <c r="B67" s="26" t="s">
        <v>35</v>
      </c>
      <c r="C67" s="25">
        <v>0.49</v>
      </c>
      <c r="D67" s="25">
        <v>0.49</v>
      </c>
      <c r="E67" s="25">
        <f t="shared" si="1"/>
        <v>0.245</v>
      </c>
    </row>
    <row r="68" spans="1:5" ht="15.75">
      <c r="A68" s="22">
        <v>5250</v>
      </c>
      <c r="B68" s="26" t="s">
        <v>37</v>
      </c>
      <c r="C68" s="25">
        <v>1.46</v>
      </c>
      <c r="D68" s="25">
        <v>1.46</v>
      </c>
      <c r="E68" s="25">
        <f t="shared" si="1"/>
        <v>0.73</v>
      </c>
    </row>
    <row r="69" spans="1:5" ht="15.75">
      <c r="A69" s="33"/>
      <c r="B69" s="34" t="s">
        <v>65</v>
      </c>
      <c r="C69" s="28">
        <f>SUM(C27:C68)</f>
        <v>152.86000000000004</v>
      </c>
      <c r="D69" s="28">
        <f>SUM(D27:D68)</f>
        <v>152.88000000000002</v>
      </c>
      <c r="E69" s="28">
        <f>SUM(E27:E68)</f>
        <v>77.94000000000001</v>
      </c>
    </row>
    <row r="70" spans="1:5" ht="15.75">
      <c r="A70" s="33"/>
      <c r="B70" s="34" t="s">
        <v>66</v>
      </c>
      <c r="C70" s="28">
        <f>C25+C69</f>
        <v>570</v>
      </c>
      <c r="D70" s="28">
        <f>D25+D69</f>
        <v>641</v>
      </c>
      <c r="E70" s="28">
        <f>E25+E69</f>
        <v>333.5</v>
      </c>
    </row>
    <row r="71" spans="1:5" ht="15.75">
      <c r="A71" s="9"/>
      <c r="B71" s="14"/>
      <c r="C71" s="62"/>
      <c r="D71" s="62"/>
      <c r="E71" s="62"/>
    </row>
    <row r="72" spans="1:5" ht="15.75">
      <c r="A72" s="212" t="s">
        <v>45</v>
      </c>
      <c r="B72" s="213"/>
      <c r="C72" s="17">
        <v>100</v>
      </c>
      <c r="D72" s="17">
        <v>100</v>
      </c>
      <c r="E72" s="160">
        <v>50</v>
      </c>
    </row>
    <row r="73" spans="1:5" ht="15.75">
      <c r="A73" s="212" t="s">
        <v>54</v>
      </c>
      <c r="B73" s="213"/>
      <c r="C73" s="28">
        <f>ROUND(C70/C72,2)</f>
        <v>5.7</v>
      </c>
      <c r="D73" s="28">
        <f>ROUND(D70/D72,2)</f>
        <v>6.41</v>
      </c>
      <c r="E73" s="164">
        <f>ROUND(E70/E72,2)</f>
        <v>6.67</v>
      </c>
    </row>
    <row r="74" spans="1:5" ht="15.75">
      <c r="A74" s="50"/>
      <c r="B74" s="43"/>
      <c r="C74" s="51"/>
      <c r="D74" s="51"/>
      <c r="E74" s="51"/>
    </row>
    <row r="75" spans="1:5" ht="15.75">
      <c r="A75" s="214" t="s">
        <v>46</v>
      </c>
      <c r="B75" s="215"/>
      <c r="C75" s="73"/>
      <c r="D75" s="73"/>
      <c r="E75" s="44"/>
    </row>
    <row r="76" spans="1:5" ht="15.75">
      <c r="A76" s="214" t="s">
        <v>56</v>
      </c>
      <c r="B76" s="215"/>
      <c r="C76" s="73"/>
      <c r="D76" s="73"/>
      <c r="E76" s="44"/>
    </row>
    <row r="77" spans="1:5" ht="15.75">
      <c r="A77" s="38"/>
      <c r="B77" s="38"/>
      <c r="C77" s="38"/>
      <c r="D77" s="38"/>
      <c r="E77" s="38"/>
    </row>
    <row r="78" spans="1:5" ht="15.75">
      <c r="A78" s="38" t="s">
        <v>47</v>
      </c>
      <c r="B78" s="38"/>
      <c r="C78" s="38"/>
      <c r="D78" s="38"/>
      <c r="E78" s="38"/>
    </row>
    <row r="79" spans="1:5" ht="15.75">
      <c r="A79" s="38"/>
      <c r="B79" s="38"/>
      <c r="C79" s="38"/>
      <c r="D79" s="38"/>
      <c r="E79" s="38"/>
    </row>
    <row r="80" spans="1:5" ht="15.75">
      <c r="A80" s="38"/>
      <c r="B80" s="39"/>
      <c r="C80" s="39"/>
      <c r="D80" s="39"/>
      <c r="E80" s="38"/>
    </row>
    <row r="81" spans="1:5" ht="15.75">
      <c r="A81" s="38"/>
      <c r="B81" s="101"/>
      <c r="C81" s="40"/>
      <c r="D81" s="40"/>
      <c r="E81" s="38"/>
    </row>
    <row r="82" spans="1:5" ht="15">
      <c r="A82" s="4"/>
      <c r="B82" s="61"/>
      <c r="C82" s="61"/>
      <c r="D82" s="61"/>
      <c r="E82" s="6"/>
    </row>
  </sheetData>
  <sheetProtection/>
  <mergeCells count="7">
    <mergeCell ref="A73:B73"/>
    <mergeCell ref="A75:B75"/>
    <mergeCell ref="A76:B76"/>
    <mergeCell ref="A2:E2"/>
    <mergeCell ref="A3:B3"/>
    <mergeCell ref="A4:B4"/>
    <mergeCell ref="A72:B72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62">
      <selection activeCell="A82" sqref="A82"/>
    </sheetView>
  </sheetViews>
  <sheetFormatPr defaultColWidth="9.140625" defaultRowHeight="12.75"/>
  <cols>
    <col min="1" max="1" width="12.140625" style="1" customWidth="1"/>
    <col min="2" max="2" width="96.28125" style="1" customWidth="1"/>
    <col min="3" max="3" width="26.8515625" style="1" hidden="1" customWidth="1"/>
    <col min="4" max="4" width="17.421875" style="1" hidden="1" customWidth="1"/>
    <col min="5" max="5" width="33.8515625" style="4" customWidth="1"/>
  </cols>
  <sheetData>
    <row r="1" spans="1:5" ht="15.75">
      <c r="A1" s="4"/>
      <c r="B1" s="13"/>
      <c r="C1" s="13"/>
      <c r="D1" s="13"/>
      <c r="E1" s="101"/>
    </row>
    <row r="2" spans="1:5" ht="15.75">
      <c r="A2" s="4"/>
      <c r="B2" s="75"/>
      <c r="C2" s="75"/>
      <c r="D2" s="75"/>
      <c r="E2" s="9"/>
    </row>
    <row r="3" spans="1:5" ht="18.75">
      <c r="A3" s="193" t="s">
        <v>6</v>
      </c>
      <c r="B3" s="193"/>
      <c r="C3" s="193"/>
      <c r="D3" s="193"/>
      <c r="E3" s="193"/>
    </row>
    <row r="4" spans="1:5" ht="15.75">
      <c r="A4" s="195" t="s">
        <v>1</v>
      </c>
      <c r="B4" s="195"/>
      <c r="C4" s="8"/>
      <c r="D4" s="8"/>
      <c r="E4" s="14"/>
    </row>
    <row r="5" spans="1:5" ht="15.75">
      <c r="A5" s="195" t="s">
        <v>0</v>
      </c>
      <c r="B5" s="195"/>
      <c r="C5" s="8"/>
      <c r="D5" s="8"/>
      <c r="E5" s="14"/>
    </row>
    <row r="6" spans="1:5" ht="15.75">
      <c r="A6" s="8"/>
      <c r="B6" s="8" t="s">
        <v>44</v>
      </c>
      <c r="C6" s="8"/>
      <c r="D6" s="8"/>
      <c r="E6" s="14"/>
    </row>
    <row r="7" spans="1:5" ht="15.75">
      <c r="A7" s="8"/>
      <c r="B7" s="8" t="s">
        <v>87</v>
      </c>
      <c r="C7" s="8"/>
      <c r="D7" s="8"/>
      <c r="E7" s="14"/>
    </row>
    <row r="8" spans="1:5" ht="15.75">
      <c r="A8" s="8"/>
      <c r="B8" s="8" t="s">
        <v>221</v>
      </c>
      <c r="C8" s="8"/>
      <c r="D8" s="8"/>
      <c r="E8" s="14"/>
    </row>
    <row r="9" spans="1:5" ht="15.75">
      <c r="A9" s="8"/>
      <c r="B9" s="8" t="s">
        <v>223</v>
      </c>
      <c r="C9" s="8"/>
      <c r="D9" s="8"/>
      <c r="E9" s="14"/>
    </row>
    <row r="10" spans="1:5" ht="15.75">
      <c r="A10" s="8" t="s">
        <v>2</v>
      </c>
      <c r="B10" s="8" t="s">
        <v>205</v>
      </c>
      <c r="C10" s="8"/>
      <c r="D10" s="8"/>
      <c r="E10" s="14"/>
    </row>
    <row r="11" spans="1:5" ht="15.75" hidden="1">
      <c r="A11" s="15"/>
      <c r="B11" s="16"/>
      <c r="C11" s="16"/>
      <c r="D11" s="16"/>
      <c r="E11" s="14"/>
    </row>
    <row r="12" spans="1:5" ht="94.5">
      <c r="A12" s="59" t="s">
        <v>3</v>
      </c>
      <c r="B12" s="59" t="s">
        <v>4</v>
      </c>
      <c r="C12" s="59" t="s">
        <v>5</v>
      </c>
      <c r="D12" s="59" t="s">
        <v>5</v>
      </c>
      <c r="E12" s="59" t="s">
        <v>5</v>
      </c>
    </row>
    <row r="13" spans="1:5" ht="15.75">
      <c r="A13" s="18">
        <v>1</v>
      </c>
      <c r="B13" s="19">
        <v>2</v>
      </c>
      <c r="C13" s="19">
        <v>3</v>
      </c>
      <c r="D13" s="19">
        <v>3</v>
      </c>
      <c r="E13" s="19">
        <v>3</v>
      </c>
    </row>
    <row r="14" spans="1:5" ht="15.75">
      <c r="A14" s="18"/>
      <c r="B14" s="21" t="s">
        <v>68</v>
      </c>
      <c r="C14" s="23"/>
      <c r="D14" s="23"/>
      <c r="E14" s="23"/>
    </row>
    <row r="15" spans="1:5" ht="15.75">
      <c r="A15" s="23">
        <v>1100</v>
      </c>
      <c r="B15" s="24" t="s">
        <v>59</v>
      </c>
      <c r="C15" s="25">
        <v>278.33</v>
      </c>
      <c r="D15" s="25">
        <v>353.48</v>
      </c>
      <c r="E15" s="25">
        <f>D15/100*50+50*0.21</f>
        <v>187.24</v>
      </c>
    </row>
    <row r="16" spans="1:5" ht="15.75" customHeight="1">
      <c r="A16" s="23">
        <v>1200</v>
      </c>
      <c r="B16" s="26" t="s">
        <v>60</v>
      </c>
      <c r="C16" s="25">
        <v>65.66</v>
      </c>
      <c r="D16" s="25">
        <v>85.15</v>
      </c>
      <c r="E16" s="25">
        <f>D16/100*50+50*0.05</f>
        <v>45.075</v>
      </c>
    </row>
    <row r="17" spans="1:5" ht="15.75">
      <c r="A17" s="23">
        <v>2222</v>
      </c>
      <c r="B17" s="26" t="s">
        <v>39</v>
      </c>
      <c r="C17" s="25">
        <v>0.94</v>
      </c>
      <c r="D17" s="25">
        <v>0.94</v>
      </c>
      <c r="E17" s="25">
        <f aca="true" t="shared" si="0" ref="E17:E25">D17/100*50</f>
        <v>0.4699999999999999</v>
      </c>
    </row>
    <row r="18" spans="1:5" ht="15.75">
      <c r="A18" s="31">
        <v>2341</v>
      </c>
      <c r="B18" s="26" t="s">
        <v>23</v>
      </c>
      <c r="C18" s="25">
        <v>92.25</v>
      </c>
      <c r="D18" s="25">
        <v>92.25</v>
      </c>
      <c r="E18" s="25">
        <f t="shared" si="0"/>
        <v>46.125</v>
      </c>
    </row>
    <row r="19" spans="1:5" ht="15.75">
      <c r="A19" s="23">
        <v>2223</v>
      </c>
      <c r="B19" s="26" t="s">
        <v>40</v>
      </c>
      <c r="C19" s="25">
        <v>4.65</v>
      </c>
      <c r="D19" s="25">
        <v>4.65</v>
      </c>
      <c r="E19" s="25">
        <f t="shared" si="0"/>
        <v>2.325</v>
      </c>
    </row>
    <row r="20" spans="1:5" ht="15.75">
      <c r="A20" s="23">
        <v>2321</v>
      </c>
      <c r="B20" s="26" t="s">
        <v>21</v>
      </c>
      <c r="C20" s="25">
        <v>5.67</v>
      </c>
      <c r="D20" s="25">
        <v>5.67</v>
      </c>
      <c r="E20" s="25">
        <f t="shared" si="0"/>
        <v>2.835</v>
      </c>
    </row>
    <row r="21" spans="1:5" ht="15.75" hidden="1">
      <c r="A21" s="23">
        <v>2243</v>
      </c>
      <c r="B21" s="26" t="s">
        <v>11</v>
      </c>
      <c r="C21" s="25">
        <v>0</v>
      </c>
      <c r="D21" s="25">
        <v>0</v>
      </c>
      <c r="E21" s="25">
        <f t="shared" si="0"/>
        <v>0</v>
      </c>
    </row>
    <row r="22" spans="1:5" ht="15.75">
      <c r="A22" s="23">
        <v>5232</v>
      </c>
      <c r="B22" s="26" t="s">
        <v>33</v>
      </c>
      <c r="C22" s="25">
        <v>5.41</v>
      </c>
      <c r="D22" s="25">
        <v>5.41</v>
      </c>
      <c r="E22" s="25">
        <f t="shared" si="0"/>
        <v>2.705</v>
      </c>
    </row>
    <row r="23" spans="1:5" ht="15.75">
      <c r="A23" s="23">
        <v>2312</v>
      </c>
      <c r="B23" s="26" t="s">
        <v>20</v>
      </c>
      <c r="C23" s="25">
        <v>0.96</v>
      </c>
      <c r="D23" s="25">
        <v>0.96</v>
      </c>
      <c r="E23" s="25">
        <f t="shared" si="0"/>
        <v>0.48</v>
      </c>
    </row>
    <row r="24" spans="1:5" ht="15.75">
      <c r="A24" s="23">
        <v>2311</v>
      </c>
      <c r="B24" s="26" t="s">
        <v>19</v>
      </c>
      <c r="C24" s="25">
        <v>2</v>
      </c>
      <c r="D24" s="25">
        <v>2</v>
      </c>
      <c r="E24" s="25">
        <f t="shared" si="0"/>
        <v>1</v>
      </c>
    </row>
    <row r="25" spans="1:5" ht="15.75">
      <c r="A25" s="23">
        <v>2361</v>
      </c>
      <c r="B25" s="26" t="s">
        <v>96</v>
      </c>
      <c r="C25" s="25">
        <v>60.15</v>
      </c>
      <c r="D25" s="25">
        <v>60.15</v>
      </c>
      <c r="E25" s="25">
        <f t="shared" si="0"/>
        <v>30.075000000000003</v>
      </c>
    </row>
    <row r="26" spans="1:5" ht="15.75">
      <c r="A26" s="22"/>
      <c r="B26" s="27" t="s">
        <v>67</v>
      </c>
      <c r="C26" s="28">
        <f>SUM(C15:C25)</f>
        <v>516.02</v>
      </c>
      <c r="D26" s="28">
        <f>SUM(D15:D25)</f>
        <v>610.6599999999999</v>
      </c>
      <c r="E26" s="28">
        <f>SUM(E15:E25)</f>
        <v>318.3299999999999</v>
      </c>
    </row>
    <row r="27" spans="1:5" ht="15.75">
      <c r="A27" s="29"/>
      <c r="B27" s="24" t="s">
        <v>61</v>
      </c>
      <c r="C27" s="28"/>
      <c r="D27" s="28"/>
      <c r="E27" s="28"/>
    </row>
    <row r="28" spans="1:5" ht="15.75">
      <c r="A28" s="23">
        <v>1100</v>
      </c>
      <c r="B28" s="24" t="s">
        <v>59</v>
      </c>
      <c r="C28" s="25">
        <v>102.3</v>
      </c>
      <c r="D28" s="25">
        <v>101.89</v>
      </c>
      <c r="E28" s="25">
        <f aca="true" t="shared" si="1" ref="E28:E69">D28/100*50</f>
        <v>50.94499999999999</v>
      </c>
    </row>
    <row r="29" spans="1:5" ht="15.75" customHeight="1">
      <c r="A29" s="23">
        <v>1200</v>
      </c>
      <c r="B29" s="26" t="s">
        <v>60</v>
      </c>
      <c r="C29" s="25">
        <v>24.13</v>
      </c>
      <c r="D29" s="25">
        <v>24.54</v>
      </c>
      <c r="E29" s="25">
        <f t="shared" si="1"/>
        <v>12.27</v>
      </c>
    </row>
    <row r="30" spans="1:5" ht="15.75">
      <c r="A30" s="31">
        <v>2210</v>
      </c>
      <c r="B30" s="26" t="s">
        <v>38</v>
      </c>
      <c r="C30" s="25">
        <v>1.4</v>
      </c>
      <c r="D30" s="25">
        <v>1.4</v>
      </c>
      <c r="E30" s="25">
        <f t="shared" si="1"/>
        <v>0.7</v>
      </c>
    </row>
    <row r="31" spans="1:5" ht="15.75">
      <c r="A31" s="23">
        <v>2222</v>
      </c>
      <c r="B31" s="26" t="s">
        <v>39</v>
      </c>
      <c r="C31" s="25">
        <v>2.78</v>
      </c>
      <c r="D31" s="25">
        <v>2.78</v>
      </c>
      <c r="E31" s="25">
        <f t="shared" si="1"/>
        <v>1.39</v>
      </c>
    </row>
    <row r="32" spans="1:5" ht="15.75">
      <c r="A32" s="23">
        <v>2223</v>
      </c>
      <c r="B32" s="26" t="s">
        <v>40</v>
      </c>
      <c r="C32" s="25">
        <v>4.1</v>
      </c>
      <c r="D32" s="25">
        <v>4.1</v>
      </c>
      <c r="E32" s="25">
        <f t="shared" si="1"/>
        <v>2.05</v>
      </c>
    </row>
    <row r="33" spans="1:5" ht="15.75">
      <c r="A33" s="23">
        <v>2230</v>
      </c>
      <c r="B33" s="26" t="s">
        <v>41</v>
      </c>
      <c r="C33" s="25">
        <v>1.72</v>
      </c>
      <c r="D33" s="25">
        <v>1.72</v>
      </c>
      <c r="E33" s="25">
        <f t="shared" si="1"/>
        <v>0.86</v>
      </c>
    </row>
    <row r="34" spans="1:5" ht="15.75">
      <c r="A34" s="23">
        <v>2241</v>
      </c>
      <c r="B34" s="26" t="s">
        <v>9</v>
      </c>
      <c r="C34" s="25">
        <v>3.1</v>
      </c>
      <c r="D34" s="25">
        <v>3.1</v>
      </c>
      <c r="E34" s="25">
        <f t="shared" si="1"/>
        <v>1.55</v>
      </c>
    </row>
    <row r="35" spans="1:5" ht="15.75">
      <c r="A35" s="23">
        <v>2242</v>
      </c>
      <c r="B35" s="26" t="s">
        <v>10</v>
      </c>
      <c r="C35" s="25">
        <v>1.27</v>
      </c>
      <c r="D35" s="25">
        <v>1.27</v>
      </c>
      <c r="E35" s="25">
        <f t="shared" si="1"/>
        <v>0.635</v>
      </c>
    </row>
    <row r="36" spans="1:5" ht="15.75">
      <c r="A36" s="23">
        <v>2243</v>
      </c>
      <c r="B36" s="26" t="s">
        <v>11</v>
      </c>
      <c r="C36" s="25">
        <v>3.18</v>
      </c>
      <c r="D36" s="25">
        <v>3.18</v>
      </c>
      <c r="E36" s="25">
        <f t="shared" si="1"/>
        <v>1.59</v>
      </c>
    </row>
    <row r="37" spans="1:5" ht="15.75">
      <c r="A37" s="22">
        <v>2244</v>
      </c>
      <c r="B37" s="26" t="s">
        <v>12</v>
      </c>
      <c r="C37" s="25">
        <v>5.46</v>
      </c>
      <c r="D37" s="25">
        <v>5.46</v>
      </c>
      <c r="E37" s="25">
        <f>D37/100*50+50*0.03</f>
        <v>4.23</v>
      </c>
    </row>
    <row r="38" spans="1:5" ht="15.75">
      <c r="A38" s="22">
        <v>2247</v>
      </c>
      <c r="B38" s="21" t="s">
        <v>62</v>
      </c>
      <c r="C38" s="25">
        <v>1.19</v>
      </c>
      <c r="D38" s="25">
        <v>1.19</v>
      </c>
      <c r="E38" s="25">
        <f t="shared" si="1"/>
        <v>0.595</v>
      </c>
    </row>
    <row r="39" spans="1:5" ht="15.75">
      <c r="A39" s="22">
        <v>2249</v>
      </c>
      <c r="B39" s="26" t="s">
        <v>13</v>
      </c>
      <c r="C39" s="25">
        <v>2.77</v>
      </c>
      <c r="D39" s="25">
        <v>2.77</v>
      </c>
      <c r="E39" s="25">
        <f t="shared" si="1"/>
        <v>1.385</v>
      </c>
    </row>
    <row r="40" spans="1:5" ht="15.75">
      <c r="A40" s="22">
        <v>2251</v>
      </c>
      <c r="B40" s="26" t="s">
        <v>63</v>
      </c>
      <c r="C40" s="25">
        <v>1.86</v>
      </c>
      <c r="D40" s="25">
        <v>1.86</v>
      </c>
      <c r="E40" s="25">
        <f t="shared" si="1"/>
        <v>0.93</v>
      </c>
    </row>
    <row r="41" spans="1:5" ht="15.75" hidden="1">
      <c r="A41" s="22">
        <v>2252</v>
      </c>
      <c r="B41" s="26" t="s">
        <v>7</v>
      </c>
      <c r="C41" s="25"/>
      <c r="D41" s="25"/>
      <c r="E41" s="25">
        <f t="shared" si="1"/>
        <v>0</v>
      </c>
    </row>
    <row r="42" spans="1:5" ht="15.75" hidden="1">
      <c r="A42" s="22">
        <v>2259</v>
      </c>
      <c r="B42" s="26" t="s">
        <v>8</v>
      </c>
      <c r="C42" s="25"/>
      <c r="D42" s="25"/>
      <c r="E42" s="25">
        <f t="shared" si="1"/>
        <v>0</v>
      </c>
    </row>
    <row r="43" spans="1:5" ht="15.75">
      <c r="A43" s="22">
        <v>2261</v>
      </c>
      <c r="B43" s="26" t="s">
        <v>14</v>
      </c>
      <c r="C43" s="25">
        <v>1.3</v>
      </c>
      <c r="D43" s="25">
        <v>1.3</v>
      </c>
      <c r="E43" s="25">
        <f t="shared" si="1"/>
        <v>0.65</v>
      </c>
    </row>
    <row r="44" spans="1:5" ht="15.75">
      <c r="A44" s="22">
        <v>2262</v>
      </c>
      <c r="B44" s="26" t="s">
        <v>15</v>
      </c>
      <c r="C44" s="25">
        <v>1.32</v>
      </c>
      <c r="D44" s="25">
        <v>1.32</v>
      </c>
      <c r="E44" s="25">
        <f t="shared" si="1"/>
        <v>0.66</v>
      </c>
    </row>
    <row r="45" spans="1:5" ht="15.75">
      <c r="A45" s="22">
        <v>2263</v>
      </c>
      <c r="B45" s="26" t="s">
        <v>16</v>
      </c>
      <c r="C45" s="25">
        <v>2.15</v>
      </c>
      <c r="D45" s="25">
        <v>2.15</v>
      </c>
      <c r="E45" s="25">
        <f t="shared" si="1"/>
        <v>1.075</v>
      </c>
    </row>
    <row r="46" spans="1:5" ht="15.75" hidden="1">
      <c r="A46" s="23">
        <v>2264</v>
      </c>
      <c r="B46" s="26" t="s">
        <v>17</v>
      </c>
      <c r="C46" s="25"/>
      <c r="D46" s="25"/>
      <c r="E46" s="25">
        <f t="shared" si="1"/>
        <v>0</v>
      </c>
    </row>
    <row r="47" spans="1:5" ht="15.75">
      <c r="A47" s="23">
        <v>2279</v>
      </c>
      <c r="B47" s="26" t="s">
        <v>18</v>
      </c>
      <c r="C47" s="25">
        <v>1.27</v>
      </c>
      <c r="D47" s="25">
        <v>1.27</v>
      </c>
      <c r="E47" s="25">
        <f t="shared" si="1"/>
        <v>0.635</v>
      </c>
    </row>
    <row r="48" spans="1:5" ht="15.75">
      <c r="A48" s="23">
        <v>2311</v>
      </c>
      <c r="B48" s="26" t="s">
        <v>19</v>
      </c>
      <c r="C48" s="25">
        <v>0.74</v>
      </c>
      <c r="D48" s="25">
        <v>0.74</v>
      </c>
      <c r="E48" s="25">
        <f t="shared" si="1"/>
        <v>0.37</v>
      </c>
    </row>
    <row r="49" spans="1:5" ht="15.75">
      <c r="A49" s="23">
        <v>2312</v>
      </c>
      <c r="B49" s="26" t="s">
        <v>20</v>
      </c>
      <c r="C49" s="25">
        <v>1.29</v>
      </c>
      <c r="D49" s="25">
        <v>1.29</v>
      </c>
      <c r="E49" s="25">
        <f t="shared" si="1"/>
        <v>0.645</v>
      </c>
    </row>
    <row r="50" spans="1:5" ht="15.75">
      <c r="A50" s="23">
        <v>2321</v>
      </c>
      <c r="B50" s="26" t="s">
        <v>21</v>
      </c>
      <c r="C50" s="25">
        <v>3.6</v>
      </c>
      <c r="D50" s="25">
        <v>3.6</v>
      </c>
      <c r="E50" s="25">
        <f t="shared" si="1"/>
        <v>1.8000000000000003</v>
      </c>
    </row>
    <row r="51" spans="1:5" ht="15.75">
      <c r="A51" s="23">
        <v>2322</v>
      </c>
      <c r="B51" s="26" t="s">
        <v>22</v>
      </c>
      <c r="C51" s="25">
        <v>2.93</v>
      </c>
      <c r="D51" s="25">
        <v>2.93</v>
      </c>
      <c r="E51" s="25">
        <f t="shared" si="1"/>
        <v>1.465</v>
      </c>
    </row>
    <row r="52" spans="1:5" ht="15.75">
      <c r="A52" s="23">
        <v>2341</v>
      </c>
      <c r="B52" s="26" t="s">
        <v>23</v>
      </c>
      <c r="C52" s="25">
        <v>1.55</v>
      </c>
      <c r="D52" s="25">
        <v>1.55</v>
      </c>
      <c r="E52" s="25">
        <f t="shared" si="1"/>
        <v>0.775</v>
      </c>
    </row>
    <row r="53" spans="1:5" ht="15.75">
      <c r="A53" s="23">
        <v>2344</v>
      </c>
      <c r="B53" s="26" t="s">
        <v>24</v>
      </c>
      <c r="C53" s="25"/>
      <c r="D53" s="25"/>
      <c r="E53" s="25">
        <f t="shared" si="1"/>
        <v>0</v>
      </c>
    </row>
    <row r="54" spans="1:5" ht="15.75">
      <c r="A54" s="23">
        <v>2350</v>
      </c>
      <c r="B54" s="26" t="s">
        <v>25</v>
      </c>
      <c r="C54" s="25">
        <v>2.89</v>
      </c>
      <c r="D54" s="25">
        <v>2.89</v>
      </c>
      <c r="E54" s="25">
        <f t="shared" si="1"/>
        <v>1.445</v>
      </c>
    </row>
    <row r="55" spans="1:5" ht="15.75">
      <c r="A55" s="23">
        <v>2361</v>
      </c>
      <c r="B55" s="26" t="s">
        <v>26</v>
      </c>
      <c r="C55" s="25">
        <v>2.75</v>
      </c>
      <c r="D55" s="25">
        <v>2.75</v>
      </c>
      <c r="E55" s="25">
        <f t="shared" si="1"/>
        <v>1.375</v>
      </c>
    </row>
    <row r="56" spans="1:5" ht="15.75" hidden="1">
      <c r="A56" s="23">
        <v>2362</v>
      </c>
      <c r="B56" s="26" t="s">
        <v>27</v>
      </c>
      <c r="C56" s="25"/>
      <c r="D56" s="25"/>
      <c r="E56" s="25">
        <f t="shared" si="1"/>
        <v>0</v>
      </c>
    </row>
    <row r="57" spans="1:5" ht="15.75" hidden="1">
      <c r="A57" s="23">
        <v>2363</v>
      </c>
      <c r="B57" s="26" t="s">
        <v>28</v>
      </c>
      <c r="C57" s="25"/>
      <c r="D57" s="25"/>
      <c r="E57" s="25">
        <f t="shared" si="1"/>
        <v>0</v>
      </c>
    </row>
    <row r="58" spans="1:5" ht="15.75" hidden="1">
      <c r="A58" s="23">
        <v>2370</v>
      </c>
      <c r="B58" s="26" t="s">
        <v>29</v>
      </c>
      <c r="C58" s="25"/>
      <c r="D58" s="25"/>
      <c r="E58" s="25">
        <f t="shared" si="1"/>
        <v>0</v>
      </c>
    </row>
    <row r="59" spans="1:5" ht="15.75">
      <c r="A59" s="23">
        <v>2400</v>
      </c>
      <c r="B59" s="26" t="s">
        <v>43</v>
      </c>
      <c r="C59" s="25">
        <v>0.54</v>
      </c>
      <c r="D59" s="25">
        <v>0.54</v>
      </c>
      <c r="E59" s="25">
        <f t="shared" si="1"/>
        <v>0.27</v>
      </c>
    </row>
    <row r="60" spans="1:5" ht="15.75" hidden="1">
      <c r="A60" s="23">
        <v>2512</v>
      </c>
      <c r="B60" s="26" t="s">
        <v>30</v>
      </c>
      <c r="C60" s="25"/>
      <c r="D60" s="25"/>
      <c r="E60" s="25">
        <f t="shared" si="1"/>
        <v>0</v>
      </c>
    </row>
    <row r="61" spans="1:5" ht="15.75">
      <c r="A61" s="23">
        <v>2513</v>
      </c>
      <c r="B61" s="26" t="s">
        <v>31</v>
      </c>
      <c r="C61" s="25">
        <v>2.89</v>
      </c>
      <c r="D61" s="25">
        <v>2.89</v>
      </c>
      <c r="E61" s="25">
        <f t="shared" si="1"/>
        <v>1.445</v>
      </c>
    </row>
    <row r="62" spans="1:5" ht="15.75">
      <c r="A62" s="23">
        <v>2515</v>
      </c>
      <c r="B62" s="26" t="s">
        <v>64</v>
      </c>
      <c r="C62" s="25">
        <v>0.78</v>
      </c>
      <c r="D62" s="25">
        <v>0.78</v>
      </c>
      <c r="E62" s="25">
        <f t="shared" si="1"/>
        <v>0.39</v>
      </c>
    </row>
    <row r="63" spans="1:5" ht="15.75">
      <c r="A63" s="23">
        <v>2519</v>
      </c>
      <c r="B63" s="26" t="s">
        <v>34</v>
      </c>
      <c r="C63" s="25">
        <v>1.08</v>
      </c>
      <c r="D63" s="25">
        <v>1.08</v>
      </c>
      <c r="E63" s="25">
        <f t="shared" si="1"/>
        <v>0.54</v>
      </c>
    </row>
    <row r="64" spans="1:5" ht="15.75" hidden="1">
      <c r="A64" s="23">
        <v>6240</v>
      </c>
      <c r="B64" s="26"/>
      <c r="C64" s="25"/>
      <c r="D64" s="25"/>
      <c r="E64" s="25">
        <f t="shared" si="1"/>
        <v>0</v>
      </c>
    </row>
    <row r="65" spans="1:5" ht="15.75" hidden="1">
      <c r="A65" s="23">
        <v>6290</v>
      </c>
      <c r="B65" s="26"/>
      <c r="C65" s="25"/>
      <c r="D65" s="25"/>
      <c r="E65" s="25">
        <f t="shared" si="1"/>
        <v>0</v>
      </c>
    </row>
    <row r="66" spans="1:5" ht="15.75">
      <c r="A66" s="23">
        <v>5121</v>
      </c>
      <c r="B66" s="26" t="s">
        <v>32</v>
      </c>
      <c r="C66" s="25">
        <v>0.13</v>
      </c>
      <c r="D66" s="25">
        <v>0.13</v>
      </c>
      <c r="E66" s="25">
        <f t="shared" si="1"/>
        <v>0.065</v>
      </c>
    </row>
    <row r="67" spans="1:5" ht="15.75">
      <c r="A67" s="23">
        <v>5232</v>
      </c>
      <c r="B67" s="26" t="s">
        <v>33</v>
      </c>
      <c r="C67" s="25">
        <v>0.48</v>
      </c>
      <c r="D67" s="25">
        <v>0.84</v>
      </c>
      <c r="E67" s="25">
        <f t="shared" si="1"/>
        <v>0.42</v>
      </c>
    </row>
    <row r="68" spans="1:5" ht="15.75">
      <c r="A68" s="23">
        <v>5238</v>
      </c>
      <c r="B68" s="26" t="s">
        <v>35</v>
      </c>
      <c r="C68" s="25">
        <v>0.43</v>
      </c>
      <c r="D68" s="25">
        <v>0.43</v>
      </c>
      <c r="E68" s="25">
        <f t="shared" si="1"/>
        <v>0.215</v>
      </c>
    </row>
    <row r="69" spans="1:5" ht="15.75">
      <c r="A69" s="23">
        <v>5240</v>
      </c>
      <c r="B69" s="26" t="s">
        <v>36</v>
      </c>
      <c r="C69" s="25">
        <v>0.6</v>
      </c>
      <c r="D69" s="25">
        <v>0.6</v>
      </c>
      <c r="E69" s="25">
        <f t="shared" si="1"/>
        <v>0.3</v>
      </c>
    </row>
    <row r="70" spans="1:5" ht="15.75" hidden="1">
      <c r="A70" s="22">
        <v>5250</v>
      </c>
      <c r="B70" s="26" t="s">
        <v>37</v>
      </c>
      <c r="C70" s="25"/>
      <c r="D70" s="25"/>
      <c r="E70" s="25"/>
    </row>
    <row r="71" spans="1:5" ht="15.75">
      <c r="A71" s="33"/>
      <c r="B71" s="34" t="s">
        <v>65</v>
      </c>
      <c r="C71" s="28">
        <f>SUM(C28:C70)</f>
        <v>183.98000000000002</v>
      </c>
      <c r="D71" s="28">
        <f>SUM(D28:D70)</f>
        <v>184.34000000000006</v>
      </c>
      <c r="E71" s="28">
        <f>SUM(E28:E70)</f>
        <v>93.67000000000002</v>
      </c>
    </row>
    <row r="72" spans="1:5" ht="15.75">
      <c r="A72" s="33"/>
      <c r="B72" s="34" t="s">
        <v>66</v>
      </c>
      <c r="C72" s="28">
        <f>C71+C26</f>
        <v>700</v>
      </c>
      <c r="D72" s="28">
        <f>D71+D26</f>
        <v>794.9999999999999</v>
      </c>
      <c r="E72" s="28">
        <f>E71+E26</f>
        <v>411.99999999999994</v>
      </c>
    </row>
    <row r="73" spans="1:5" ht="15.75">
      <c r="A73" s="9"/>
      <c r="B73" s="14"/>
      <c r="C73" s="62"/>
      <c r="D73" s="62"/>
      <c r="E73" s="62"/>
    </row>
    <row r="74" spans="1:5" ht="15.75">
      <c r="A74" s="212" t="s">
        <v>45</v>
      </c>
      <c r="B74" s="213"/>
      <c r="C74" s="17">
        <v>100</v>
      </c>
      <c r="D74" s="17">
        <v>100</v>
      </c>
      <c r="E74" s="160">
        <v>50</v>
      </c>
    </row>
    <row r="75" spans="1:5" ht="15.75">
      <c r="A75" s="212" t="s">
        <v>54</v>
      </c>
      <c r="B75" s="213"/>
      <c r="C75" s="28">
        <f>ROUND(C72/C74,2)</f>
        <v>7</v>
      </c>
      <c r="D75" s="28">
        <f>ROUND(D72/D74,2)</f>
        <v>7.95</v>
      </c>
      <c r="E75" s="164">
        <f>ROUND(E72/E74,2)</f>
        <v>8.24</v>
      </c>
    </row>
    <row r="76" spans="1:5" ht="15.75">
      <c r="A76" s="50"/>
      <c r="B76" s="43"/>
      <c r="C76" s="51"/>
      <c r="D76" s="51"/>
      <c r="E76" s="51"/>
    </row>
    <row r="77" spans="1:5" ht="15.75">
      <c r="A77" s="214" t="s">
        <v>46</v>
      </c>
      <c r="B77" s="215"/>
      <c r="C77" s="44"/>
      <c r="D77" s="44"/>
      <c r="E77" s="44"/>
    </row>
    <row r="78" spans="1:5" ht="15.75">
      <c r="A78" s="214" t="s">
        <v>56</v>
      </c>
      <c r="B78" s="215"/>
      <c r="C78" s="73"/>
      <c r="D78" s="73"/>
      <c r="E78" s="44"/>
    </row>
    <row r="79" spans="1:5" ht="15.75">
      <c r="A79" s="38"/>
      <c r="B79" s="38"/>
      <c r="C79" s="38"/>
      <c r="D79" s="38"/>
      <c r="E79" s="38"/>
    </row>
    <row r="80" spans="1:5" ht="15.75">
      <c r="A80" s="38" t="s">
        <v>47</v>
      </c>
      <c r="B80" s="38"/>
      <c r="C80" s="38"/>
      <c r="D80" s="38"/>
      <c r="E80" s="38"/>
    </row>
    <row r="81" spans="1:5" ht="15.75">
      <c r="A81" s="38"/>
      <c r="B81" s="38"/>
      <c r="C81" s="38"/>
      <c r="D81" s="38"/>
      <c r="E81" s="38"/>
    </row>
    <row r="82" spans="1:5" ht="15.75">
      <c r="A82" s="38"/>
      <c r="B82" s="39"/>
      <c r="C82" s="39"/>
      <c r="D82" s="39"/>
      <c r="E82" s="38"/>
    </row>
    <row r="83" spans="1:5" ht="15.75">
      <c r="A83" s="38"/>
      <c r="B83" s="101"/>
      <c r="C83" s="40"/>
      <c r="D83" s="40"/>
      <c r="E83" s="38"/>
    </row>
    <row r="84" spans="1:5" ht="15">
      <c r="A84" s="4"/>
      <c r="B84" s="61"/>
      <c r="C84" s="61"/>
      <c r="D84" s="61"/>
      <c r="E84" s="6"/>
    </row>
  </sheetData>
  <sheetProtection/>
  <mergeCells count="7">
    <mergeCell ref="A75:B75"/>
    <mergeCell ref="A77:B77"/>
    <mergeCell ref="A78:B78"/>
    <mergeCell ref="A3:E3"/>
    <mergeCell ref="A4:B4"/>
    <mergeCell ref="A5:B5"/>
    <mergeCell ref="A74:B74"/>
  </mergeCells>
  <printOptions/>
  <pageMargins left="0.7" right="0.7" top="0.75" bottom="0.75" header="0.3" footer="0.3"/>
  <pageSetup fitToHeight="0" fitToWidth="1" horizontalDpi="600" verticalDpi="600" orientation="portrait" paperSize="9" scale="62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Layout" workbookViewId="0" topLeftCell="A59">
      <selection activeCell="A82" sqref="A82"/>
    </sheetView>
  </sheetViews>
  <sheetFormatPr defaultColWidth="9.140625" defaultRowHeight="12.75"/>
  <cols>
    <col min="1" max="1" width="13.28125" style="4" customWidth="1"/>
    <col min="2" max="2" width="94.7109375" style="4" customWidth="1"/>
    <col min="3" max="3" width="25.57421875" style="4" hidden="1" customWidth="1"/>
    <col min="4" max="4" width="18.28125" style="4" hidden="1" customWidth="1"/>
    <col min="5" max="7" width="21.57421875" style="4" hidden="1" customWidth="1"/>
    <col min="8" max="8" width="33.140625" style="4" customWidth="1"/>
  </cols>
  <sheetData>
    <row r="1" spans="2:8" ht="15.75">
      <c r="B1" s="13"/>
      <c r="C1" s="13"/>
      <c r="D1" s="13"/>
      <c r="E1" s="77"/>
      <c r="F1" s="15"/>
      <c r="G1" s="15"/>
      <c r="H1" s="13"/>
    </row>
    <row r="2" spans="2:8" ht="15.75">
      <c r="B2" s="12"/>
      <c r="C2" s="12"/>
      <c r="D2" s="12"/>
      <c r="E2" s="76"/>
      <c r="F2" s="76"/>
      <c r="G2" s="76"/>
      <c r="H2" s="9"/>
    </row>
    <row r="3" ht="15">
      <c r="E3" s="64"/>
    </row>
    <row r="4" spans="1:8" ht="18.75">
      <c r="A4" s="193" t="s">
        <v>6</v>
      </c>
      <c r="B4" s="193"/>
      <c r="C4" s="193"/>
      <c r="D4" s="193"/>
      <c r="E4" s="193"/>
      <c r="F4" s="193"/>
      <c r="G4" s="193"/>
      <c r="H4" s="193"/>
    </row>
    <row r="5" spans="2:5" ht="15">
      <c r="B5" s="218"/>
      <c r="C5" s="218"/>
      <c r="D5" s="218"/>
      <c r="E5" s="218"/>
    </row>
    <row r="6" spans="1:8" ht="15.75">
      <c r="A6" s="195" t="s">
        <v>1</v>
      </c>
      <c r="B6" s="195"/>
      <c r="C6" s="195"/>
      <c r="D6" s="195"/>
      <c r="E6" s="195"/>
      <c r="F6" s="15"/>
      <c r="G6" s="15"/>
      <c r="H6" s="15"/>
    </row>
    <row r="7" spans="1:8" ht="15.75">
      <c r="A7" s="195" t="s">
        <v>0</v>
      </c>
      <c r="B7" s="195"/>
      <c r="C7" s="195"/>
      <c r="D7" s="195"/>
      <c r="E7" s="195"/>
      <c r="F7" s="15"/>
      <c r="G7" s="15"/>
      <c r="H7" s="14"/>
    </row>
    <row r="8" spans="1:8" ht="15.75">
      <c r="A8" s="8"/>
      <c r="B8" s="195" t="s">
        <v>44</v>
      </c>
      <c r="C8" s="195"/>
      <c r="D8" s="195"/>
      <c r="E8" s="195"/>
      <c r="F8" s="25"/>
      <c r="G8" s="85"/>
      <c r="H8" s="14"/>
    </row>
    <row r="9" spans="1:8" ht="15.75">
      <c r="A9" s="8"/>
      <c r="B9" s="195" t="s">
        <v>100</v>
      </c>
      <c r="C9" s="195"/>
      <c r="D9" s="195"/>
      <c r="E9" s="195"/>
      <c r="F9" s="25"/>
      <c r="G9" s="15"/>
      <c r="H9" s="15"/>
    </row>
    <row r="10" spans="1:8" ht="15.75">
      <c r="A10" s="8"/>
      <c r="B10" s="195" t="s">
        <v>101</v>
      </c>
      <c r="C10" s="195"/>
      <c r="D10" s="195"/>
      <c r="E10" s="195"/>
      <c r="F10" s="85"/>
      <c r="G10" s="85"/>
      <c r="H10" s="15"/>
    </row>
    <row r="11" spans="1:8" ht="15.75">
      <c r="A11" s="8" t="s">
        <v>2</v>
      </c>
      <c r="B11" s="8" t="s">
        <v>205</v>
      </c>
      <c r="C11" s="8"/>
      <c r="D11" s="8"/>
      <c r="E11" s="8"/>
      <c r="F11" s="15"/>
      <c r="G11" s="85"/>
      <c r="H11" s="15"/>
    </row>
    <row r="12" spans="1:8" ht="15.75" hidden="1">
      <c r="A12" s="15"/>
      <c r="B12" s="16"/>
      <c r="C12" s="16"/>
      <c r="D12" s="16"/>
      <c r="E12" s="77"/>
      <c r="F12" s="15"/>
      <c r="G12" s="15"/>
      <c r="H12" s="15"/>
    </row>
    <row r="13" spans="1:8" ht="47.25">
      <c r="A13" s="59" t="s">
        <v>3</v>
      </c>
      <c r="B13" s="59" t="s">
        <v>4</v>
      </c>
      <c r="C13" s="59"/>
      <c r="D13" s="59"/>
      <c r="E13" s="59"/>
      <c r="F13" s="59"/>
      <c r="G13" s="59"/>
      <c r="H13" s="59" t="s">
        <v>5</v>
      </c>
    </row>
    <row r="14" spans="1:8" ht="15.75">
      <c r="A14" s="18">
        <v>1</v>
      </c>
      <c r="B14" s="19">
        <v>2</v>
      </c>
      <c r="C14" s="18">
        <v>3</v>
      </c>
      <c r="D14" s="19"/>
      <c r="E14" s="18">
        <v>3</v>
      </c>
      <c r="F14" s="19">
        <v>4</v>
      </c>
      <c r="G14" s="19"/>
      <c r="H14" s="19">
        <v>3</v>
      </c>
    </row>
    <row r="15" spans="1:8" ht="15.75">
      <c r="A15" s="18"/>
      <c r="B15" s="21" t="s">
        <v>71</v>
      </c>
      <c r="C15" s="79"/>
      <c r="D15" s="21"/>
      <c r="E15" s="79"/>
      <c r="F15" s="22"/>
      <c r="G15" s="22"/>
      <c r="H15" s="22"/>
    </row>
    <row r="16" spans="1:8" ht="15.75">
      <c r="A16" s="23">
        <v>1100</v>
      </c>
      <c r="B16" s="23" t="s">
        <v>72</v>
      </c>
      <c r="C16" s="25">
        <v>12138.06</v>
      </c>
      <c r="D16" s="25">
        <f>ROUND(C16/0.702804,2)</f>
        <v>17270.9</v>
      </c>
      <c r="E16" s="25">
        <f>ROUND(D16/8941*345,2)</f>
        <v>666.42</v>
      </c>
      <c r="F16" s="25">
        <v>693.08</v>
      </c>
      <c r="G16" s="25">
        <v>880.21</v>
      </c>
      <c r="H16" s="25">
        <f>G16/345*50+50*0.24</f>
        <v>139.56666666666666</v>
      </c>
    </row>
    <row r="17" spans="1:8" ht="15.75" customHeight="1">
      <c r="A17" s="23">
        <v>1200</v>
      </c>
      <c r="B17" s="32" t="s">
        <v>73</v>
      </c>
      <c r="C17" s="47">
        <v>2863.37</v>
      </c>
      <c r="D17" s="25">
        <f>ROUND(C17/0.702804,2)</f>
        <v>4074.21</v>
      </c>
      <c r="E17" s="25">
        <f>ROUND(D17/8941*345,2)</f>
        <v>157.21</v>
      </c>
      <c r="F17" s="25">
        <v>163.5</v>
      </c>
      <c r="G17" s="25">
        <v>212.04</v>
      </c>
      <c r="H17" s="25">
        <f>G17/345*50+50*0.06</f>
        <v>33.7304347826087</v>
      </c>
    </row>
    <row r="18" spans="1:8" ht="15.75" hidden="1">
      <c r="A18" s="31">
        <v>2341</v>
      </c>
      <c r="B18" s="32" t="s">
        <v>23</v>
      </c>
      <c r="C18" s="25">
        <v>0</v>
      </c>
      <c r="D18" s="32"/>
      <c r="E18" s="25">
        <v>0</v>
      </c>
      <c r="F18" s="25">
        <f aca="true" t="shared" si="0" ref="F18:F24">E18/8941*200</f>
        <v>0</v>
      </c>
      <c r="G18" s="25">
        <f>F18</f>
        <v>0</v>
      </c>
      <c r="H18" s="25">
        <f aca="true" t="shared" si="1" ref="H18:H24">G18/345*50</f>
        <v>0</v>
      </c>
    </row>
    <row r="19" spans="1:8" ht="15.75" hidden="1">
      <c r="A19" s="23">
        <v>2249</v>
      </c>
      <c r="B19" s="32" t="s">
        <v>13</v>
      </c>
      <c r="C19" s="25">
        <v>0</v>
      </c>
      <c r="D19" s="32"/>
      <c r="E19" s="25">
        <v>0</v>
      </c>
      <c r="F19" s="25">
        <f t="shared" si="0"/>
        <v>0</v>
      </c>
      <c r="G19" s="25">
        <f aca="true" t="shared" si="2" ref="G19:G24">F19</f>
        <v>0</v>
      </c>
      <c r="H19" s="25">
        <f t="shared" si="1"/>
        <v>0</v>
      </c>
    </row>
    <row r="20" spans="1:8" ht="15.75" hidden="1">
      <c r="A20" s="23">
        <v>2341</v>
      </c>
      <c r="B20" s="32" t="s">
        <v>23</v>
      </c>
      <c r="C20" s="25"/>
      <c r="D20" s="32"/>
      <c r="E20" s="25"/>
      <c r="F20" s="25">
        <f t="shared" si="0"/>
        <v>0</v>
      </c>
      <c r="G20" s="25">
        <f t="shared" si="2"/>
        <v>0</v>
      </c>
      <c r="H20" s="25">
        <f t="shared" si="1"/>
        <v>0</v>
      </c>
    </row>
    <row r="21" spans="1:8" ht="15.75" hidden="1">
      <c r="A21" s="23">
        <v>2350</v>
      </c>
      <c r="B21" s="32" t="s">
        <v>25</v>
      </c>
      <c r="C21" s="25"/>
      <c r="D21" s="32"/>
      <c r="E21" s="25"/>
      <c r="F21" s="25">
        <f t="shared" si="0"/>
        <v>0</v>
      </c>
      <c r="G21" s="25">
        <f t="shared" si="2"/>
        <v>0</v>
      </c>
      <c r="H21" s="25">
        <f t="shared" si="1"/>
        <v>0</v>
      </c>
    </row>
    <row r="22" spans="1:8" ht="15.75" hidden="1">
      <c r="A22" s="23"/>
      <c r="B22" s="32"/>
      <c r="C22" s="25"/>
      <c r="D22" s="32"/>
      <c r="E22" s="25"/>
      <c r="F22" s="25">
        <f t="shared" si="0"/>
        <v>0</v>
      </c>
      <c r="G22" s="25">
        <f t="shared" si="2"/>
        <v>0</v>
      </c>
      <c r="H22" s="25">
        <f t="shared" si="1"/>
        <v>0</v>
      </c>
    </row>
    <row r="23" spans="1:8" ht="15.75" hidden="1">
      <c r="A23" s="23"/>
      <c r="B23" s="32"/>
      <c r="C23" s="25"/>
      <c r="D23" s="32"/>
      <c r="E23" s="25"/>
      <c r="F23" s="25">
        <f t="shared" si="0"/>
        <v>0</v>
      </c>
      <c r="G23" s="25">
        <f t="shared" si="2"/>
        <v>0</v>
      </c>
      <c r="H23" s="25">
        <f>G23/345*50</f>
        <v>0</v>
      </c>
    </row>
    <row r="24" spans="1:8" ht="15.75" hidden="1">
      <c r="A24" s="23"/>
      <c r="B24" s="23"/>
      <c r="C24" s="25"/>
      <c r="D24" s="23"/>
      <c r="E24" s="25"/>
      <c r="F24" s="25">
        <f t="shared" si="0"/>
        <v>0</v>
      </c>
      <c r="G24" s="25">
        <f t="shared" si="2"/>
        <v>0</v>
      </c>
      <c r="H24" s="25">
        <f t="shared" si="1"/>
        <v>0</v>
      </c>
    </row>
    <row r="25" spans="1:8" ht="15.75">
      <c r="A25" s="23"/>
      <c r="B25" s="46" t="s">
        <v>74</v>
      </c>
      <c r="C25" s="28">
        <f aca="true" t="shared" si="3" ref="C25:H25">SUM(C16:C24)</f>
        <v>15001.43</v>
      </c>
      <c r="D25" s="28">
        <f t="shared" si="3"/>
        <v>21345.11</v>
      </c>
      <c r="E25" s="28">
        <f t="shared" si="3"/>
        <v>823.63</v>
      </c>
      <c r="F25" s="28">
        <f t="shared" si="3"/>
        <v>856.58</v>
      </c>
      <c r="G25" s="28">
        <f t="shared" si="3"/>
        <v>1092.25</v>
      </c>
      <c r="H25" s="28">
        <f t="shared" si="3"/>
        <v>173.29710144927537</v>
      </c>
    </row>
    <row r="26" spans="1:8" ht="15.75">
      <c r="A26" s="29"/>
      <c r="B26" s="23" t="s">
        <v>75</v>
      </c>
      <c r="C26" s="25"/>
      <c r="D26" s="23"/>
      <c r="E26" s="25"/>
      <c r="F26" s="25"/>
      <c r="G26" s="25"/>
      <c r="H26" s="25"/>
    </row>
    <row r="27" spans="1:8" ht="15.75">
      <c r="A27" s="23">
        <v>1100</v>
      </c>
      <c r="B27" s="23" t="s">
        <v>72</v>
      </c>
      <c r="C27" s="25">
        <v>8969.98</v>
      </c>
      <c r="D27" s="68">
        <f aca="true" t="shared" si="4" ref="D27:D69">ROUND(C27/0.702804,2)</f>
        <v>12763.13</v>
      </c>
      <c r="E27" s="25">
        <f aca="true" t="shared" si="5" ref="E27:E68">ROUND(D27/8941*345,2)</f>
        <v>492.48</v>
      </c>
      <c r="F27" s="25">
        <v>507.25</v>
      </c>
      <c r="G27" s="25">
        <v>505.21</v>
      </c>
      <c r="H27" s="25">
        <f aca="true" t="shared" si="6" ref="H27:H70">G27/345*50</f>
        <v>73.21884057971015</v>
      </c>
    </row>
    <row r="28" spans="1:8" ht="15.75" customHeight="1">
      <c r="A28" s="23">
        <v>1200</v>
      </c>
      <c r="B28" s="32" t="s">
        <v>73</v>
      </c>
      <c r="C28" s="47">
        <v>2116.02</v>
      </c>
      <c r="D28" s="68">
        <f t="shared" si="4"/>
        <v>3010.83</v>
      </c>
      <c r="E28" s="25">
        <f t="shared" si="5"/>
        <v>116.18</v>
      </c>
      <c r="F28" s="25">
        <v>119.66</v>
      </c>
      <c r="G28" s="25">
        <v>121.7</v>
      </c>
      <c r="H28" s="25">
        <f t="shared" si="6"/>
        <v>17.63768115942029</v>
      </c>
    </row>
    <row r="29" spans="1:8" ht="15.75" hidden="1">
      <c r="A29" s="23">
        <v>2100</v>
      </c>
      <c r="B29" s="30" t="s">
        <v>42</v>
      </c>
      <c r="C29" s="25"/>
      <c r="D29" s="68">
        <f t="shared" si="4"/>
        <v>0</v>
      </c>
      <c r="E29" s="25">
        <f t="shared" si="5"/>
        <v>0</v>
      </c>
      <c r="F29" s="25">
        <f aca="true" t="shared" si="7" ref="F29:F69">E29</f>
        <v>0</v>
      </c>
      <c r="G29" s="25">
        <f aca="true" t="shared" si="8" ref="G29:G70">F29</f>
        <v>0</v>
      </c>
      <c r="H29" s="25">
        <f t="shared" si="6"/>
        <v>0</v>
      </c>
    </row>
    <row r="30" spans="1:8" ht="15.75">
      <c r="A30" s="31">
        <v>2210</v>
      </c>
      <c r="B30" s="32" t="s">
        <v>38</v>
      </c>
      <c r="C30" s="25">
        <v>109</v>
      </c>
      <c r="D30" s="68">
        <f t="shared" si="4"/>
        <v>155.09</v>
      </c>
      <c r="E30" s="25">
        <f t="shared" si="5"/>
        <v>5.98</v>
      </c>
      <c r="F30" s="25">
        <f t="shared" si="7"/>
        <v>5.98</v>
      </c>
      <c r="G30" s="25">
        <f t="shared" si="8"/>
        <v>5.98</v>
      </c>
      <c r="H30" s="25">
        <f t="shared" si="6"/>
        <v>0.8666666666666668</v>
      </c>
    </row>
    <row r="31" spans="1:8" ht="15.75">
      <c r="A31" s="23">
        <v>2222</v>
      </c>
      <c r="B31" s="32" t="s">
        <v>39</v>
      </c>
      <c r="C31" s="25">
        <v>110</v>
      </c>
      <c r="D31" s="68">
        <f t="shared" si="4"/>
        <v>156.52</v>
      </c>
      <c r="E31" s="25">
        <f t="shared" si="5"/>
        <v>6.04</v>
      </c>
      <c r="F31" s="25">
        <f t="shared" si="7"/>
        <v>6.04</v>
      </c>
      <c r="G31" s="25">
        <f t="shared" si="8"/>
        <v>6.04</v>
      </c>
      <c r="H31" s="25">
        <f t="shared" si="6"/>
        <v>0.8753623188405797</v>
      </c>
    </row>
    <row r="32" spans="1:8" ht="15.75">
      <c r="A32" s="23">
        <v>2223</v>
      </c>
      <c r="B32" s="32" t="s">
        <v>40</v>
      </c>
      <c r="C32" s="25">
        <v>69</v>
      </c>
      <c r="D32" s="68">
        <f t="shared" si="4"/>
        <v>98.18</v>
      </c>
      <c r="E32" s="25">
        <f t="shared" si="5"/>
        <v>3.79</v>
      </c>
      <c r="F32" s="25">
        <f t="shared" si="7"/>
        <v>3.79</v>
      </c>
      <c r="G32" s="25">
        <f t="shared" si="8"/>
        <v>3.79</v>
      </c>
      <c r="H32" s="25">
        <f t="shared" si="6"/>
        <v>0.5492753623188406</v>
      </c>
    </row>
    <row r="33" spans="1:8" ht="15.75">
      <c r="A33" s="23">
        <v>2230</v>
      </c>
      <c r="B33" s="32" t="s">
        <v>41</v>
      </c>
      <c r="C33" s="25">
        <v>68</v>
      </c>
      <c r="D33" s="68">
        <f t="shared" si="4"/>
        <v>96.76</v>
      </c>
      <c r="E33" s="25">
        <f t="shared" si="5"/>
        <v>3.73</v>
      </c>
      <c r="F33" s="25">
        <f t="shared" si="7"/>
        <v>3.73</v>
      </c>
      <c r="G33" s="25">
        <f t="shared" si="8"/>
        <v>3.73</v>
      </c>
      <c r="H33" s="25">
        <f t="shared" si="6"/>
        <v>0.5405797101449276</v>
      </c>
    </row>
    <row r="34" spans="1:8" ht="15.75" hidden="1">
      <c r="A34" s="22">
        <v>2241</v>
      </c>
      <c r="B34" s="26" t="s">
        <v>9</v>
      </c>
      <c r="C34" s="80"/>
      <c r="D34" s="68">
        <f t="shared" si="4"/>
        <v>0</v>
      </c>
      <c r="E34" s="25">
        <f t="shared" si="5"/>
        <v>0</v>
      </c>
      <c r="F34" s="25">
        <f t="shared" si="7"/>
        <v>0</v>
      </c>
      <c r="G34" s="25">
        <f t="shared" si="8"/>
        <v>0</v>
      </c>
      <c r="H34" s="25">
        <f t="shared" si="6"/>
        <v>0</v>
      </c>
    </row>
    <row r="35" spans="1:8" ht="15.75">
      <c r="A35" s="22">
        <v>2242</v>
      </c>
      <c r="B35" s="26" t="s">
        <v>10</v>
      </c>
      <c r="C35" s="80">
        <v>50</v>
      </c>
      <c r="D35" s="68">
        <f t="shared" si="4"/>
        <v>71.14</v>
      </c>
      <c r="E35" s="25">
        <f t="shared" si="5"/>
        <v>2.75</v>
      </c>
      <c r="F35" s="25">
        <f t="shared" si="7"/>
        <v>2.75</v>
      </c>
      <c r="G35" s="25">
        <f t="shared" si="8"/>
        <v>2.75</v>
      </c>
      <c r="H35" s="25">
        <f t="shared" si="6"/>
        <v>0.39855072463768115</v>
      </c>
    </row>
    <row r="36" spans="1:8" ht="15.75">
      <c r="A36" s="22">
        <v>2243</v>
      </c>
      <c r="B36" s="26" t="s">
        <v>11</v>
      </c>
      <c r="C36" s="80">
        <v>170</v>
      </c>
      <c r="D36" s="68">
        <f t="shared" si="4"/>
        <v>241.89</v>
      </c>
      <c r="E36" s="25">
        <f t="shared" si="5"/>
        <v>9.33</v>
      </c>
      <c r="F36" s="25">
        <f t="shared" si="7"/>
        <v>9.33</v>
      </c>
      <c r="G36" s="25">
        <f t="shared" si="8"/>
        <v>9.33</v>
      </c>
      <c r="H36" s="25">
        <f t="shared" si="6"/>
        <v>1.3521739130434782</v>
      </c>
    </row>
    <row r="37" spans="1:8" ht="15.75">
      <c r="A37" s="22">
        <v>2244</v>
      </c>
      <c r="B37" s="26" t="s">
        <v>12</v>
      </c>
      <c r="C37" s="80">
        <v>2518.04</v>
      </c>
      <c r="D37" s="68">
        <f t="shared" si="4"/>
        <v>3582.85</v>
      </c>
      <c r="E37" s="25">
        <f t="shared" si="5"/>
        <v>138.25</v>
      </c>
      <c r="F37" s="25">
        <f t="shared" si="7"/>
        <v>138.25</v>
      </c>
      <c r="G37" s="25">
        <f t="shared" si="8"/>
        <v>138.25</v>
      </c>
      <c r="H37" s="25">
        <f>G37/345*50+50*0.09</f>
        <v>24.53623188405797</v>
      </c>
    </row>
    <row r="38" spans="1:8" ht="15.75">
      <c r="A38" s="22">
        <v>2247</v>
      </c>
      <c r="B38" s="21" t="s">
        <v>76</v>
      </c>
      <c r="C38" s="80">
        <v>14</v>
      </c>
      <c r="D38" s="68">
        <f t="shared" si="4"/>
        <v>19.92</v>
      </c>
      <c r="E38" s="25">
        <f t="shared" si="5"/>
        <v>0.77</v>
      </c>
      <c r="F38" s="25">
        <f t="shared" si="7"/>
        <v>0.77</v>
      </c>
      <c r="G38" s="25">
        <f t="shared" si="8"/>
        <v>0.77</v>
      </c>
      <c r="H38" s="25">
        <f t="shared" si="6"/>
        <v>0.11159420289855074</v>
      </c>
    </row>
    <row r="39" spans="1:8" ht="15.75">
      <c r="A39" s="22">
        <v>2249</v>
      </c>
      <c r="B39" s="26" t="s">
        <v>13</v>
      </c>
      <c r="C39" s="80">
        <v>62</v>
      </c>
      <c r="D39" s="68">
        <f t="shared" si="4"/>
        <v>88.22</v>
      </c>
      <c r="E39" s="25">
        <f t="shared" si="5"/>
        <v>3.4</v>
      </c>
      <c r="F39" s="25">
        <f t="shared" si="7"/>
        <v>3.4</v>
      </c>
      <c r="G39" s="25">
        <f t="shared" si="8"/>
        <v>3.4</v>
      </c>
      <c r="H39" s="25">
        <f t="shared" si="6"/>
        <v>0.49275362318840576</v>
      </c>
    </row>
    <row r="40" spans="1:8" ht="15.75">
      <c r="A40" s="22">
        <v>2251</v>
      </c>
      <c r="B40" s="26" t="s">
        <v>77</v>
      </c>
      <c r="C40" s="80">
        <v>187</v>
      </c>
      <c r="D40" s="68">
        <f t="shared" si="4"/>
        <v>266.08</v>
      </c>
      <c r="E40" s="25">
        <f t="shared" si="5"/>
        <v>10.27</v>
      </c>
      <c r="F40" s="25">
        <f t="shared" si="7"/>
        <v>10.27</v>
      </c>
      <c r="G40" s="25">
        <f t="shared" si="8"/>
        <v>10.27</v>
      </c>
      <c r="H40" s="25">
        <f t="shared" si="6"/>
        <v>1.4884057971014493</v>
      </c>
    </row>
    <row r="41" spans="1:8" ht="15.75" hidden="1">
      <c r="A41" s="22">
        <v>2252</v>
      </c>
      <c r="B41" s="26" t="s">
        <v>7</v>
      </c>
      <c r="C41" s="80"/>
      <c r="D41" s="68">
        <f t="shared" si="4"/>
        <v>0</v>
      </c>
      <c r="E41" s="25">
        <f t="shared" si="5"/>
        <v>0</v>
      </c>
      <c r="F41" s="25">
        <f t="shared" si="7"/>
        <v>0</v>
      </c>
      <c r="G41" s="25">
        <f t="shared" si="8"/>
        <v>0</v>
      </c>
      <c r="H41" s="25">
        <f t="shared" si="6"/>
        <v>0</v>
      </c>
    </row>
    <row r="42" spans="1:8" ht="15.75" hidden="1">
      <c r="A42" s="22">
        <v>2259</v>
      </c>
      <c r="B42" s="26" t="s">
        <v>8</v>
      </c>
      <c r="C42" s="80"/>
      <c r="D42" s="68">
        <f t="shared" si="4"/>
        <v>0</v>
      </c>
      <c r="E42" s="25">
        <f t="shared" si="5"/>
        <v>0</v>
      </c>
      <c r="F42" s="25">
        <f t="shared" si="7"/>
        <v>0</v>
      </c>
      <c r="G42" s="25">
        <f t="shared" si="8"/>
        <v>0</v>
      </c>
      <c r="H42" s="25">
        <f t="shared" si="6"/>
        <v>0</v>
      </c>
    </row>
    <row r="43" spans="1:8" ht="15.75">
      <c r="A43" s="22">
        <v>2261</v>
      </c>
      <c r="B43" s="26" t="s">
        <v>14</v>
      </c>
      <c r="C43" s="80">
        <v>33</v>
      </c>
      <c r="D43" s="68">
        <f t="shared" si="4"/>
        <v>46.95</v>
      </c>
      <c r="E43" s="25">
        <f t="shared" si="5"/>
        <v>1.81</v>
      </c>
      <c r="F43" s="25">
        <f t="shared" si="7"/>
        <v>1.81</v>
      </c>
      <c r="G43" s="25">
        <f t="shared" si="8"/>
        <v>1.81</v>
      </c>
      <c r="H43" s="25">
        <f t="shared" si="6"/>
        <v>0.26231884057971017</v>
      </c>
    </row>
    <row r="44" spans="1:8" ht="15.75">
      <c r="A44" s="22">
        <v>2262</v>
      </c>
      <c r="B44" s="26" t="s">
        <v>15</v>
      </c>
      <c r="C44" s="80">
        <v>148</v>
      </c>
      <c r="D44" s="68">
        <f t="shared" si="4"/>
        <v>210.59</v>
      </c>
      <c r="E44" s="25">
        <f t="shared" si="5"/>
        <v>8.13</v>
      </c>
      <c r="F44" s="25">
        <f t="shared" si="7"/>
        <v>8.13</v>
      </c>
      <c r="G44" s="25">
        <f t="shared" si="8"/>
        <v>8.13</v>
      </c>
      <c r="H44" s="25">
        <f t="shared" si="6"/>
        <v>1.1782608695652175</v>
      </c>
    </row>
    <row r="45" spans="1:8" ht="15.75">
      <c r="A45" s="22">
        <v>2263</v>
      </c>
      <c r="B45" s="26" t="s">
        <v>16</v>
      </c>
      <c r="C45" s="80">
        <v>546</v>
      </c>
      <c r="D45" s="68">
        <f t="shared" si="4"/>
        <v>776.89</v>
      </c>
      <c r="E45" s="25">
        <f t="shared" si="5"/>
        <v>29.98</v>
      </c>
      <c r="F45" s="25">
        <f t="shared" si="7"/>
        <v>29.98</v>
      </c>
      <c r="G45" s="25">
        <f t="shared" si="8"/>
        <v>29.98</v>
      </c>
      <c r="H45" s="25">
        <f t="shared" si="6"/>
        <v>4.344927536231884</v>
      </c>
    </row>
    <row r="46" spans="1:8" ht="15.75">
      <c r="A46" s="22">
        <v>2264</v>
      </c>
      <c r="B46" s="26" t="s">
        <v>17</v>
      </c>
      <c r="C46" s="80">
        <v>3</v>
      </c>
      <c r="D46" s="68">
        <f t="shared" si="4"/>
        <v>4.27</v>
      </c>
      <c r="E46" s="25">
        <f t="shared" si="5"/>
        <v>0.16</v>
      </c>
      <c r="F46" s="25">
        <f t="shared" si="7"/>
        <v>0.16</v>
      </c>
      <c r="G46" s="25">
        <f t="shared" si="8"/>
        <v>0.16</v>
      </c>
      <c r="H46" s="25">
        <f t="shared" si="6"/>
        <v>0.02318840579710145</v>
      </c>
    </row>
    <row r="47" spans="1:8" ht="15.75">
      <c r="A47" s="22">
        <v>2279</v>
      </c>
      <c r="B47" s="26" t="s">
        <v>18</v>
      </c>
      <c r="C47" s="80">
        <v>623</v>
      </c>
      <c r="D47" s="68">
        <f t="shared" si="4"/>
        <v>886.45</v>
      </c>
      <c r="E47" s="25">
        <f t="shared" si="5"/>
        <v>34.2</v>
      </c>
      <c r="F47" s="25">
        <f t="shared" si="7"/>
        <v>34.2</v>
      </c>
      <c r="G47" s="25">
        <f t="shared" si="8"/>
        <v>34.2</v>
      </c>
      <c r="H47" s="25">
        <f t="shared" si="6"/>
        <v>4.9565217391304355</v>
      </c>
    </row>
    <row r="48" spans="1:8" ht="15.75">
      <c r="A48" s="22">
        <v>2311</v>
      </c>
      <c r="B48" s="26" t="s">
        <v>19</v>
      </c>
      <c r="C48" s="80">
        <v>56</v>
      </c>
      <c r="D48" s="68">
        <f t="shared" si="4"/>
        <v>79.68</v>
      </c>
      <c r="E48" s="25">
        <f t="shared" si="5"/>
        <v>3.07</v>
      </c>
      <c r="F48" s="25">
        <f t="shared" si="7"/>
        <v>3.07</v>
      </c>
      <c r="G48" s="25">
        <f t="shared" si="8"/>
        <v>3.07</v>
      </c>
      <c r="H48" s="25">
        <f t="shared" si="6"/>
        <v>0.4449275362318841</v>
      </c>
    </row>
    <row r="49" spans="1:8" ht="15.75">
      <c r="A49" s="22">
        <v>2312</v>
      </c>
      <c r="B49" s="26" t="s">
        <v>20</v>
      </c>
      <c r="C49" s="80">
        <v>106</v>
      </c>
      <c r="D49" s="68">
        <f t="shared" si="4"/>
        <v>150.82</v>
      </c>
      <c r="E49" s="25">
        <f t="shared" si="5"/>
        <v>5.82</v>
      </c>
      <c r="F49" s="25">
        <f t="shared" si="7"/>
        <v>5.82</v>
      </c>
      <c r="G49" s="25">
        <f t="shared" si="8"/>
        <v>5.82</v>
      </c>
      <c r="H49" s="25">
        <f t="shared" si="6"/>
        <v>0.8434782608695653</v>
      </c>
    </row>
    <row r="50" spans="1:8" ht="15.75">
      <c r="A50" s="22">
        <v>2321</v>
      </c>
      <c r="B50" s="26" t="s">
        <v>21</v>
      </c>
      <c r="C50" s="80">
        <v>198</v>
      </c>
      <c r="D50" s="68">
        <f t="shared" si="4"/>
        <v>281.73</v>
      </c>
      <c r="E50" s="25">
        <f t="shared" si="5"/>
        <v>10.87</v>
      </c>
      <c r="F50" s="25">
        <f t="shared" si="7"/>
        <v>10.87</v>
      </c>
      <c r="G50" s="25">
        <f t="shared" si="8"/>
        <v>10.87</v>
      </c>
      <c r="H50" s="25">
        <f t="shared" si="6"/>
        <v>1.5753623188405796</v>
      </c>
    </row>
    <row r="51" spans="1:8" ht="15.75">
      <c r="A51" s="22">
        <v>2322</v>
      </c>
      <c r="B51" s="26" t="s">
        <v>22</v>
      </c>
      <c r="C51" s="80">
        <v>198</v>
      </c>
      <c r="D51" s="68">
        <v>264.36</v>
      </c>
      <c r="E51" s="25">
        <f t="shared" si="5"/>
        <v>10.2</v>
      </c>
      <c r="F51" s="25">
        <f t="shared" si="7"/>
        <v>10.2</v>
      </c>
      <c r="G51" s="25">
        <f t="shared" si="8"/>
        <v>10.2</v>
      </c>
      <c r="H51" s="25">
        <f t="shared" si="6"/>
        <v>1.4782608695652173</v>
      </c>
    </row>
    <row r="52" spans="1:8" ht="15.75">
      <c r="A52" s="22">
        <v>2341</v>
      </c>
      <c r="B52" s="26" t="s">
        <v>23</v>
      </c>
      <c r="C52" s="80">
        <v>79</v>
      </c>
      <c r="D52" s="68">
        <f t="shared" si="4"/>
        <v>112.41</v>
      </c>
      <c r="E52" s="25">
        <f t="shared" si="5"/>
        <v>4.34</v>
      </c>
      <c r="F52" s="25">
        <f t="shared" si="7"/>
        <v>4.34</v>
      </c>
      <c r="G52" s="25">
        <f t="shared" si="8"/>
        <v>4.34</v>
      </c>
      <c r="H52" s="25">
        <f t="shared" si="6"/>
        <v>0.6289855072463768</v>
      </c>
    </row>
    <row r="53" spans="1:8" ht="15.75">
      <c r="A53" s="22">
        <v>2344</v>
      </c>
      <c r="B53" s="26" t="s">
        <v>24</v>
      </c>
      <c r="C53" s="80">
        <v>1</v>
      </c>
      <c r="D53" s="68">
        <f t="shared" si="4"/>
        <v>1.42</v>
      </c>
      <c r="E53" s="25">
        <f t="shared" si="5"/>
        <v>0.05</v>
      </c>
      <c r="F53" s="25">
        <f t="shared" si="7"/>
        <v>0.05</v>
      </c>
      <c r="G53" s="25">
        <f t="shared" si="8"/>
        <v>0.05</v>
      </c>
      <c r="H53" s="25">
        <f t="shared" si="6"/>
        <v>0.007246376811594203</v>
      </c>
    </row>
    <row r="54" spans="1:8" ht="15.75">
      <c r="A54" s="22">
        <v>2350</v>
      </c>
      <c r="B54" s="26" t="s">
        <v>25</v>
      </c>
      <c r="C54" s="80">
        <v>486</v>
      </c>
      <c r="D54" s="68">
        <f t="shared" si="4"/>
        <v>691.52</v>
      </c>
      <c r="E54" s="25">
        <f t="shared" si="5"/>
        <v>26.68</v>
      </c>
      <c r="F54" s="25">
        <f t="shared" si="7"/>
        <v>26.68</v>
      </c>
      <c r="G54" s="25">
        <f t="shared" si="8"/>
        <v>26.68</v>
      </c>
      <c r="H54" s="25">
        <f t="shared" si="6"/>
        <v>3.8666666666666667</v>
      </c>
    </row>
    <row r="55" spans="1:8" ht="15.75">
      <c r="A55" s="22">
        <v>2361</v>
      </c>
      <c r="B55" s="26" t="s">
        <v>26</v>
      </c>
      <c r="C55" s="80">
        <v>298</v>
      </c>
      <c r="D55" s="68">
        <f t="shared" si="4"/>
        <v>424.02</v>
      </c>
      <c r="E55" s="25">
        <f t="shared" si="5"/>
        <v>16.36</v>
      </c>
      <c r="F55" s="25">
        <f t="shared" si="7"/>
        <v>16.36</v>
      </c>
      <c r="G55" s="25">
        <f t="shared" si="8"/>
        <v>16.36</v>
      </c>
      <c r="H55" s="25">
        <f t="shared" si="6"/>
        <v>2.371014492753623</v>
      </c>
    </row>
    <row r="56" spans="1:8" ht="15.75" hidden="1">
      <c r="A56" s="22">
        <v>2362</v>
      </c>
      <c r="B56" s="26" t="s">
        <v>27</v>
      </c>
      <c r="C56" s="80"/>
      <c r="D56" s="68">
        <f t="shared" si="4"/>
        <v>0</v>
      </c>
      <c r="E56" s="25">
        <f t="shared" si="5"/>
        <v>0</v>
      </c>
      <c r="F56" s="25">
        <f t="shared" si="7"/>
        <v>0</v>
      </c>
      <c r="G56" s="25">
        <f t="shared" si="8"/>
        <v>0</v>
      </c>
      <c r="H56" s="25">
        <f t="shared" si="6"/>
        <v>0</v>
      </c>
    </row>
    <row r="57" spans="1:8" ht="15.75" hidden="1">
      <c r="A57" s="22">
        <v>2363</v>
      </c>
      <c r="B57" s="26" t="s">
        <v>28</v>
      </c>
      <c r="C57" s="80"/>
      <c r="D57" s="68">
        <f t="shared" si="4"/>
        <v>0</v>
      </c>
      <c r="E57" s="25">
        <f t="shared" si="5"/>
        <v>0</v>
      </c>
      <c r="F57" s="25">
        <f t="shared" si="7"/>
        <v>0</v>
      </c>
      <c r="G57" s="25">
        <f t="shared" si="8"/>
        <v>0</v>
      </c>
      <c r="H57" s="25">
        <f t="shared" si="6"/>
        <v>0</v>
      </c>
    </row>
    <row r="58" spans="1:8" ht="15.75" hidden="1">
      <c r="A58" s="22">
        <v>2370</v>
      </c>
      <c r="B58" s="26" t="s">
        <v>29</v>
      </c>
      <c r="C58" s="80"/>
      <c r="D58" s="68">
        <f t="shared" si="4"/>
        <v>0</v>
      </c>
      <c r="E58" s="25">
        <f t="shared" si="5"/>
        <v>0</v>
      </c>
      <c r="F58" s="25">
        <f t="shared" si="7"/>
        <v>0</v>
      </c>
      <c r="G58" s="25">
        <f t="shared" si="8"/>
        <v>0</v>
      </c>
      <c r="H58" s="25">
        <f t="shared" si="6"/>
        <v>0</v>
      </c>
    </row>
    <row r="59" spans="1:8" ht="15.75">
      <c r="A59" s="22">
        <v>2400</v>
      </c>
      <c r="B59" s="26" t="s">
        <v>43</v>
      </c>
      <c r="C59" s="80">
        <v>22</v>
      </c>
      <c r="D59" s="68">
        <f t="shared" si="4"/>
        <v>31.3</v>
      </c>
      <c r="E59" s="25">
        <f t="shared" si="5"/>
        <v>1.21</v>
      </c>
      <c r="F59" s="25">
        <f t="shared" si="7"/>
        <v>1.21</v>
      </c>
      <c r="G59" s="25">
        <f t="shared" si="8"/>
        <v>1.21</v>
      </c>
      <c r="H59" s="25">
        <f t="shared" si="6"/>
        <v>0.1753623188405797</v>
      </c>
    </row>
    <row r="60" spans="1:8" ht="15.75" hidden="1">
      <c r="A60" s="22">
        <v>2512</v>
      </c>
      <c r="B60" s="26" t="s">
        <v>30</v>
      </c>
      <c r="C60" s="80">
        <v>0</v>
      </c>
      <c r="D60" s="68">
        <f t="shared" si="4"/>
        <v>0</v>
      </c>
      <c r="E60" s="25">
        <f t="shared" si="5"/>
        <v>0</v>
      </c>
      <c r="F60" s="25">
        <f t="shared" si="7"/>
        <v>0</v>
      </c>
      <c r="G60" s="25">
        <f t="shared" si="8"/>
        <v>0</v>
      </c>
      <c r="H60" s="25">
        <f t="shared" si="6"/>
        <v>0</v>
      </c>
    </row>
    <row r="61" spans="1:8" ht="15.75">
      <c r="A61" s="23">
        <v>2513</v>
      </c>
      <c r="B61" s="32" t="s">
        <v>31</v>
      </c>
      <c r="C61" s="25">
        <v>379</v>
      </c>
      <c r="D61" s="68">
        <f t="shared" si="4"/>
        <v>539.27</v>
      </c>
      <c r="E61" s="25">
        <f t="shared" si="5"/>
        <v>20.81</v>
      </c>
      <c r="F61" s="25">
        <f t="shared" si="7"/>
        <v>20.81</v>
      </c>
      <c r="G61" s="25">
        <f t="shared" si="8"/>
        <v>20.81</v>
      </c>
      <c r="H61" s="25">
        <f t="shared" si="6"/>
        <v>3.015942028985507</v>
      </c>
    </row>
    <row r="62" spans="1:8" ht="15.75">
      <c r="A62" s="23">
        <v>2515</v>
      </c>
      <c r="B62" s="32" t="s">
        <v>78</v>
      </c>
      <c r="C62" s="25">
        <v>16</v>
      </c>
      <c r="D62" s="68">
        <f t="shared" si="4"/>
        <v>22.77</v>
      </c>
      <c r="E62" s="25">
        <f t="shared" si="5"/>
        <v>0.88</v>
      </c>
      <c r="F62" s="25">
        <f t="shared" si="7"/>
        <v>0.88</v>
      </c>
      <c r="G62" s="25">
        <f t="shared" si="8"/>
        <v>0.88</v>
      </c>
      <c r="H62" s="25">
        <f t="shared" si="6"/>
        <v>0.12753623188405797</v>
      </c>
    </row>
    <row r="63" spans="1:8" ht="15.75">
      <c r="A63" s="23">
        <v>2519</v>
      </c>
      <c r="B63" s="32" t="s">
        <v>34</v>
      </c>
      <c r="C63" s="25">
        <v>97</v>
      </c>
      <c r="D63" s="68">
        <f t="shared" si="4"/>
        <v>138.02</v>
      </c>
      <c r="E63" s="25">
        <f t="shared" si="5"/>
        <v>5.33</v>
      </c>
      <c r="F63" s="25">
        <f t="shared" si="7"/>
        <v>5.33</v>
      </c>
      <c r="G63" s="25">
        <f t="shared" si="8"/>
        <v>5.33</v>
      </c>
      <c r="H63" s="25">
        <f t="shared" si="6"/>
        <v>0.772463768115942</v>
      </c>
    </row>
    <row r="64" spans="1:8" ht="15.75" hidden="1">
      <c r="A64" s="23">
        <v>6240</v>
      </c>
      <c r="B64" s="32"/>
      <c r="C64" s="25"/>
      <c r="D64" s="68">
        <f t="shared" si="4"/>
        <v>0</v>
      </c>
      <c r="E64" s="25">
        <f t="shared" si="5"/>
        <v>0</v>
      </c>
      <c r="F64" s="25">
        <f t="shared" si="7"/>
        <v>0</v>
      </c>
      <c r="G64" s="25">
        <f t="shared" si="8"/>
        <v>0</v>
      </c>
      <c r="H64" s="25">
        <f t="shared" si="6"/>
        <v>0</v>
      </c>
    </row>
    <row r="65" spans="1:8" ht="15.75" hidden="1">
      <c r="A65" s="23">
        <v>6290</v>
      </c>
      <c r="B65" s="32"/>
      <c r="C65" s="25"/>
      <c r="D65" s="68">
        <f t="shared" si="4"/>
        <v>0</v>
      </c>
      <c r="E65" s="25">
        <f t="shared" si="5"/>
        <v>0</v>
      </c>
      <c r="F65" s="25">
        <f t="shared" si="7"/>
        <v>0</v>
      </c>
      <c r="G65" s="25">
        <f t="shared" si="8"/>
        <v>0</v>
      </c>
      <c r="H65" s="25">
        <f t="shared" si="6"/>
        <v>0</v>
      </c>
    </row>
    <row r="66" spans="1:8" ht="15.75">
      <c r="A66" s="23">
        <v>5121</v>
      </c>
      <c r="B66" s="32" t="s">
        <v>32</v>
      </c>
      <c r="C66" s="25">
        <v>70</v>
      </c>
      <c r="D66" s="68">
        <f t="shared" si="4"/>
        <v>99.6</v>
      </c>
      <c r="E66" s="25">
        <f t="shared" si="5"/>
        <v>3.84</v>
      </c>
      <c r="F66" s="25">
        <f t="shared" si="7"/>
        <v>3.84</v>
      </c>
      <c r="G66" s="25">
        <v>2.77</v>
      </c>
      <c r="H66" s="25">
        <f t="shared" si="6"/>
        <v>0.4014492753623189</v>
      </c>
    </row>
    <row r="67" spans="1:8" ht="15.75">
      <c r="A67" s="23">
        <v>5232</v>
      </c>
      <c r="B67" s="32" t="s">
        <v>33</v>
      </c>
      <c r="C67" s="25">
        <v>8</v>
      </c>
      <c r="D67" s="68">
        <f t="shared" si="4"/>
        <v>11.38</v>
      </c>
      <c r="E67" s="25">
        <f t="shared" si="5"/>
        <v>0.44</v>
      </c>
      <c r="F67" s="25">
        <v>0.99</v>
      </c>
      <c r="G67" s="25">
        <f t="shared" si="8"/>
        <v>0.99</v>
      </c>
      <c r="H67" s="25">
        <f t="shared" si="6"/>
        <v>0.14347826086956522</v>
      </c>
    </row>
    <row r="68" spans="1:8" ht="15.75" hidden="1">
      <c r="A68" s="23">
        <v>5238</v>
      </c>
      <c r="B68" s="32" t="s">
        <v>35</v>
      </c>
      <c r="C68" s="25">
        <v>0</v>
      </c>
      <c r="D68" s="68">
        <f t="shared" si="4"/>
        <v>0</v>
      </c>
      <c r="E68" s="25">
        <f t="shared" si="5"/>
        <v>0</v>
      </c>
      <c r="F68" s="25">
        <f t="shared" si="7"/>
        <v>0</v>
      </c>
      <c r="G68" s="25">
        <f t="shared" si="8"/>
        <v>0</v>
      </c>
      <c r="H68" s="25">
        <f t="shared" si="6"/>
        <v>0</v>
      </c>
    </row>
    <row r="69" spans="1:8" ht="15.75">
      <c r="A69" s="23">
        <v>5240</v>
      </c>
      <c r="B69" s="32" t="s">
        <v>36</v>
      </c>
      <c r="C69" s="25">
        <v>2</v>
      </c>
      <c r="D69" s="68">
        <f t="shared" si="4"/>
        <v>2.85</v>
      </c>
      <c r="E69" s="25">
        <v>0.12</v>
      </c>
      <c r="F69" s="25">
        <f t="shared" si="7"/>
        <v>0.12</v>
      </c>
      <c r="G69" s="25">
        <f t="shared" si="8"/>
        <v>0.12</v>
      </c>
      <c r="H69" s="25">
        <f t="shared" si="6"/>
        <v>0.017391304347826084</v>
      </c>
    </row>
    <row r="70" spans="1:8" ht="15.75" hidden="1">
      <c r="A70" s="23">
        <v>5250</v>
      </c>
      <c r="B70" s="32" t="s">
        <v>37</v>
      </c>
      <c r="C70" s="25"/>
      <c r="D70" s="32"/>
      <c r="E70" s="25"/>
      <c r="F70" s="25">
        <f>E70/20*20</f>
        <v>0</v>
      </c>
      <c r="G70" s="25">
        <f t="shared" si="8"/>
        <v>0</v>
      </c>
      <c r="H70" s="25">
        <f t="shared" si="6"/>
        <v>0</v>
      </c>
    </row>
    <row r="71" spans="1:8" ht="15.75">
      <c r="A71" s="29"/>
      <c r="B71" s="48" t="s">
        <v>79</v>
      </c>
      <c r="C71" s="28">
        <f aca="true" t="shared" si="9" ref="C71:H71">SUM(C27:C70)</f>
        <v>17812.04</v>
      </c>
      <c r="D71" s="28">
        <f t="shared" si="9"/>
        <v>25326.91</v>
      </c>
      <c r="E71" s="28">
        <f t="shared" si="9"/>
        <v>977.2700000000002</v>
      </c>
      <c r="F71" s="28">
        <f t="shared" si="9"/>
        <v>996.07</v>
      </c>
      <c r="G71" s="28">
        <f t="shared" si="9"/>
        <v>995</v>
      </c>
      <c r="H71" s="28">
        <f t="shared" si="9"/>
        <v>148.70289855072463</v>
      </c>
    </row>
    <row r="72" spans="1:8" ht="15.75">
      <c r="A72" s="29"/>
      <c r="B72" s="48" t="s">
        <v>80</v>
      </c>
      <c r="C72" s="28">
        <f aca="true" t="shared" si="10" ref="C72:H72">C71+C25</f>
        <v>32813.47</v>
      </c>
      <c r="D72" s="28">
        <f t="shared" si="10"/>
        <v>46672.020000000004</v>
      </c>
      <c r="E72" s="28">
        <f t="shared" si="10"/>
        <v>1800.9</v>
      </c>
      <c r="F72" s="28">
        <f t="shared" si="10"/>
        <v>1852.65</v>
      </c>
      <c r="G72" s="28">
        <f t="shared" si="10"/>
        <v>2087.25</v>
      </c>
      <c r="H72" s="28">
        <f t="shared" si="10"/>
        <v>322</v>
      </c>
    </row>
    <row r="73" spans="1:8" ht="15.75">
      <c r="A73" s="9"/>
      <c r="B73" s="14"/>
      <c r="C73" s="35"/>
      <c r="D73" s="35"/>
      <c r="E73" s="35"/>
      <c r="F73" s="35"/>
      <c r="G73" s="35"/>
      <c r="H73" s="35"/>
    </row>
    <row r="74" spans="1:8" ht="15.75">
      <c r="A74" s="212" t="s">
        <v>45</v>
      </c>
      <c r="B74" s="213"/>
      <c r="C74" s="36">
        <v>8941</v>
      </c>
      <c r="D74" s="36">
        <v>8941</v>
      </c>
      <c r="E74" s="42">
        <v>345</v>
      </c>
      <c r="F74" s="42">
        <v>345</v>
      </c>
      <c r="G74" s="42">
        <v>345</v>
      </c>
      <c r="H74" s="162">
        <v>50</v>
      </c>
    </row>
    <row r="75" spans="1:8" ht="15.75">
      <c r="A75" s="212" t="s">
        <v>54</v>
      </c>
      <c r="B75" s="213"/>
      <c r="C75" s="100">
        <f>C72/C74</f>
        <v>3.67</v>
      </c>
      <c r="D75" s="100">
        <f>ROUND(D72/D74,2)</f>
        <v>5.22</v>
      </c>
      <c r="E75" s="28">
        <f>ROUND(E72/E74,2)</f>
        <v>5.22</v>
      </c>
      <c r="F75" s="28">
        <f>ROUND(F72/F74,2)</f>
        <v>5.37</v>
      </c>
      <c r="G75" s="28">
        <f>ROUND(G72/G74,2)</f>
        <v>6.05</v>
      </c>
      <c r="H75" s="164">
        <f>ROUND(H72/H74,2)</f>
        <v>6.44</v>
      </c>
    </row>
    <row r="76" spans="1:8" ht="15.75">
      <c r="A76" s="14"/>
      <c r="B76" s="11"/>
      <c r="C76" s="11"/>
      <c r="D76" s="11"/>
      <c r="E76" s="11"/>
      <c r="F76" s="15"/>
      <c r="G76" s="15"/>
      <c r="H76" s="15"/>
    </row>
    <row r="77" spans="1:8" ht="15.75">
      <c r="A77" s="212" t="s">
        <v>46</v>
      </c>
      <c r="B77" s="213"/>
      <c r="C77" s="72"/>
      <c r="D77" s="72"/>
      <c r="E77" s="37"/>
      <c r="F77" s="37"/>
      <c r="G77" s="37"/>
      <c r="H77" s="37"/>
    </row>
    <row r="78" spans="1:8" ht="15.75">
      <c r="A78" s="212" t="s">
        <v>55</v>
      </c>
      <c r="B78" s="213"/>
      <c r="C78" s="72"/>
      <c r="D78" s="72"/>
      <c r="E78" s="37"/>
      <c r="F78" s="37"/>
      <c r="G78" s="37"/>
      <c r="H78" s="37"/>
    </row>
    <row r="79" spans="1:8" ht="15.75">
      <c r="A79" s="38"/>
      <c r="B79" s="38"/>
      <c r="C79" s="38"/>
      <c r="D79" s="38"/>
      <c r="E79" s="38"/>
      <c r="F79" s="38"/>
      <c r="G79" s="38"/>
      <c r="H79" s="38"/>
    </row>
    <row r="80" spans="1:8" ht="15.75">
      <c r="A80" s="38" t="s">
        <v>47</v>
      </c>
      <c r="B80" s="38"/>
      <c r="C80" s="38"/>
      <c r="D80" s="38"/>
      <c r="E80" s="38"/>
      <c r="F80" s="38"/>
      <c r="G80" s="38"/>
      <c r="H80" s="38"/>
    </row>
    <row r="81" spans="1:8" ht="15.75">
      <c r="A81" s="38"/>
      <c r="B81" s="38"/>
      <c r="C81" s="38"/>
      <c r="D81" s="38"/>
      <c r="E81" s="38"/>
      <c r="F81" s="38"/>
      <c r="G81" s="38"/>
      <c r="H81" s="38"/>
    </row>
    <row r="82" spans="1:8" ht="15.75">
      <c r="A82" s="38"/>
      <c r="B82" s="39"/>
      <c r="C82" s="39"/>
      <c r="D82" s="39"/>
      <c r="E82" s="39"/>
      <c r="F82" s="38"/>
      <c r="G82" s="38"/>
      <c r="H82" s="38"/>
    </row>
    <row r="83" spans="1:8" ht="15.75">
      <c r="A83" s="38"/>
      <c r="B83" s="101"/>
      <c r="C83" s="101"/>
      <c r="D83" s="101"/>
      <c r="E83" s="39"/>
      <c r="F83" s="38"/>
      <c r="G83" s="38"/>
      <c r="H83" s="38"/>
    </row>
    <row r="84" spans="2:5" ht="15">
      <c r="B84" s="232"/>
      <c r="C84" s="232"/>
      <c r="D84" s="232"/>
      <c r="E84" s="232"/>
    </row>
    <row r="85" spans="2:5" ht="15">
      <c r="B85" s="2"/>
      <c r="C85" s="2"/>
      <c r="D85" s="2"/>
      <c r="E85" s="2"/>
    </row>
  </sheetData>
  <sheetProtection/>
  <mergeCells count="12">
    <mergeCell ref="A78:B78"/>
    <mergeCell ref="B84:E84"/>
    <mergeCell ref="B8:E8"/>
    <mergeCell ref="B9:E9"/>
    <mergeCell ref="B10:E10"/>
    <mergeCell ref="A74:B74"/>
    <mergeCell ref="A75:B75"/>
    <mergeCell ref="A77:B77"/>
    <mergeCell ref="A4:H4"/>
    <mergeCell ref="B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Layout" workbookViewId="0" topLeftCell="A73">
      <selection activeCell="A81" sqref="A81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7.140625" style="4" hidden="1" customWidth="1"/>
    <col min="4" max="4" width="20.00390625" style="4" hidden="1" customWidth="1"/>
    <col min="5" max="7" width="21.57421875" style="4" hidden="1" customWidth="1"/>
    <col min="8" max="8" width="32.7109375" style="4" customWidth="1"/>
  </cols>
  <sheetData>
    <row r="1" spans="2:8" ht="15.75">
      <c r="B1" s="12"/>
      <c r="C1" s="12"/>
      <c r="D1" s="12"/>
      <c r="E1" s="76"/>
      <c r="F1" s="76"/>
      <c r="G1" s="76"/>
      <c r="H1" s="9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25">
        <v>29.31</v>
      </c>
      <c r="G5" s="85">
        <f>F5+F6</f>
        <v>36.22</v>
      </c>
      <c r="H5" s="15"/>
    </row>
    <row r="6" spans="1:8" ht="15.75">
      <c r="A6" s="195" t="s">
        <v>0</v>
      </c>
      <c r="B6" s="195"/>
      <c r="C6" s="195"/>
      <c r="D6" s="195"/>
      <c r="E6" s="195"/>
      <c r="F6" s="25">
        <v>6.91</v>
      </c>
      <c r="G6" s="15"/>
      <c r="H6" s="14"/>
    </row>
    <row r="7" spans="1:8" ht="15.75">
      <c r="A7" s="8"/>
      <c r="B7" s="195" t="s">
        <v>44</v>
      </c>
      <c r="C7" s="195"/>
      <c r="D7" s="195"/>
      <c r="E7" s="195"/>
      <c r="F7" s="85">
        <f>F5+F6</f>
        <v>36.22</v>
      </c>
      <c r="G7" s="85">
        <f>G5*24.09/124.09</f>
        <v>7.031507776613748</v>
      </c>
      <c r="H7" s="14"/>
    </row>
    <row r="8" spans="1:8" ht="15.75">
      <c r="A8" s="8"/>
      <c r="B8" s="195" t="s">
        <v>100</v>
      </c>
      <c r="C8" s="195"/>
      <c r="D8" s="195"/>
      <c r="E8" s="195"/>
      <c r="F8" s="15"/>
      <c r="G8" s="85">
        <f>G5-G7</f>
        <v>29.188492223386252</v>
      </c>
      <c r="H8" s="15"/>
    </row>
    <row r="9" spans="1:8" ht="15.75">
      <c r="A9" s="8"/>
      <c r="B9" s="195" t="s">
        <v>203</v>
      </c>
      <c r="C9" s="195"/>
      <c r="D9" s="195"/>
      <c r="E9" s="195"/>
      <c r="F9" s="15"/>
      <c r="G9" s="15"/>
      <c r="H9" s="15"/>
    </row>
    <row r="10" spans="1:8" ht="15.75">
      <c r="A10" s="8" t="s">
        <v>2</v>
      </c>
      <c r="B10" s="8" t="s">
        <v>205</v>
      </c>
      <c r="C10" s="8"/>
      <c r="D10" s="8"/>
      <c r="E10" s="8"/>
      <c r="F10" s="15"/>
      <c r="G10" s="15"/>
      <c r="H10" s="15"/>
    </row>
    <row r="11" spans="1:8" ht="15.75" hidden="1">
      <c r="A11" s="15"/>
      <c r="B11" s="16"/>
      <c r="C11" s="16"/>
      <c r="D11" s="16"/>
      <c r="E11" s="77"/>
      <c r="F11" s="15"/>
      <c r="G11" s="15"/>
      <c r="H11" s="15"/>
    </row>
    <row r="12" spans="1:8" ht="110.25">
      <c r="A12" s="59" t="s">
        <v>3</v>
      </c>
      <c r="B12" s="59" t="s">
        <v>4</v>
      </c>
      <c r="C12" s="59"/>
      <c r="D12" s="59"/>
      <c r="E12" s="59" t="s">
        <v>89</v>
      </c>
      <c r="F12" s="59" t="s">
        <v>90</v>
      </c>
      <c r="G12" s="59"/>
      <c r="H12" s="59" t="s">
        <v>5</v>
      </c>
    </row>
    <row r="13" spans="1:8" ht="15.75">
      <c r="A13" s="18">
        <v>1</v>
      </c>
      <c r="B13" s="19">
        <v>2</v>
      </c>
      <c r="C13" s="18">
        <v>3</v>
      </c>
      <c r="D13" s="19"/>
      <c r="E13" s="18">
        <v>3</v>
      </c>
      <c r="F13" s="19">
        <v>4</v>
      </c>
      <c r="G13" s="19"/>
      <c r="H13" s="19">
        <v>3</v>
      </c>
    </row>
    <row r="14" spans="1:8" ht="15.75">
      <c r="A14" s="20"/>
      <c r="B14" s="45" t="s">
        <v>71</v>
      </c>
      <c r="C14" s="97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986.93</v>
      </c>
      <c r="D15" s="25">
        <f>ROUND(C15/0.702804,2)</f>
        <v>1404.27</v>
      </c>
      <c r="E15" s="25">
        <f>ROUND(D15/536*50,2)</f>
        <v>131</v>
      </c>
      <c r="F15" s="25">
        <v>136.24</v>
      </c>
      <c r="G15" s="25">
        <v>163.02</v>
      </c>
      <c r="H15" s="25">
        <f>G15/50*20+20*0.18</f>
        <v>68.80799999999999</v>
      </c>
    </row>
    <row r="16" spans="1:8" ht="15.75">
      <c r="A16" s="23">
        <v>1200</v>
      </c>
      <c r="B16" s="32" t="s">
        <v>73</v>
      </c>
      <c r="C16" s="47">
        <v>232.82</v>
      </c>
      <c r="D16" s="25">
        <f>ROUND(C16/0.702804,2)</f>
        <v>331.27</v>
      </c>
      <c r="E16" s="25">
        <f>ROUND(D16/536*50,2)</f>
        <v>30.9</v>
      </c>
      <c r="F16" s="25">
        <v>32.14</v>
      </c>
      <c r="G16" s="25">
        <v>39.27</v>
      </c>
      <c r="H16" s="25">
        <f>G16/50*20+20*0.04</f>
        <v>16.508000000000003</v>
      </c>
    </row>
    <row r="17" spans="1:8" ht="15.75" hidden="1">
      <c r="A17" s="31">
        <v>2341</v>
      </c>
      <c r="B17" s="32" t="s">
        <v>23</v>
      </c>
      <c r="C17" s="25">
        <v>0</v>
      </c>
      <c r="D17" s="32"/>
      <c r="E17" s="25">
        <v>0</v>
      </c>
      <c r="F17" s="25">
        <f>E17/536*50</f>
        <v>0</v>
      </c>
      <c r="G17" s="25">
        <f>F17</f>
        <v>0</v>
      </c>
      <c r="H17" s="25">
        <f aca="true" t="shared" si="0" ref="H17:H23">G17/50*20</f>
        <v>0</v>
      </c>
    </row>
    <row r="18" spans="1:8" ht="15.75" hidden="1">
      <c r="A18" s="23">
        <v>2249</v>
      </c>
      <c r="B18" s="32" t="s">
        <v>13</v>
      </c>
      <c r="C18" s="25">
        <v>0</v>
      </c>
      <c r="D18" s="32"/>
      <c r="E18" s="25">
        <v>0</v>
      </c>
      <c r="F18" s="25">
        <f>E18/536*50</f>
        <v>0</v>
      </c>
      <c r="G18" s="25">
        <f aca="true" t="shared" si="1" ref="G18:G23">F18</f>
        <v>0</v>
      </c>
      <c r="H18" s="25">
        <f t="shared" si="0"/>
        <v>0</v>
      </c>
    </row>
    <row r="19" spans="1:8" ht="15.75" hidden="1">
      <c r="A19" s="23">
        <v>2341</v>
      </c>
      <c r="B19" s="32" t="s">
        <v>23</v>
      </c>
      <c r="C19" s="105"/>
      <c r="D19" s="32"/>
      <c r="E19" s="105"/>
      <c r="F19" s="25">
        <f>E19/536*50</f>
        <v>0</v>
      </c>
      <c r="G19" s="25">
        <f t="shared" si="1"/>
        <v>0</v>
      </c>
      <c r="H19" s="25">
        <f t="shared" si="0"/>
        <v>0</v>
      </c>
    </row>
    <row r="20" spans="1:8" ht="15.75" hidden="1">
      <c r="A20" s="23">
        <v>2350</v>
      </c>
      <c r="B20" s="32" t="s">
        <v>25</v>
      </c>
      <c r="C20" s="105"/>
      <c r="D20" s="32"/>
      <c r="E20" s="105"/>
      <c r="F20" s="25">
        <f>E20/8941*200</f>
        <v>0</v>
      </c>
      <c r="G20" s="25">
        <f t="shared" si="1"/>
        <v>0</v>
      </c>
      <c r="H20" s="25">
        <f t="shared" si="0"/>
        <v>0</v>
      </c>
    </row>
    <row r="21" spans="1:8" ht="15.75" hidden="1">
      <c r="A21" s="23"/>
      <c r="B21" s="32"/>
      <c r="C21" s="105"/>
      <c r="D21" s="32"/>
      <c r="E21" s="105"/>
      <c r="F21" s="25">
        <f>E21/8941*200</f>
        <v>0</v>
      </c>
      <c r="G21" s="25">
        <f t="shared" si="1"/>
        <v>0</v>
      </c>
      <c r="H21" s="25">
        <f t="shared" si="0"/>
        <v>0</v>
      </c>
    </row>
    <row r="22" spans="1:8" ht="15.75" hidden="1">
      <c r="A22" s="23"/>
      <c r="B22" s="32"/>
      <c r="C22" s="105"/>
      <c r="D22" s="32"/>
      <c r="E22" s="105"/>
      <c r="F22" s="25">
        <f>E22/8941*200</f>
        <v>0</v>
      </c>
      <c r="G22" s="25">
        <f t="shared" si="1"/>
        <v>0</v>
      </c>
      <c r="H22" s="25">
        <f t="shared" si="0"/>
        <v>0</v>
      </c>
    </row>
    <row r="23" spans="1:8" ht="15.75" hidden="1">
      <c r="A23" s="23"/>
      <c r="B23" s="23"/>
      <c r="C23" s="25"/>
      <c r="D23" s="23"/>
      <c r="E23" s="25"/>
      <c r="F23" s="25">
        <f>E23/8941*200</f>
        <v>0</v>
      </c>
      <c r="G23" s="25">
        <f t="shared" si="1"/>
        <v>0</v>
      </c>
      <c r="H23" s="25">
        <f t="shared" si="0"/>
        <v>0</v>
      </c>
    </row>
    <row r="24" spans="1:8" ht="15.75">
      <c r="A24" s="23"/>
      <c r="B24" s="46" t="s">
        <v>74</v>
      </c>
      <c r="C24" s="28">
        <f aca="true" t="shared" si="2" ref="C24:H24">SUM(C15:C23)</f>
        <v>1219.75</v>
      </c>
      <c r="D24" s="28">
        <f t="shared" si="2"/>
        <v>1735.54</v>
      </c>
      <c r="E24" s="28">
        <f t="shared" si="2"/>
        <v>161.9</v>
      </c>
      <c r="F24" s="28">
        <f t="shared" si="2"/>
        <v>168.38</v>
      </c>
      <c r="G24" s="28">
        <f t="shared" si="2"/>
        <v>202.29000000000002</v>
      </c>
      <c r="H24" s="28">
        <f t="shared" si="2"/>
        <v>85.316</v>
      </c>
    </row>
    <row r="25" spans="1:8" ht="15.75">
      <c r="A25" s="29"/>
      <c r="B25" s="23" t="s">
        <v>75</v>
      </c>
      <c r="C25" s="25"/>
      <c r="D25" s="23"/>
      <c r="E25" s="25"/>
      <c r="F25" s="25"/>
      <c r="G25" s="25"/>
      <c r="H25" s="25"/>
    </row>
    <row r="26" spans="1:8" ht="15.75">
      <c r="A26" s="23">
        <v>1100</v>
      </c>
      <c r="B26" s="23" t="s">
        <v>72</v>
      </c>
      <c r="C26" s="25">
        <v>214.42</v>
      </c>
      <c r="D26" s="25">
        <f aca="true" t="shared" si="3" ref="D26:D64">ROUND(C26/0.702804,2)</f>
        <v>305.09</v>
      </c>
      <c r="E26" s="25">
        <f aca="true" t="shared" si="4" ref="E26:E65">ROUND(D26/536*50,2)</f>
        <v>28.46</v>
      </c>
      <c r="F26" s="25">
        <v>29.31</v>
      </c>
      <c r="G26" s="25">
        <v>29.19</v>
      </c>
      <c r="H26" s="25">
        <f aca="true" t="shared" si="5" ref="H26:H68">G26/50*20</f>
        <v>11.676</v>
      </c>
    </row>
    <row r="27" spans="1:8" ht="15.75">
      <c r="A27" s="23">
        <v>1200</v>
      </c>
      <c r="B27" s="32" t="s">
        <v>73</v>
      </c>
      <c r="C27" s="47">
        <v>50.58</v>
      </c>
      <c r="D27" s="25">
        <f t="shared" si="3"/>
        <v>71.97</v>
      </c>
      <c r="E27" s="25">
        <f t="shared" si="4"/>
        <v>6.71</v>
      </c>
      <c r="F27" s="25">
        <v>6.91</v>
      </c>
      <c r="G27" s="25">
        <v>7.03</v>
      </c>
      <c r="H27" s="25">
        <f t="shared" si="5"/>
        <v>2.8120000000000003</v>
      </c>
    </row>
    <row r="28" spans="1:8" ht="15.75" hidden="1">
      <c r="A28" s="23">
        <v>2100</v>
      </c>
      <c r="B28" s="30" t="s">
        <v>42</v>
      </c>
      <c r="C28" s="25"/>
      <c r="D28" s="25">
        <f t="shared" si="3"/>
        <v>0</v>
      </c>
      <c r="E28" s="25">
        <f t="shared" si="4"/>
        <v>0</v>
      </c>
      <c r="F28" s="25">
        <f aca="true" t="shared" si="6" ref="F28:G65">E28</f>
        <v>0</v>
      </c>
      <c r="G28" s="25">
        <f t="shared" si="6"/>
        <v>0</v>
      </c>
      <c r="H28" s="25">
        <f t="shared" si="5"/>
        <v>0</v>
      </c>
    </row>
    <row r="29" spans="1:8" ht="15.75">
      <c r="A29" s="31">
        <v>2210</v>
      </c>
      <c r="B29" s="32" t="s">
        <v>38</v>
      </c>
      <c r="C29" s="25">
        <v>13</v>
      </c>
      <c r="D29" s="25">
        <f t="shared" si="3"/>
        <v>18.5</v>
      </c>
      <c r="E29" s="25">
        <f t="shared" si="4"/>
        <v>1.73</v>
      </c>
      <c r="F29" s="25">
        <f t="shared" si="6"/>
        <v>1.73</v>
      </c>
      <c r="G29" s="25">
        <f t="shared" si="6"/>
        <v>1.73</v>
      </c>
      <c r="H29" s="25">
        <f t="shared" si="5"/>
        <v>0.692</v>
      </c>
    </row>
    <row r="30" spans="1:8" ht="15.75">
      <c r="A30" s="23">
        <v>2222</v>
      </c>
      <c r="B30" s="32" t="s">
        <v>39</v>
      </c>
      <c r="C30" s="25"/>
      <c r="D30" s="25">
        <f t="shared" si="3"/>
        <v>0</v>
      </c>
      <c r="E30" s="25">
        <f t="shared" si="4"/>
        <v>0</v>
      </c>
      <c r="F30" s="25">
        <f t="shared" si="6"/>
        <v>0</v>
      </c>
      <c r="G30" s="25">
        <f t="shared" si="6"/>
        <v>0</v>
      </c>
      <c r="H30" s="25">
        <f t="shared" si="5"/>
        <v>0</v>
      </c>
    </row>
    <row r="31" spans="1:8" ht="15.75" hidden="1">
      <c r="A31" s="23">
        <v>2223</v>
      </c>
      <c r="B31" s="32" t="s">
        <v>40</v>
      </c>
      <c r="C31" s="25"/>
      <c r="D31" s="25">
        <f t="shared" si="3"/>
        <v>0</v>
      </c>
      <c r="E31" s="25">
        <f t="shared" si="4"/>
        <v>0</v>
      </c>
      <c r="F31" s="25">
        <f t="shared" si="6"/>
        <v>0</v>
      </c>
      <c r="G31" s="25">
        <f t="shared" si="6"/>
        <v>0</v>
      </c>
      <c r="H31" s="25">
        <f t="shared" si="5"/>
        <v>0</v>
      </c>
    </row>
    <row r="32" spans="1:8" ht="15.75">
      <c r="A32" s="23">
        <v>2230</v>
      </c>
      <c r="B32" s="32" t="s">
        <v>41</v>
      </c>
      <c r="C32" s="25">
        <v>8</v>
      </c>
      <c r="D32" s="25">
        <f t="shared" si="3"/>
        <v>11.38</v>
      </c>
      <c r="E32" s="25">
        <f t="shared" si="4"/>
        <v>1.06</v>
      </c>
      <c r="F32" s="25">
        <f t="shared" si="6"/>
        <v>1.06</v>
      </c>
      <c r="G32" s="25">
        <f t="shared" si="6"/>
        <v>1.06</v>
      </c>
      <c r="H32" s="25">
        <f t="shared" si="5"/>
        <v>0.424</v>
      </c>
    </row>
    <row r="33" spans="1:8" ht="15.75" hidden="1">
      <c r="A33" s="23">
        <v>2241</v>
      </c>
      <c r="B33" s="32" t="s">
        <v>9</v>
      </c>
      <c r="C33" s="25"/>
      <c r="D33" s="25">
        <f t="shared" si="3"/>
        <v>0</v>
      </c>
      <c r="E33" s="25">
        <f t="shared" si="4"/>
        <v>0</v>
      </c>
      <c r="F33" s="25">
        <f t="shared" si="6"/>
        <v>0</v>
      </c>
      <c r="G33" s="25">
        <f t="shared" si="6"/>
        <v>0</v>
      </c>
      <c r="H33" s="25">
        <f t="shared" si="5"/>
        <v>0</v>
      </c>
    </row>
    <row r="34" spans="1:8" ht="15.75">
      <c r="A34" s="23">
        <v>2242</v>
      </c>
      <c r="B34" s="32" t="s">
        <v>10</v>
      </c>
      <c r="C34" s="25">
        <v>3</v>
      </c>
      <c r="D34" s="25">
        <f t="shared" si="3"/>
        <v>4.27</v>
      </c>
      <c r="E34" s="25">
        <f t="shared" si="4"/>
        <v>0.4</v>
      </c>
      <c r="F34" s="25">
        <f t="shared" si="6"/>
        <v>0.4</v>
      </c>
      <c r="G34" s="25">
        <f t="shared" si="6"/>
        <v>0.4</v>
      </c>
      <c r="H34" s="25">
        <f t="shared" si="5"/>
        <v>0.16</v>
      </c>
    </row>
    <row r="35" spans="1:8" ht="15.75">
      <c r="A35" s="23">
        <v>2243</v>
      </c>
      <c r="B35" s="32" t="s">
        <v>11</v>
      </c>
      <c r="C35" s="25">
        <v>10</v>
      </c>
      <c r="D35" s="25">
        <f t="shared" si="3"/>
        <v>14.23</v>
      </c>
      <c r="E35" s="25">
        <f t="shared" si="4"/>
        <v>1.33</v>
      </c>
      <c r="F35" s="25">
        <f t="shared" si="6"/>
        <v>1.33</v>
      </c>
      <c r="G35" s="25">
        <f t="shared" si="6"/>
        <v>1.33</v>
      </c>
      <c r="H35" s="25">
        <f t="shared" si="5"/>
        <v>0.532</v>
      </c>
    </row>
    <row r="36" spans="1:8" ht="15.75">
      <c r="A36" s="23">
        <v>2244</v>
      </c>
      <c r="B36" s="32" t="s">
        <v>12</v>
      </c>
      <c r="C36" s="25">
        <v>149.25</v>
      </c>
      <c r="D36" s="25">
        <f t="shared" si="3"/>
        <v>212.36</v>
      </c>
      <c r="E36" s="25">
        <f t="shared" si="4"/>
        <v>19.81</v>
      </c>
      <c r="F36" s="25">
        <f t="shared" si="6"/>
        <v>19.81</v>
      </c>
      <c r="G36" s="25">
        <f t="shared" si="6"/>
        <v>19.81</v>
      </c>
      <c r="H36" s="25">
        <f t="shared" si="5"/>
        <v>7.9239999999999995</v>
      </c>
    </row>
    <row r="37" spans="1:8" ht="15.75">
      <c r="A37" s="23">
        <v>2247</v>
      </c>
      <c r="B37" s="45" t="s">
        <v>76</v>
      </c>
      <c r="C37" s="25">
        <v>1</v>
      </c>
      <c r="D37" s="25">
        <f t="shared" si="3"/>
        <v>1.42</v>
      </c>
      <c r="E37" s="25">
        <f t="shared" si="4"/>
        <v>0.13</v>
      </c>
      <c r="F37" s="25">
        <f t="shared" si="6"/>
        <v>0.13</v>
      </c>
      <c r="G37" s="25">
        <f t="shared" si="6"/>
        <v>0.13</v>
      </c>
      <c r="H37" s="25">
        <f t="shared" si="5"/>
        <v>0.052</v>
      </c>
    </row>
    <row r="38" spans="1:8" ht="15.75">
      <c r="A38" s="23">
        <v>2249</v>
      </c>
      <c r="B38" s="32" t="s">
        <v>13</v>
      </c>
      <c r="C38" s="25">
        <v>4</v>
      </c>
      <c r="D38" s="25">
        <f t="shared" si="3"/>
        <v>5.69</v>
      </c>
      <c r="E38" s="25">
        <f t="shared" si="4"/>
        <v>0.53</v>
      </c>
      <c r="F38" s="25">
        <f t="shared" si="6"/>
        <v>0.53</v>
      </c>
      <c r="G38" s="25">
        <f t="shared" si="6"/>
        <v>0.53</v>
      </c>
      <c r="H38" s="25">
        <f t="shared" si="5"/>
        <v>0.212</v>
      </c>
    </row>
    <row r="39" spans="1:8" ht="15.75">
      <c r="A39" s="23">
        <v>2251</v>
      </c>
      <c r="B39" s="32" t="s">
        <v>77</v>
      </c>
      <c r="C39" s="25">
        <v>11</v>
      </c>
      <c r="D39" s="25">
        <f t="shared" si="3"/>
        <v>15.65</v>
      </c>
      <c r="E39" s="25">
        <f t="shared" si="4"/>
        <v>1.46</v>
      </c>
      <c r="F39" s="25">
        <f t="shared" si="6"/>
        <v>1.46</v>
      </c>
      <c r="G39" s="25">
        <f t="shared" si="6"/>
        <v>1.46</v>
      </c>
      <c r="H39" s="25">
        <f t="shared" si="5"/>
        <v>0.584</v>
      </c>
    </row>
    <row r="40" spans="1:8" ht="15.75" hidden="1">
      <c r="A40" s="23">
        <v>2252</v>
      </c>
      <c r="B40" s="32" t="s">
        <v>7</v>
      </c>
      <c r="C40" s="25"/>
      <c r="D40" s="25">
        <f t="shared" si="3"/>
        <v>0</v>
      </c>
      <c r="E40" s="25">
        <f t="shared" si="4"/>
        <v>0</v>
      </c>
      <c r="F40" s="25">
        <f t="shared" si="6"/>
        <v>0</v>
      </c>
      <c r="G40" s="25">
        <f t="shared" si="6"/>
        <v>0</v>
      </c>
      <c r="H40" s="25">
        <f t="shared" si="5"/>
        <v>0</v>
      </c>
    </row>
    <row r="41" spans="1:8" ht="15.75" hidden="1">
      <c r="A41" s="23">
        <v>2259</v>
      </c>
      <c r="B41" s="32" t="s">
        <v>8</v>
      </c>
      <c r="C41" s="25"/>
      <c r="D41" s="25">
        <f t="shared" si="3"/>
        <v>0</v>
      </c>
      <c r="E41" s="25">
        <f t="shared" si="4"/>
        <v>0</v>
      </c>
      <c r="F41" s="25">
        <f t="shared" si="6"/>
        <v>0</v>
      </c>
      <c r="G41" s="25">
        <f t="shared" si="6"/>
        <v>0</v>
      </c>
      <c r="H41" s="25">
        <f t="shared" si="5"/>
        <v>0</v>
      </c>
    </row>
    <row r="42" spans="1:8" ht="15.75">
      <c r="A42" s="23">
        <v>2261</v>
      </c>
      <c r="B42" s="32" t="s">
        <v>14</v>
      </c>
      <c r="C42" s="25">
        <v>2</v>
      </c>
      <c r="D42" s="25">
        <f t="shared" si="3"/>
        <v>2.85</v>
      </c>
      <c r="E42" s="25">
        <f t="shared" si="4"/>
        <v>0.27</v>
      </c>
      <c r="F42" s="25">
        <f t="shared" si="6"/>
        <v>0.27</v>
      </c>
      <c r="G42" s="25">
        <f t="shared" si="6"/>
        <v>0.27</v>
      </c>
      <c r="H42" s="25">
        <f t="shared" si="5"/>
        <v>0.10800000000000001</v>
      </c>
    </row>
    <row r="43" spans="1:8" ht="15.75">
      <c r="A43" s="23">
        <v>2262</v>
      </c>
      <c r="B43" s="32" t="s">
        <v>15</v>
      </c>
      <c r="C43" s="25">
        <v>9</v>
      </c>
      <c r="D43" s="25">
        <f t="shared" si="3"/>
        <v>12.81</v>
      </c>
      <c r="E43" s="25">
        <f t="shared" si="4"/>
        <v>1.19</v>
      </c>
      <c r="F43" s="25">
        <f t="shared" si="6"/>
        <v>1.19</v>
      </c>
      <c r="G43" s="25">
        <f t="shared" si="6"/>
        <v>1.19</v>
      </c>
      <c r="H43" s="25">
        <f t="shared" si="5"/>
        <v>0.476</v>
      </c>
    </row>
    <row r="44" spans="1:8" ht="15.75">
      <c r="A44" s="23">
        <v>2263</v>
      </c>
      <c r="B44" s="32" t="s">
        <v>16</v>
      </c>
      <c r="C44" s="25">
        <v>33</v>
      </c>
      <c r="D44" s="25">
        <f t="shared" si="3"/>
        <v>46.95</v>
      </c>
      <c r="E44" s="25">
        <f t="shared" si="4"/>
        <v>4.38</v>
      </c>
      <c r="F44" s="25">
        <f t="shared" si="6"/>
        <v>4.38</v>
      </c>
      <c r="G44" s="25">
        <f t="shared" si="6"/>
        <v>4.38</v>
      </c>
      <c r="H44" s="25">
        <f t="shared" si="5"/>
        <v>1.752</v>
      </c>
    </row>
    <row r="45" spans="1:8" ht="15.75" hidden="1">
      <c r="A45" s="23">
        <v>2264</v>
      </c>
      <c r="B45" s="32" t="s">
        <v>17</v>
      </c>
      <c r="C45" s="25">
        <v>0</v>
      </c>
      <c r="D45" s="25">
        <f t="shared" si="3"/>
        <v>0</v>
      </c>
      <c r="E45" s="25">
        <f t="shared" si="4"/>
        <v>0</v>
      </c>
      <c r="F45" s="25">
        <f t="shared" si="6"/>
        <v>0</v>
      </c>
      <c r="G45" s="25">
        <f t="shared" si="6"/>
        <v>0</v>
      </c>
      <c r="H45" s="25">
        <f t="shared" si="5"/>
        <v>0</v>
      </c>
    </row>
    <row r="46" spans="1:8" ht="15.75">
      <c r="A46" s="23">
        <v>2279</v>
      </c>
      <c r="B46" s="32" t="s">
        <v>18</v>
      </c>
      <c r="C46" s="25">
        <v>37</v>
      </c>
      <c r="D46" s="25">
        <f t="shared" si="3"/>
        <v>52.65</v>
      </c>
      <c r="E46" s="25">
        <f t="shared" si="4"/>
        <v>4.91</v>
      </c>
      <c r="F46" s="25">
        <f t="shared" si="6"/>
        <v>4.91</v>
      </c>
      <c r="G46" s="25">
        <f t="shared" si="6"/>
        <v>4.91</v>
      </c>
      <c r="H46" s="25">
        <f t="shared" si="5"/>
        <v>1.9640000000000002</v>
      </c>
    </row>
    <row r="47" spans="1:8" ht="15.75">
      <c r="A47" s="23">
        <v>2311</v>
      </c>
      <c r="B47" s="32" t="s">
        <v>19</v>
      </c>
      <c r="C47" s="25">
        <v>3</v>
      </c>
      <c r="D47" s="25">
        <f t="shared" si="3"/>
        <v>4.27</v>
      </c>
      <c r="E47" s="25">
        <f t="shared" si="4"/>
        <v>0.4</v>
      </c>
      <c r="F47" s="25">
        <f t="shared" si="6"/>
        <v>0.4</v>
      </c>
      <c r="G47" s="25">
        <f t="shared" si="6"/>
        <v>0.4</v>
      </c>
      <c r="H47" s="25">
        <f t="shared" si="5"/>
        <v>0.16</v>
      </c>
    </row>
    <row r="48" spans="1:8" ht="15.75">
      <c r="A48" s="23">
        <v>2312</v>
      </c>
      <c r="B48" s="32" t="s">
        <v>20</v>
      </c>
      <c r="C48" s="25">
        <v>6</v>
      </c>
      <c r="D48" s="25">
        <f t="shared" si="3"/>
        <v>8.54</v>
      </c>
      <c r="E48" s="25">
        <f t="shared" si="4"/>
        <v>0.8</v>
      </c>
      <c r="F48" s="25">
        <f t="shared" si="6"/>
        <v>0.8</v>
      </c>
      <c r="G48" s="25">
        <f t="shared" si="6"/>
        <v>0.8</v>
      </c>
      <c r="H48" s="25">
        <f t="shared" si="5"/>
        <v>0.32</v>
      </c>
    </row>
    <row r="49" spans="1:8" ht="15.75" hidden="1">
      <c r="A49" s="23">
        <v>2321</v>
      </c>
      <c r="B49" s="32" t="s">
        <v>21</v>
      </c>
      <c r="C49" s="25"/>
      <c r="D49" s="25">
        <f t="shared" si="3"/>
        <v>0</v>
      </c>
      <c r="E49" s="25">
        <f t="shared" si="4"/>
        <v>0</v>
      </c>
      <c r="F49" s="25">
        <f t="shared" si="6"/>
        <v>0</v>
      </c>
      <c r="G49" s="25">
        <f t="shared" si="6"/>
        <v>0</v>
      </c>
      <c r="H49" s="25">
        <f t="shared" si="5"/>
        <v>0</v>
      </c>
    </row>
    <row r="50" spans="1:8" ht="15.75">
      <c r="A50" s="23">
        <v>2322</v>
      </c>
      <c r="B50" s="32" t="s">
        <v>22</v>
      </c>
      <c r="C50" s="25">
        <v>24</v>
      </c>
      <c r="D50" s="25">
        <f t="shared" si="3"/>
        <v>34.15</v>
      </c>
      <c r="E50" s="25">
        <f t="shared" si="4"/>
        <v>3.19</v>
      </c>
      <c r="F50" s="25">
        <v>3.16</v>
      </c>
      <c r="G50" s="25">
        <f t="shared" si="6"/>
        <v>3.16</v>
      </c>
      <c r="H50" s="25">
        <f t="shared" si="5"/>
        <v>1.2640000000000002</v>
      </c>
    </row>
    <row r="51" spans="1:8" ht="15.75">
      <c r="A51" s="23">
        <v>2341</v>
      </c>
      <c r="B51" s="32" t="s">
        <v>23</v>
      </c>
      <c r="C51" s="25">
        <v>5</v>
      </c>
      <c r="D51" s="25">
        <f t="shared" si="3"/>
        <v>7.11</v>
      </c>
      <c r="E51" s="25">
        <f t="shared" si="4"/>
        <v>0.66</v>
      </c>
      <c r="F51" s="25">
        <f t="shared" si="6"/>
        <v>0.66</v>
      </c>
      <c r="G51" s="25">
        <f t="shared" si="6"/>
        <v>0.66</v>
      </c>
      <c r="H51" s="25">
        <f t="shared" si="5"/>
        <v>0.264</v>
      </c>
    </row>
    <row r="52" spans="1:8" ht="15.75" hidden="1">
      <c r="A52" s="23">
        <v>2344</v>
      </c>
      <c r="B52" s="32" t="s">
        <v>24</v>
      </c>
      <c r="C52" s="25">
        <v>0</v>
      </c>
      <c r="D52" s="25">
        <f t="shared" si="3"/>
        <v>0</v>
      </c>
      <c r="E52" s="25">
        <f t="shared" si="4"/>
        <v>0</v>
      </c>
      <c r="F52" s="25">
        <f t="shared" si="6"/>
        <v>0</v>
      </c>
      <c r="G52" s="25">
        <f t="shared" si="6"/>
        <v>0</v>
      </c>
      <c r="H52" s="25">
        <f t="shared" si="5"/>
        <v>0</v>
      </c>
    </row>
    <row r="53" spans="1:8" ht="15.75">
      <c r="A53" s="23">
        <v>2350</v>
      </c>
      <c r="B53" s="32" t="s">
        <v>25</v>
      </c>
      <c r="C53" s="25">
        <v>29</v>
      </c>
      <c r="D53" s="25">
        <f t="shared" si="3"/>
        <v>41.26</v>
      </c>
      <c r="E53" s="25">
        <f t="shared" si="4"/>
        <v>3.85</v>
      </c>
      <c r="F53" s="25">
        <f t="shared" si="6"/>
        <v>3.85</v>
      </c>
      <c r="G53" s="25">
        <f t="shared" si="6"/>
        <v>3.85</v>
      </c>
      <c r="H53" s="25">
        <f t="shared" si="5"/>
        <v>1.54</v>
      </c>
    </row>
    <row r="54" spans="1:8" ht="15.75">
      <c r="A54" s="23">
        <v>2361</v>
      </c>
      <c r="B54" s="32" t="s">
        <v>26</v>
      </c>
      <c r="C54" s="25">
        <v>18</v>
      </c>
      <c r="D54" s="25">
        <f t="shared" si="3"/>
        <v>25.61</v>
      </c>
      <c r="E54" s="25">
        <f t="shared" si="4"/>
        <v>2.39</v>
      </c>
      <c r="F54" s="25">
        <f t="shared" si="6"/>
        <v>2.39</v>
      </c>
      <c r="G54" s="25">
        <f t="shared" si="6"/>
        <v>2.39</v>
      </c>
      <c r="H54" s="25">
        <f t="shared" si="5"/>
        <v>0.9560000000000001</v>
      </c>
    </row>
    <row r="55" spans="1:8" ht="15.75" hidden="1">
      <c r="A55" s="23">
        <v>2362</v>
      </c>
      <c r="B55" s="32" t="s">
        <v>27</v>
      </c>
      <c r="C55" s="25"/>
      <c r="D55" s="25">
        <f t="shared" si="3"/>
        <v>0</v>
      </c>
      <c r="E55" s="25">
        <f t="shared" si="4"/>
        <v>0</v>
      </c>
      <c r="F55" s="25">
        <f t="shared" si="6"/>
        <v>0</v>
      </c>
      <c r="G55" s="25">
        <f t="shared" si="6"/>
        <v>0</v>
      </c>
      <c r="H55" s="25">
        <f t="shared" si="5"/>
        <v>0</v>
      </c>
    </row>
    <row r="56" spans="1:8" ht="15.75" hidden="1">
      <c r="A56" s="23">
        <v>2363</v>
      </c>
      <c r="B56" s="32" t="s">
        <v>28</v>
      </c>
      <c r="C56" s="25"/>
      <c r="D56" s="25">
        <f t="shared" si="3"/>
        <v>0</v>
      </c>
      <c r="E56" s="25">
        <f t="shared" si="4"/>
        <v>0</v>
      </c>
      <c r="F56" s="25">
        <f t="shared" si="6"/>
        <v>0</v>
      </c>
      <c r="G56" s="25">
        <f t="shared" si="6"/>
        <v>0</v>
      </c>
      <c r="H56" s="25">
        <f t="shared" si="5"/>
        <v>0</v>
      </c>
    </row>
    <row r="57" spans="1:8" ht="15.75" hidden="1">
      <c r="A57" s="23">
        <v>2370</v>
      </c>
      <c r="B57" s="32" t="s">
        <v>29</v>
      </c>
      <c r="C57" s="25"/>
      <c r="D57" s="25">
        <f t="shared" si="3"/>
        <v>0</v>
      </c>
      <c r="E57" s="25">
        <f t="shared" si="4"/>
        <v>0</v>
      </c>
      <c r="F57" s="25">
        <f t="shared" si="6"/>
        <v>0</v>
      </c>
      <c r="G57" s="25">
        <f t="shared" si="6"/>
        <v>0</v>
      </c>
      <c r="H57" s="25">
        <f t="shared" si="5"/>
        <v>0</v>
      </c>
    </row>
    <row r="58" spans="1:8" ht="15.75">
      <c r="A58" s="23">
        <v>2400</v>
      </c>
      <c r="B58" s="32" t="s">
        <v>43</v>
      </c>
      <c r="C58" s="25">
        <v>1</v>
      </c>
      <c r="D58" s="25">
        <f t="shared" si="3"/>
        <v>1.42</v>
      </c>
      <c r="E58" s="25">
        <f t="shared" si="4"/>
        <v>0.13</v>
      </c>
      <c r="F58" s="25">
        <f t="shared" si="6"/>
        <v>0.13</v>
      </c>
      <c r="G58" s="25">
        <f t="shared" si="6"/>
        <v>0.13</v>
      </c>
      <c r="H58" s="25">
        <f t="shared" si="5"/>
        <v>0.052</v>
      </c>
    </row>
    <row r="59" spans="1:8" ht="15.75" hidden="1">
      <c r="A59" s="23">
        <v>2512</v>
      </c>
      <c r="B59" s="32" t="s">
        <v>30</v>
      </c>
      <c r="C59" s="25">
        <v>0</v>
      </c>
      <c r="D59" s="25">
        <f t="shared" si="3"/>
        <v>0</v>
      </c>
      <c r="E59" s="25">
        <f t="shared" si="4"/>
        <v>0</v>
      </c>
      <c r="F59" s="25">
        <f t="shared" si="6"/>
        <v>0</v>
      </c>
      <c r="G59" s="25">
        <f t="shared" si="6"/>
        <v>0</v>
      </c>
      <c r="H59" s="25">
        <f t="shared" si="5"/>
        <v>0</v>
      </c>
    </row>
    <row r="60" spans="1:8" ht="15.75">
      <c r="A60" s="23">
        <v>2513</v>
      </c>
      <c r="B60" s="32" t="s">
        <v>31</v>
      </c>
      <c r="C60" s="25">
        <v>16</v>
      </c>
      <c r="D60" s="25">
        <f t="shared" si="3"/>
        <v>22.77</v>
      </c>
      <c r="E60" s="25">
        <f t="shared" si="4"/>
        <v>2.12</v>
      </c>
      <c r="F60" s="25">
        <f t="shared" si="6"/>
        <v>2.12</v>
      </c>
      <c r="G60" s="25">
        <f t="shared" si="6"/>
        <v>2.12</v>
      </c>
      <c r="H60" s="25">
        <f t="shared" si="5"/>
        <v>0.848</v>
      </c>
    </row>
    <row r="61" spans="1:8" ht="15.75">
      <c r="A61" s="23">
        <v>2515</v>
      </c>
      <c r="B61" s="32" t="s">
        <v>78</v>
      </c>
      <c r="C61" s="25">
        <v>1</v>
      </c>
      <c r="D61" s="25">
        <f t="shared" si="3"/>
        <v>1.42</v>
      </c>
      <c r="E61" s="25">
        <f t="shared" si="4"/>
        <v>0.13</v>
      </c>
      <c r="F61" s="25">
        <f t="shared" si="6"/>
        <v>0.13</v>
      </c>
      <c r="G61" s="25">
        <f t="shared" si="6"/>
        <v>0.13</v>
      </c>
      <c r="H61" s="25">
        <f t="shared" si="5"/>
        <v>0.052</v>
      </c>
    </row>
    <row r="62" spans="1:8" ht="15.75">
      <c r="A62" s="23">
        <v>2519</v>
      </c>
      <c r="B62" s="32" t="s">
        <v>34</v>
      </c>
      <c r="C62" s="25">
        <v>4</v>
      </c>
      <c r="D62" s="25">
        <f t="shared" si="3"/>
        <v>5.69</v>
      </c>
      <c r="E62" s="25">
        <f t="shared" si="4"/>
        <v>0.53</v>
      </c>
      <c r="F62" s="25">
        <f t="shared" si="6"/>
        <v>0.53</v>
      </c>
      <c r="G62" s="25">
        <f t="shared" si="6"/>
        <v>0.53</v>
      </c>
      <c r="H62" s="25">
        <f t="shared" si="5"/>
        <v>0.212</v>
      </c>
    </row>
    <row r="63" spans="1:8" ht="15.75" hidden="1">
      <c r="A63" s="23">
        <v>6240</v>
      </c>
      <c r="B63" s="32"/>
      <c r="C63" s="25"/>
      <c r="D63" s="25">
        <f t="shared" si="3"/>
        <v>0</v>
      </c>
      <c r="E63" s="25">
        <f t="shared" si="4"/>
        <v>0</v>
      </c>
      <c r="F63" s="25">
        <f t="shared" si="6"/>
        <v>0</v>
      </c>
      <c r="G63" s="25">
        <f t="shared" si="6"/>
        <v>0</v>
      </c>
      <c r="H63" s="25">
        <f t="shared" si="5"/>
        <v>0</v>
      </c>
    </row>
    <row r="64" spans="1:8" ht="15.75" hidden="1">
      <c r="A64" s="23">
        <v>6290</v>
      </c>
      <c r="B64" s="32"/>
      <c r="C64" s="25"/>
      <c r="D64" s="25">
        <f t="shared" si="3"/>
        <v>0</v>
      </c>
      <c r="E64" s="25">
        <f t="shared" si="4"/>
        <v>0</v>
      </c>
      <c r="F64" s="25">
        <f t="shared" si="6"/>
        <v>0</v>
      </c>
      <c r="G64" s="25">
        <f t="shared" si="6"/>
        <v>0</v>
      </c>
      <c r="H64" s="25">
        <f t="shared" si="5"/>
        <v>0</v>
      </c>
    </row>
    <row r="65" spans="1:8" ht="15.75">
      <c r="A65" s="23">
        <v>5121</v>
      </c>
      <c r="B65" s="32" t="s">
        <v>32</v>
      </c>
      <c r="C65" s="25">
        <v>4</v>
      </c>
      <c r="D65" s="25">
        <v>5.7</v>
      </c>
      <c r="E65" s="25">
        <f t="shared" si="4"/>
        <v>0.53</v>
      </c>
      <c r="F65" s="25">
        <f t="shared" si="6"/>
        <v>0.53</v>
      </c>
      <c r="G65" s="25">
        <v>0.62</v>
      </c>
      <c r="H65" s="25">
        <f t="shared" si="5"/>
        <v>0.248</v>
      </c>
    </row>
    <row r="66" spans="1:8" ht="15.75" hidden="1">
      <c r="A66" s="23">
        <v>5232</v>
      </c>
      <c r="B66" s="32" t="s">
        <v>33</v>
      </c>
      <c r="C66" s="25">
        <v>0</v>
      </c>
      <c r="D66" s="32"/>
      <c r="E66" s="25">
        <v>0</v>
      </c>
      <c r="F66" s="25">
        <f>E66/8941*200</f>
        <v>0</v>
      </c>
      <c r="G66" s="25">
        <f>F66</f>
        <v>0</v>
      </c>
      <c r="H66" s="25">
        <f t="shared" si="5"/>
        <v>0</v>
      </c>
    </row>
    <row r="67" spans="1:8" ht="15.75" hidden="1">
      <c r="A67" s="23">
        <v>5238</v>
      </c>
      <c r="B67" s="32" t="s">
        <v>35</v>
      </c>
      <c r="C67" s="25">
        <v>0</v>
      </c>
      <c r="D67" s="32"/>
      <c r="E67" s="25">
        <v>0</v>
      </c>
      <c r="F67" s="25">
        <f>E67/8941*200</f>
        <v>0</v>
      </c>
      <c r="G67" s="25">
        <f>F67</f>
        <v>0</v>
      </c>
      <c r="H67" s="25">
        <f t="shared" si="5"/>
        <v>0</v>
      </c>
    </row>
    <row r="68" spans="1:8" ht="15.75" hidden="1">
      <c r="A68" s="23">
        <v>5240</v>
      </c>
      <c r="B68" s="32" t="s">
        <v>36</v>
      </c>
      <c r="C68" s="25">
        <v>0</v>
      </c>
      <c r="D68" s="32"/>
      <c r="E68" s="25">
        <v>0</v>
      </c>
      <c r="F68" s="25">
        <f>E68/8941*200</f>
        <v>0</v>
      </c>
      <c r="G68" s="25">
        <f>F68</f>
        <v>0</v>
      </c>
      <c r="H68" s="25">
        <f t="shared" si="5"/>
        <v>0</v>
      </c>
    </row>
    <row r="69" spans="1:8" ht="15.75" hidden="1">
      <c r="A69" s="23">
        <v>5250</v>
      </c>
      <c r="B69" s="32" t="s">
        <v>37</v>
      </c>
      <c r="C69" s="25"/>
      <c r="D69" s="32"/>
      <c r="E69" s="25"/>
      <c r="F69" s="25">
        <f>E69/20*20</f>
        <v>0</v>
      </c>
      <c r="G69" s="25">
        <f>F69</f>
        <v>0</v>
      </c>
      <c r="H69" s="25">
        <f>G69/50*20</f>
        <v>0</v>
      </c>
    </row>
    <row r="70" spans="1:8" ht="15.75">
      <c r="A70" s="29"/>
      <c r="B70" s="48" t="s">
        <v>79</v>
      </c>
      <c r="C70" s="28">
        <f aca="true" t="shared" si="7" ref="C70:H70">SUM(C26:C69)</f>
        <v>656.25</v>
      </c>
      <c r="D70" s="28">
        <f t="shared" si="7"/>
        <v>933.7599999999999</v>
      </c>
      <c r="E70" s="28">
        <f t="shared" si="7"/>
        <v>87.1</v>
      </c>
      <c r="F70" s="28">
        <f t="shared" si="7"/>
        <v>88.11999999999999</v>
      </c>
      <c r="G70" s="28">
        <f t="shared" si="7"/>
        <v>88.21</v>
      </c>
      <c r="H70" s="28">
        <f t="shared" si="7"/>
        <v>35.284</v>
      </c>
    </row>
    <row r="71" spans="1:8" ht="15.75">
      <c r="A71" s="29"/>
      <c r="B71" s="48" t="s">
        <v>80</v>
      </c>
      <c r="C71" s="28">
        <f aca="true" t="shared" si="8" ref="C71:H71">C70+C24</f>
        <v>1876</v>
      </c>
      <c r="D71" s="28">
        <f t="shared" si="8"/>
        <v>2669.2999999999997</v>
      </c>
      <c r="E71" s="28">
        <f t="shared" si="8"/>
        <v>249</v>
      </c>
      <c r="F71" s="28">
        <f t="shared" si="8"/>
        <v>256.5</v>
      </c>
      <c r="G71" s="28">
        <f t="shared" si="8"/>
        <v>290.5</v>
      </c>
      <c r="H71" s="28">
        <f t="shared" si="8"/>
        <v>120.6</v>
      </c>
    </row>
    <row r="72" spans="1:8" ht="15.75">
      <c r="A72" s="9"/>
      <c r="B72" s="14"/>
      <c r="C72" s="35"/>
      <c r="D72" s="35"/>
      <c r="E72" s="35"/>
      <c r="F72" s="35"/>
      <c r="G72" s="35"/>
      <c r="H72" s="35"/>
    </row>
    <row r="73" spans="1:8" ht="15.75">
      <c r="A73" s="212" t="s">
        <v>45</v>
      </c>
      <c r="B73" s="213"/>
      <c r="C73" s="36">
        <v>536</v>
      </c>
      <c r="D73" s="36">
        <v>536</v>
      </c>
      <c r="E73" s="42">
        <v>50</v>
      </c>
      <c r="F73" s="42">
        <v>50</v>
      </c>
      <c r="G73" s="42">
        <v>50</v>
      </c>
      <c r="H73" s="162">
        <v>20</v>
      </c>
    </row>
    <row r="74" spans="1:8" ht="15.75">
      <c r="A74" s="212" t="s">
        <v>91</v>
      </c>
      <c r="B74" s="213"/>
      <c r="C74" s="100">
        <f>C71/C73</f>
        <v>3.5</v>
      </c>
      <c r="D74" s="100">
        <f>ROUND(D71/D73,2)</f>
        <v>4.98</v>
      </c>
      <c r="E74" s="28">
        <f>ROUND(E71/E73,2)</f>
        <v>4.98</v>
      </c>
      <c r="F74" s="28">
        <f>ROUND(F71/F73,2)</f>
        <v>5.13</v>
      </c>
      <c r="G74" s="28">
        <f>ROUND(G71/G73,2)</f>
        <v>5.81</v>
      </c>
      <c r="H74" s="164">
        <f>ROUND(H71/H73,2)</f>
        <v>6.03</v>
      </c>
    </row>
    <row r="75" spans="1:8" ht="15.75">
      <c r="A75" s="14"/>
      <c r="B75" s="11"/>
      <c r="C75" s="11"/>
      <c r="D75" s="11"/>
      <c r="E75" s="35"/>
      <c r="F75" s="85"/>
      <c r="G75" s="85"/>
      <c r="H75" s="85"/>
    </row>
    <row r="76" spans="1:8" ht="15.75">
      <c r="A76" s="212" t="s">
        <v>46</v>
      </c>
      <c r="B76" s="213"/>
      <c r="C76" s="72"/>
      <c r="D76" s="72"/>
      <c r="E76" s="106"/>
      <c r="F76" s="106"/>
      <c r="G76" s="106"/>
      <c r="H76" s="106"/>
    </row>
    <row r="77" spans="1:8" ht="15.75">
      <c r="A77" s="212" t="s">
        <v>56</v>
      </c>
      <c r="B77" s="213"/>
      <c r="C77" s="72"/>
      <c r="D77" s="72"/>
      <c r="E77" s="106"/>
      <c r="F77" s="106"/>
      <c r="G77" s="106"/>
      <c r="H77" s="106"/>
    </row>
    <row r="78" spans="1:8" ht="15.75">
      <c r="A78" s="38"/>
      <c r="B78" s="38"/>
      <c r="C78" s="38"/>
      <c r="D78" s="38"/>
      <c r="E78" s="107"/>
      <c r="F78" s="107"/>
      <c r="G78" s="107"/>
      <c r="H78" s="107"/>
    </row>
    <row r="79" spans="1:8" ht="15.75">
      <c r="A79" s="38" t="s">
        <v>47</v>
      </c>
      <c r="B79" s="38"/>
      <c r="C79" s="38"/>
      <c r="D79" s="38"/>
      <c r="E79" s="107"/>
      <c r="F79" s="107"/>
      <c r="G79" s="107"/>
      <c r="H79" s="107"/>
    </row>
    <row r="80" spans="1:8" ht="15.75">
      <c r="A80" s="38"/>
      <c r="B80" s="38"/>
      <c r="C80" s="38"/>
      <c r="D80" s="38"/>
      <c r="E80" s="38"/>
      <c r="F80" s="38"/>
      <c r="G80" s="38"/>
      <c r="H80" s="38"/>
    </row>
    <row r="81" spans="1:8" ht="15.75">
      <c r="A81" s="38"/>
      <c r="B81" s="39"/>
      <c r="C81" s="39"/>
      <c r="D81" s="39"/>
      <c r="E81" s="39"/>
      <c r="F81" s="38"/>
      <c r="G81" s="38"/>
      <c r="H81" s="38"/>
    </row>
    <row r="82" spans="1:8" ht="15.75">
      <c r="A82" s="38"/>
      <c r="B82" s="101"/>
      <c r="C82" s="101"/>
      <c r="D82" s="101"/>
      <c r="E82" s="39"/>
      <c r="F82" s="38"/>
      <c r="G82" s="38"/>
      <c r="H82" s="38"/>
    </row>
    <row r="83" spans="2:5" ht="15">
      <c r="B83" s="232"/>
      <c r="C83" s="232"/>
      <c r="D83" s="232"/>
      <c r="E83" s="232"/>
    </row>
    <row r="84" spans="2:5" ht="15">
      <c r="B84" s="2"/>
      <c r="C84" s="2"/>
      <c r="D84" s="2"/>
      <c r="E84" s="2"/>
    </row>
  </sheetData>
  <sheetProtection/>
  <mergeCells count="12">
    <mergeCell ref="A77:B77"/>
    <mergeCell ref="B83:E83"/>
    <mergeCell ref="B7:E7"/>
    <mergeCell ref="B8:E8"/>
    <mergeCell ref="B9:E9"/>
    <mergeCell ref="A73:B73"/>
    <mergeCell ref="A74:B74"/>
    <mergeCell ref="A76:B76"/>
    <mergeCell ref="A3:H3"/>
    <mergeCell ref="B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Layout" workbookViewId="0" topLeftCell="A1">
      <selection activeCell="B85" sqref="B85"/>
    </sheetView>
  </sheetViews>
  <sheetFormatPr defaultColWidth="9.140625" defaultRowHeight="12.75"/>
  <cols>
    <col min="1" max="1" width="15.57421875" style="15" customWidth="1"/>
    <col min="2" max="2" width="88.00390625" style="15" customWidth="1"/>
    <col min="3" max="3" width="20.8515625" style="15" hidden="1" customWidth="1"/>
    <col min="4" max="6" width="18.28125" style="15" hidden="1" customWidth="1"/>
    <col min="7" max="7" width="24.00390625" style="15" hidden="1" customWidth="1"/>
    <col min="8" max="8" width="22.28125" style="0" customWidth="1"/>
  </cols>
  <sheetData>
    <row r="1" spans="2:8" ht="15.75">
      <c r="B1" s="12"/>
      <c r="C1" s="76"/>
      <c r="D1" s="76"/>
      <c r="E1" s="76"/>
      <c r="F1" s="76"/>
      <c r="G1" s="9" t="s">
        <v>204</v>
      </c>
      <c r="H1" s="13"/>
    </row>
    <row r="2" ht="15.75">
      <c r="C2" s="77"/>
    </row>
    <row r="3" spans="1:7" ht="15.75">
      <c r="A3" s="208" t="s">
        <v>6</v>
      </c>
      <c r="B3" s="208"/>
      <c r="C3" s="208"/>
      <c r="D3" s="208"/>
      <c r="E3" s="208"/>
      <c r="F3" s="208"/>
      <c r="G3" s="208"/>
    </row>
    <row r="4" spans="2:3" ht="15.75">
      <c r="B4" s="209"/>
      <c r="C4" s="209"/>
    </row>
    <row r="5" spans="1:3" ht="15.75">
      <c r="A5" s="195" t="s">
        <v>1</v>
      </c>
      <c r="B5" s="195"/>
      <c r="C5" s="195"/>
    </row>
    <row r="6" spans="1:7" ht="15.75">
      <c r="A6" s="195" t="s">
        <v>0</v>
      </c>
      <c r="B6" s="195"/>
      <c r="C6" s="195"/>
      <c r="G6" s="14"/>
    </row>
    <row r="7" spans="1:7" ht="15.75">
      <c r="A7" s="8"/>
      <c r="B7" s="195" t="s">
        <v>44</v>
      </c>
      <c r="C7" s="195"/>
      <c r="G7" s="14"/>
    </row>
    <row r="8" spans="1:3" ht="15.75">
      <c r="A8" s="8"/>
      <c r="B8" s="195" t="s">
        <v>100</v>
      </c>
      <c r="C8" s="195"/>
    </row>
    <row r="9" spans="1:3" ht="15.75">
      <c r="A9" s="8"/>
      <c r="B9" s="195" t="s">
        <v>117</v>
      </c>
      <c r="C9" s="195"/>
    </row>
    <row r="10" spans="1:3" ht="15.75">
      <c r="A10" s="8" t="s">
        <v>2</v>
      </c>
      <c r="B10" s="176" t="s">
        <v>205</v>
      </c>
      <c r="C10" s="8"/>
    </row>
    <row r="11" spans="2:3" ht="15.75" hidden="1">
      <c r="B11" s="16"/>
      <c r="C11" s="77"/>
    </row>
    <row r="12" spans="1:8" ht="66.75" customHeight="1">
      <c r="A12" s="59" t="s">
        <v>3</v>
      </c>
      <c r="B12" s="59" t="s">
        <v>4</v>
      </c>
      <c r="C12" s="17"/>
      <c r="D12" s="17"/>
      <c r="E12" s="17"/>
      <c r="F12" s="17"/>
      <c r="G12" s="59" t="s">
        <v>5</v>
      </c>
      <c r="H12" s="59" t="s">
        <v>5</v>
      </c>
    </row>
    <row r="13" spans="1:8" ht="15.75">
      <c r="A13" s="18">
        <v>1</v>
      </c>
      <c r="B13" s="19">
        <v>2</v>
      </c>
      <c r="C13" s="18">
        <v>3</v>
      </c>
      <c r="D13" s="19">
        <v>3</v>
      </c>
      <c r="E13" s="19"/>
      <c r="F13" s="19"/>
      <c r="G13" s="19"/>
      <c r="H13" s="19">
        <v>3</v>
      </c>
    </row>
    <row r="14" spans="1:8" ht="15.75">
      <c r="A14" s="20"/>
      <c r="B14" s="45" t="s">
        <v>71</v>
      </c>
      <c r="C14" s="97"/>
      <c r="D14" s="23"/>
      <c r="E14" s="23"/>
      <c r="F14" s="23"/>
      <c r="G14" s="23"/>
      <c r="H14" s="23"/>
    </row>
    <row r="15" spans="1:8" ht="15.75">
      <c r="A15" s="23">
        <v>1100</v>
      </c>
      <c r="B15" s="23" t="s">
        <v>72</v>
      </c>
      <c r="C15" s="153">
        <v>16452.4</v>
      </c>
      <c r="D15" s="25">
        <f aca="true" t="shared" si="0" ref="D15:D20">C15/4056*50</f>
        <v>202.81558185404342</v>
      </c>
      <c r="E15" s="25">
        <f aca="true" t="shared" si="1" ref="E15:E24">ROUND(D15/0.702804,2)</f>
        <v>288.58</v>
      </c>
      <c r="F15" s="25">
        <v>366.5</v>
      </c>
      <c r="G15" s="25">
        <f>F15/50*50+50*0.725</f>
        <v>402.75</v>
      </c>
      <c r="H15" s="25">
        <f>G15/50*550</f>
        <v>4430.25</v>
      </c>
    </row>
    <row r="16" spans="1:8" ht="15.75" customHeight="1">
      <c r="A16" s="23">
        <v>1200</v>
      </c>
      <c r="B16" s="32" t="s">
        <v>73</v>
      </c>
      <c r="C16" s="47">
        <v>3963.38</v>
      </c>
      <c r="D16" s="25">
        <f t="shared" si="0"/>
        <v>48.85823471400394</v>
      </c>
      <c r="E16" s="25">
        <f t="shared" si="1"/>
        <v>69.52</v>
      </c>
      <c r="F16" s="25">
        <v>88.29</v>
      </c>
      <c r="G16" s="25">
        <f>F16/50*50+50*0.175</f>
        <v>97.04</v>
      </c>
      <c r="H16" s="25">
        <f aca="true" t="shared" si="2" ref="H16:H24">G16/50*550</f>
        <v>1067.44</v>
      </c>
    </row>
    <row r="17" spans="1:8" ht="15.75" hidden="1">
      <c r="A17" s="23"/>
      <c r="B17" s="23"/>
      <c r="C17" s="25"/>
      <c r="D17" s="25">
        <f t="shared" si="0"/>
        <v>0</v>
      </c>
      <c r="E17" s="25">
        <f t="shared" si="1"/>
        <v>0</v>
      </c>
      <c r="F17" s="25">
        <f>E17</f>
        <v>0</v>
      </c>
      <c r="G17" s="25">
        <f aca="true" t="shared" si="3" ref="G17:G24">F17/50*50</f>
        <v>0</v>
      </c>
      <c r="H17" s="25">
        <f t="shared" si="2"/>
        <v>0</v>
      </c>
    </row>
    <row r="18" spans="1:8" ht="15.75" hidden="1">
      <c r="A18" s="31">
        <v>2341</v>
      </c>
      <c r="B18" s="32" t="s">
        <v>23</v>
      </c>
      <c r="C18" s="25">
        <v>0</v>
      </c>
      <c r="D18" s="25">
        <f t="shared" si="0"/>
        <v>0</v>
      </c>
      <c r="E18" s="25">
        <f t="shared" si="1"/>
        <v>0</v>
      </c>
      <c r="F18" s="25">
        <f aca="true" t="shared" si="4" ref="F18:F24">E18</f>
        <v>0</v>
      </c>
      <c r="G18" s="25">
        <f t="shared" si="3"/>
        <v>0</v>
      </c>
      <c r="H18" s="25">
        <f t="shared" si="2"/>
        <v>0</v>
      </c>
    </row>
    <row r="19" spans="1:8" ht="15.75" hidden="1">
      <c r="A19" s="23">
        <v>2249</v>
      </c>
      <c r="B19" s="32" t="s">
        <v>13</v>
      </c>
      <c r="C19" s="25">
        <v>0</v>
      </c>
      <c r="D19" s="25">
        <f t="shared" si="0"/>
        <v>0</v>
      </c>
      <c r="E19" s="25">
        <f t="shared" si="1"/>
        <v>0</v>
      </c>
      <c r="F19" s="25">
        <f t="shared" si="4"/>
        <v>0</v>
      </c>
      <c r="G19" s="25">
        <f t="shared" si="3"/>
        <v>0</v>
      </c>
      <c r="H19" s="25">
        <f t="shared" si="2"/>
        <v>0</v>
      </c>
    </row>
    <row r="20" spans="1:8" ht="15.75" hidden="1">
      <c r="A20" s="23">
        <v>2341</v>
      </c>
      <c r="B20" s="32" t="s">
        <v>23</v>
      </c>
      <c r="C20" s="105"/>
      <c r="D20" s="25">
        <f t="shared" si="0"/>
        <v>0</v>
      </c>
      <c r="E20" s="25">
        <f t="shared" si="1"/>
        <v>0</v>
      </c>
      <c r="F20" s="25">
        <f t="shared" si="4"/>
        <v>0</v>
      </c>
      <c r="G20" s="25">
        <f t="shared" si="3"/>
        <v>0</v>
      </c>
      <c r="H20" s="25">
        <f t="shared" si="2"/>
        <v>0</v>
      </c>
    </row>
    <row r="21" spans="1:8" ht="15.75" hidden="1">
      <c r="A21" s="23">
        <v>2350</v>
      </c>
      <c r="B21" s="32" t="s">
        <v>25</v>
      </c>
      <c r="C21" s="105"/>
      <c r="D21" s="25">
        <f>C21/8941*200</f>
        <v>0</v>
      </c>
      <c r="E21" s="25">
        <f t="shared" si="1"/>
        <v>0</v>
      </c>
      <c r="F21" s="25">
        <f t="shared" si="4"/>
        <v>0</v>
      </c>
      <c r="G21" s="25">
        <f t="shared" si="3"/>
        <v>0</v>
      </c>
      <c r="H21" s="25">
        <f t="shared" si="2"/>
        <v>0</v>
      </c>
    </row>
    <row r="22" spans="1:8" ht="15.75" hidden="1">
      <c r="A22" s="23"/>
      <c r="B22" s="32"/>
      <c r="C22" s="105"/>
      <c r="D22" s="25">
        <f>C22/8941*200</f>
        <v>0</v>
      </c>
      <c r="E22" s="25">
        <f t="shared" si="1"/>
        <v>0</v>
      </c>
      <c r="F22" s="25">
        <f t="shared" si="4"/>
        <v>0</v>
      </c>
      <c r="G22" s="25">
        <f t="shared" si="3"/>
        <v>0</v>
      </c>
      <c r="H22" s="25">
        <f t="shared" si="2"/>
        <v>0</v>
      </c>
    </row>
    <row r="23" spans="1:8" ht="15.75" hidden="1">
      <c r="A23" s="23"/>
      <c r="B23" s="32"/>
      <c r="C23" s="105"/>
      <c r="D23" s="25">
        <f>C23/8941*200</f>
        <v>0</v>
      </c>
      <c r="E23" s="25">
        <f t="shared" si="1"/>
        <v>0</v>
      </c>
      <c r="F23" s="25">
        <f t="shared" si="4"/>
        <v>0</v>
      </c>
      <c r="G23" s="25">
        <f t="shared" si="3"/>
        <v>0</v>
      </c>
      <c r="H23" s="25">
        <f t="shared" si="2"/>
        <v>0</v>
      </c>
    </row>
    <row r="24" spans="1:8" ht="15.75" hidden="1">
      <c r="A24" s="23"/>
      <c r="B24" s="23"/>
      <c r="C24" s="25"/>
      <c r="D24" s="25">
        <f>C24/8941*200</f>
        <v>0</v>
      </c>
      <c r="E24" s="25">
        <f t="shared" si="1"/>
        <v>0</v>
      </c>
      <c r="F24" s="25">
        <f t="shared" si="4"/>
        <v>0</v>
      </c>
      <c r="G24" s="25">
        <f t="shared" si="3"/>
        <v>0</v>
      </c>
      <c r="H24" s="25">
        <f t="shared" si="2"/>
        <v>0</v>
      </c>
    </row>
    <row r="25" spans="1:8" ht="15.75">
      <c r="A25" s="23"/>
      <c r="B25" s="46" t="s">
        <v>74</v>
      </c>
      <c r="C25" s="28">
        <f aca="true" t="shared" si="5" ref="C25:H25">SUM(C15:C24)</f>
        <v>20415.780000000002</v>
      </c>
      <c r="D25" s="28">
        <f t="shared" si="5"/>
        <v>251.67381656804736</v>
      </c>
      <c r="E25" s="28">
        <f t="shared" si="5"/>
        <v>358.09999999999997</v>
      </c>
      <c r="F25" s="28">
        <f t="shared" si="5"/>
        <v>454.79</v>
      </c>
      <c r="G25" s="28">
        <f t="shared" si="5"/>
        <v>499.79</v>
      </c>
      <c r="H25" s="28">
        <f t="shared" si="5"/>
        <v>5497.6900000000005</v>
      </c>
    </row>
    <row r="26" spans="1:8" ht="15.75">
      <c r="A26" s="29"/>
      <c r="B26" s="23" t="s">
        <v>75</v>
      </c>
      <c r="C26" s="25"/>
      <c r="D26" s="25"/>
      <c r="E26" s="25"/>
      <c r="F26" s="25"/>
      <c r="G26" s="25"/>
      <c r="H26" s="25"/>
    </row>
    <row r="27" spans="1:8" ht="15.75">
      <c r="A27" s="23">
        <v>1100</v>
      </c>
      <c r="B27" s="23" t="s">
        <v>72</v>
      </c>
      <c r="C27" s="25">
        <v>4052.7</v>
      </c>
      <c r="D27" s="25">
        <f aca="true" t="shared" si="6" ref="D27:D69">C27/4056*50</f>
        <v>49.95931952662722</v>
      </c>
      <c r="E27" s="25">
        <f aca="true" t="shared" si="7" ref="E27:E70">ROUND(D27/0.702804,2)</f>
        <v>71.09</v>
      </c>
      <c r="F27" s="25">
        <f>E27</f>
        <v>71.09</v>
      </c>
      <c r="G27" s="25">
        <f aca="true" t="shared" si="8" ref="G27:H70">F27/50*50</f>
        <v>71.09</v>
      </c>
      <c r="H27" s="25">
        <f>G27/50*550</f>
        <v>781.9900000000001</v>
      </c>
    </row>
    <row r="28" spans="1:8" ht="15.75" customHeight="1">
      <c r="A28" s="23">
        <v>1200</v>
      </c>
      <c r="B28" s="32" t="s">
        <v>73</v>
      </c>
      <c r="C28" s="47">
        <v>976.3</v>
      </c>
      <c r="D28" s="25">
        <f t="shared" si="6"/>
        <v>12.035256410256409</v>
      </c>
      <c r="E28" s="25">
        <f t="shared" si="7"/>
        <v>17.12</v>
      </c>
      <c r="F28" s="25">
        <f aca="true" t="shared" si="9" ref="F28:F70">E28</f>
        <v>17.12</v>
      </c>
      <c r="G28" s="25">
        <f t="shared" si="8"/>
        <v>17.12</v>
      </c>
      <c r="H28" s="25">
        <f aca="true" t="shared" si="10" ref="H28:H69">G28/50*550</f>
        <v>188.32000000000002</v>
      </c>
    </row>
    <row r="29" spans="1:8" ht="15.75" hidden="1">
      <c r="A29" s="23">
        <v>2100</v>
      </c>
      <c r="B29" s="30" t="s">
        <v>42</v>
      </c>
      <c r="C29" s="25"/>
      <c r="D29" s="25">
        <f t="shared" si="6"/>
        <v>0</v>
      </c>
      <c r="E29" s="25">
        <f t="shared" si="7"/>
        <v>0</v>
      </c>
      <c r="F29" s="25">
        <f t="shared" si="9"/>
        <v>0</v>
      </c>
      <c r="G29" s="25">
        <f t="shared" si="8"/>
        <v>0</v>
      </c>
      <c r="H29" s="25">
        <f t="shared" si="10"/>
        <v>0</v>
      </c>
    </row>
    <row r="30" spans="1:8" ht="15.75">
      <c r="A30" s="31">
        <v>2210</v>
      </c>
      <c r="B30" s="32" t="s">
        <v>38</v>
      </c>
      <c r="C30" s="25">
        <v>49</v>
      </c>
      <c r="D30" s="25">
        <f t="shared" si="6"/>
        <v>0.6040433925049309</v>
      </c>
      <c r="E30" s="25">
        <f t="shared" si="7"/>
        <v>0.86</v>
      </c>
      <c r="F30" s="25">
        <f t="shared" si="9"/>
        <v>0.86</v>
      </c>
      <c r="G30" s="25">
        <f t="shared" si="8"/>
        <v>0.86</v>
      </c>
      <c r="H30" s="25">
        <f t="shared" si="10"/>
        <v>9.46</v>
      </c>
    </row>
    <row r="31" spans="1:8" ht="15.75">
      <c r="A31" s="23">
        <v>2222</v>
      </c>
      <c r="B31" s="32" t="s">
        <v>39</v>
      </c>
      <c r="C31" s="25">
        <v>50</v>
      </c>
      <c r="D31" s="25">
        <f t="shared" si="6"/>
        <v>0.616370808678501</v>
      </c>
      <c r="E31" s="25">
        <f t="shared" si="7"/>
        <v>0.88</v>
      </c>
      <c r="F31" s="25">
        <f t="shared" si="9"/>
        <v>0.88</v>
      </c>
      <c r="G31" s="25">
        <f t="shared" si="8"/>
        <v>0.88</v>
      </c>
      <c r="H31" s="25">
        <f t="shared" si="10"/>
        <v>9.68</v>
      </c>
    </row>
    <row r="32" spans="1:8" ht="15.75">
      <c r="A32" s="23">
        <v>2223</v>
      </c>
      <c r="B32" s="32" t="s">
        <v>40</v>
      </c>
      <c r="C32" s="25">
        <v>31</v>
      </c>
      <c r="D32" s="25">
        <f t="shared" si="6"/>
        <v>0.3821499013806706</v>
      </c>
      <c r="E32" s="25">
        <f t="shared" si="7"/>
        <v>0.54</v>
      </c>
      <c r="F32" s="25">
        <f t="shared" si="9"/>
        <v>0.54</v>
      </c>
      <c r="G32" s="25">
        <f t="shared" si="8"/>
        <v>0.54</v>
      </c>
      <c r="H32" s="25">
        <f t="shared" si="10"/>
        <v>5.94</v>
      </c>
    </row>
    <row r="33" spans="1:8" ht="15.75">
      <c r="A33" s="23">
        <v>2230</v>
      </c>
      <c r="B33" s="32" t="s">
        <v>41</v>
      </c>
      <c r="C33" s="25">
        <v>31</v>
      </c>
      <c r="D33" s="25">
        <f t="shared" si="6"/>
        <v>0.3821499013806706</v>
      </c>
      <c r="E33" s="25">
        <f t="shared" si="7"/>
        <v>0.54</v>
      </c>
      <c r="F33" s="25">
        <f t="shared" si="9"/>
        <v>0.54</v>
      </c>
      <c r="G33" s="25">
        <f t="shared" si="8"/>
        <v>0.54</v>
      </c>
      <c r="H33" s="25">
        <f t="shared" si="10"/>
        <v>5.94</v>
      </c>
    </row>
    <row r="34" spans="1:8" ht="15.75" hidden="1">
      <c r="A34" s="23">
        <v>2241</v>
      </c>
      <c r="B34" s="32" t="s">
        <v>9</v>
      </c>
      <c r="C34" s="25"/>
      <c r="D34" s="25">
        <f t="shared" si="6"/>
        <v>0</v>
      </c>
      <c r="E34" s="25">
        <f t="shared" si="7"/>
        <v>0</v>
      </c>
      <c r="F34" s="25">
        <f t="shared" si="9"/>
        <v>0</v>
      </c>
      <c r="G34" s="25">
        <f t="shared" si="8"/>
        <v>0</v>
      </c>
      <c r="H34" s="25">
        <f t="shared" si="10"/>
        <v>0</v>
      </c>
    </row>
    <row r="35" spans="1:8" ht="15.75">
      <c r="A35" s="23">
        <v>2242</v>
      </c>
      <c r="B35" s="32" t="s">
        <v>10</v>
      </c>
      <c r="C35" s="25">
        <v>23</v>
      </c>
      <c r="D35" s="25">
        <f t="shared" si="6"/>
        <v>0.28353057199211046</v>
      </c>
      <c r="E35" s="25">
        <f t="shared" si="7"/>
        <v>0.4</v>
      </c>
      <c r="F35" s="25">
        <f t="shared" si="9"/>
        <v>0.4</v>
      </c>
      <c r="G35" s="25">
        <f t="shared" si="8"/>
        <v>0.4</v>
      </c>
      <c r="H35" s="25">
        <f t="shared" si="10"/>
        <v>4.4</v>
      </c>
    </row>
    <row r="36" spans="1:8" ht="15.75">
      <c r="A36" s="23">
        <v>2243</v>
      </c>
      <c r="B36" s="32" t="s">
        <v>11</v>
      </c>
      <c r="C36" s="25">
        <v>77</v>
      </c>
      <c r="D36" s="25">
        <f t="shared" si="6"/>
        <v>0.9492110453648915</v>
      </c>
      <c r="E36" s="25">
        <f t="shared" si="7"/>
        <v>1.35</v>
      </c>
      <c r="F36" s="25">
        <f t="shared" si="9"/>
        <v>1.35</v>
      </c>
      <c r="G36" s="25">
        <f t="shared" si="8"/>
        <v>1.35</v>
      </c>
      <c r="H36" s="25">
        <f t="shared" si="10"/>
        <v>14.850000000000001</v>
      </c>
    </row>
    <row r="37" spans="1:8" ht="15.75">
      <c r="A37" s="23">
        <v>2244</v>
      </c>
      <c r="B37" s="32" t="s">
        <v>12</v>
      </c>
      <c r="C37" s="25">
        <v>1118</v>
      </c>
      <c r="D37" s="25">
        <f t="shared" si="6"/>
        <v>13.782051282051283</v>
      </c>
      <c r="E37" s="25">
        <f t="shared" si="7"/>
        <v>19.61</v>
      </c>
      <c r="F37" s="25">
        <f t="shared" si="9"/>
        <v>19.61</v>
      </c>
      <c r="G37" s="25">
        <f>F37/50*50+50*0.09</f>
        <v>24.11</v>
      </c>
      <c r="H37" s="25">
        <f t="shared" si="10"/>
        <v>265.21</v>
      </c>
    </row>
    <row r="38" spans="1:8" ht="15.75">
      <c r="A38" s="23">
        <v>2247</v>
      </c>
      <c r="B38" s="45" t="s">
        <v>76</v>
      </c>
      <c r="C38" s="25">
        <v>6</v>
      </c>
      <c r="D38" s="25">
        <f t="shared" si="6"/>
        <v>0.07396449704142012</v>
      </c>
      <c r="E38" s="25">
        <f t="shared" si="7"/>
        <v>0.11</v>
      </c>
      <c r="F38" s="25">
        <f t="shared" si="9"/>
        <v>0.11</v>
      </c>
      <c r="G38" s="25">
        <f t="shared" si="8"/>
        <v>0.11</v>
      </c>
      <c r="H38" s="25">
        <f t="shared" si="10"/>
        <v>1.21</v>
      </c>
    </row>
    <row r="39" spans="1:8" ht="15.75">
      <c r="A39" s="23">
        <v>2249</v>
      </c>
      <c r="B39" s="32" t="s">
        <v>13</v>
      </c>
      <c r="C39" s="25">
        <v>28</v>
      </c>
      <c r="D39" s="25">
        <f t="shared" si="6"/>
        <v>0.34516765285996054</v>
      </c>
      <c r="E39" s="25">
        <f t="shared" si="7"/>
        <v>0.49</v>
      </c>
      <c r="F39" s="25">
        <f t="shared" si="9"/>
        <v>0.49</v>
      </c>
      <c r="G39" s="25">
        <f t="shared" si="8"/>
        <v>0.49</v>
      </c>
      <c r="H39" s="25">
        <f t="shared" si="10"/>
        <v>5.39</v>
      </c>
    </row>
    <row r="40" spans="1:8" ht="15.75">
      <c r="A40" s="23">
        <v>2251</v>
      </c>
      <c r="B40" s="32" t="s">
        <v>77</v>
      </c>
      <c r="C40" s="25">
        <v>85</v>
      </c>
      <c r="D40" s="25">
        <f t="shared" si="6"/>
        <v>1.0478303747534516</v>
      </c>
      <c r="E40" s="25">
        <f t="shared" si="7"/>
        <v>1.49</v>
      </c>
      <c r="F40" s="25">
        <f t="shared" si="9"/>
        <v>1.49</v>
      </c>
      <c r="G40" s="25">
        <f t="shared" si="8"/>
        <v>1.49</v>
      </c>
      <c r="H40" s="25">
        <f t="shared" si="10"/>
        <v>16.39</v>
      </c>
    </row>
    <row r="41" spans="1:8" ht="15.75" hidden="1">
      <c r="A41" s="23">
        <v>2252</v>
      </c>
      <c r="B41" s="32" t="s">
        <v>7</v>
      </c>
      <c r="C41" s="25"/>
      <c r="D41" s="25">
        <f t="shared" si="6"/>
        <v>0</v>
      </c>
      <c r="E41" s="25">
        <f t="shared" si="7"/>
        <v>0</v>
      </c>
      <c r="F41" s="25">
        <f t="shared" si="9"/>
        <v>0</v>
      </c>
      <c r="G41" s="25">
        <f t="shared" si="8"/>
        <v>0</v>
      </c>
      <c r="H41" s="25">
        <f t="shared" si="10"/>
        <v>0</v>
      </c>
    </row>
    <row r="42" spans="1:8" ht="15.75" hidden="1">
      <c r="A42" s="23">
        <v>2259</v>
      </c>
      <c r="B42" s="32" t="s">
        <v>8</v>
      </c>
      <c r="C42" s="25"/>
      <c r="D42" s="25">
        <f t="shared" si="6"/>
        <v>0</v>
      </c>
      <c r="E42" s="25">
        <f t="shared" si="7"/>
        <v>0</v>
      </c>
      <c r="F42" s="25">
        <f t="shared" si="9"/>
        <v>0</v>
      </c>
      <c r="G42" s="25">
        <f t="shared" si="8"/>
        <v>0</v>
      </c>
      <c r="H42" s="25">
        <f t="shared" si="10"/>
        <v>0</v>
      </c>
    </row>
    <row r="43" spans="1:8" ht="15.75">
      <c r="A43" s="23">
        <v>2261</v>
      </c>
      <c r="B43" s="32" t="s">
        <v>14</v>
      </c>
      <c r="C43" s="25">
        <v>15</v>
      </c>
      <c r="D43" s="25">
        <f t="shared" si="6"/>
        <v>0.1849112426035503</v>
      </c>
      <c r="E43" s="25">
        <f t="shared" si="7"/>
        <v>0.26</v>
      </c>
      <c r="F43" s="25">
        <f t="shared" si="9"/>
        <v>0.26</v>
      </c>
      <c r="G43" s="25">
        <f t="shared" si="8"/>
        <v>0.26</v>
      </c>
      <c r="H43" s="25">
        <f t="shared" si="10"/>
        <v>2.86</v>
      </c>
    </row>
    <row r="44" spans="1:8" ht="15.75">
      <c r="A44" s="23">
        <v>2262</v>
      </c>
      <c r="B44" s="32" t="s">
        <v>15</v>
      </c>
      <c r="C44" s="25">
        <v>67</v>
      </c>
      <c r="D44" s="25">
        <f t="shared" si="6"/>
        <v>0.8259368836291914</v>
      </c>
      <c r="E44" s="25">
        <f t="shared" si="7"/>
        <v>1.18</v>
      </c>
      <c r="F44" s="25">
        <f t="shared" si="9"/>
        <v>1.18</v>
      </c>
      <c r="G44" s="25">
        <f t="shared" si="8"/>
        <v>1.18</v>
      </c>
      <c r="H44" s="25">
        <f t="shared" si="10"/>
        <v>12.98</v>
      </c>
    </row>
    <row r="45" spans="1:8" ht="15.75">
      <c r="A45" s="23">
        <v>2263</v>
      </c>
      <c r="B45" s="32" t="s">
        <v>16</v>
      </c>
      <c r="C45" s="25">
        <v>248</v>
      </c>
      <c r="D45" s="25">
        <f t="shared" si="6"/>
        <v>3.057199211045365</v>
      </c>
      <c r="E45" s="25">
        <f t="shared" si="7"/>
        <v>4.35</v>
      </c>
      <c r="F45" s="25">
        <f t="shared" si="9"/>
        <v>4.35</v>
      </c>
      <c r="G45" s="25">
        <f t="shared" si="8"/>
        <v>4.35</v>
      </c>
      <c r="H45" s="25">
        <f t="shared" si="10"/>
        <v>47.849999999999994</v>
      </c>
    </row>
    <row r="46" spans="1:8" ht="15.75">
      <c r="A46" s="22">
        <v>2264</v>
      </c>
      <c r="B46" s="26" t="s">
        <v>17</v>
      </c>
      <c r="C46" s="80">
        <v>1</v>
      </c>
      <c r="D46" s="80">
        <f t="shared" si="6"/>
        <v>0.01232741617357002</v>
      </c>
      <c r="E46" s="25">
        <f t="shared" si="7"/>
        <v>0.02</v>
      </c>
      <c r="F46" s="25">
        <f t="shared" si="9"/>
        <v>0.02</v>
      </c>
      <c r="G46" s="25">
        <f t="shared" si="8"/>
        <v>0.02</v>
      </c>
      <c r="H46" s="25">
        <f t="shared" si="10"/>
        <v>0.22</v>
      </c>
    </row>
    <row r="47" spans="1:8" ht="15.75">
      <c r="A47" s="22">
        <v>2279</v>
      </c>
      <c r="B47" s="26" t="s">
        <v>18</v>
      </c>
      <c r="C47" s="80">
        <v>275.34</v>
      </c>
      <c r="D47" s="80">
        <f t="shared" si="6"/>
        <v>3.3942307692307687</v>
      </c>
      <c r="E47" s="25">
        <f t="shared" si="7"/>
        <v>4.83</v>
      </c>
      <c r="F47" s="25">
        <f t="shared" si="9"/>
        <v>4.83</v>
      </c>
      <c r="G47" s="25">
        <f t="shared" si="8"/>
        <v>4.83</v>
      </c>
      <c r="H47" s="25">
        <f t="shared" si="10"/>
        <v>53.13</v>
      </c>
    </row>
    <row r="48" spans="1:8" ht="15.75">
      <c r="A48" s="22">
        <v>2311</v>
      </c>
      <c r="B48" s="26" t="s">
        <v>19</v>
      </c>
      <c r="C48" s="80">
        <v>26</v>
      </c>
      <c r="D48" s="80">
        <f t="shared" si="6"/>
        <v>0.3205128205128205</v>
      </c>
      <c r="E48" s="25">
        <f t="shared" si="7"/>
        <v>0.46</v>
      </c>
      <c r="F48" s="25">
        <f t="shared" si="9"/>
        <v>0.46</v>
      </c>
      <c r="G48" s="25">
        <f t="shared" si="8"/>
        <v>0.45999999999999996</v>
      </c>
      <c r="H48" s="25">
        <f t="shared" si="10"/>
        <v>5.06</v>
      </c>
    </row>
    <row r="49" spans="1:8" ht="15.75">
      <c r="A49" s="22">
        <v>2312</v>
      </c>
      <c r="B49" s="26" t="s">
        <v>20</v>
      </c>
      <c r="C49" s="80">
        <v>48</v>
      </c>
      <c r="D49" s="80">
        <f t="shared" si="6"/>
        <v>0.591715976331361</v>
      </c>
      <c r="E49" s="25">
        <f t="shared" si="7"/>
        <v>0.84</v>
      </c>
      <c r="F49" s="25">
        <f t="shared" si="9"/>
        <v>0.84</v>
      </c>
      <c r="G49" s="25">
        <f t="shared" si="8"/>
        <v>0.84</v>
      </c>
      <c r="H49" s="25">
        <f t="shared" si="10"/>
        <v>9.24</v>
      </c>
    </row>
    <row r="50" spans="1:8" ht="15.75">
      <c r="A50" s="22">
        <v>2321</v>
      </c>
      <c r="B50" s="26" t="s">
        <v>21</v>
      </c>
      <c r="C50" s="80">
        <v>90</v>
      </c>
      <c r="D50" s="80">
        <f t="shared" si="6"/>
        <v>1.1094674556213018</v>
      </c>
      <c r="E50" s="25">
        <f t="shared" si="7"/>
        <v>1.58</v>
      </c>
      <c r="F50" s="25">
        <f t="shared" si="9"/>
        <v>1.58</v>
      </c>
      <c r="G50" s="25">
        <f t="shared" si="8"/>
        <v>1.58</v>
      </c>
      <c r="H50" s="25">
        <f t="shared" si="10"/>
        <v>17.380000000000003</v>
      </c>
    </row>
    <row r="51" spans="1:8" ht="15.75">
      <c r="A51" s="22">
        <v>2322</v>
      </c>
      <c r="B51" s="26" t="s">
        <v>22</v>
      </c>
      <c r="C51" s="80">
        <v>90</v>
      </c>
      <c r="D51" s="80">
        <f t="shared" si="6"/>
        <v>1.1094674556213018</v>
      </c>
      <c r="E51" s="25">
        <f t="shared" si="7"/>
        <v>1.58</v>
      </c>
      <c r="F51" s="25">
        <f t="shared" si="9"/>
        <v>1.58</v>
      </c>
      <c r="G51" s="25">
        <f t="shared" si="8"/>
        <v>1.58</v>
      </c>
      <c r="H51" s="25">
        <f t="shared" si="10"/>
        <v>17.380000000000003</v>
      </c>
    </row>
    <row r="52" spans="1:8" ht="15.75">
      <c r="A52" s="23">
        <v>2341</v>
      </c>
      <c r="B52" s="32" t="s">
        <v>23</v>
      </c>
      <c r="C52" s="25">
        <v>36</v>
      </c>
      <c r="D52" s="25">
        <f t="shared" si="6"/>
        <v>0.4437869822485207</v>
      </c>
      <c r="E52" s="25">
        <f t="shared" si="7"/>
        <v>0.63</v>
      </c>
      <c r="F52" s="25">
        <f t="shared" si="9"/>
        <v>0.63</v>
      </c>
      <c r="G52" s="25">
        <f t="shared" si="8"/>
        <v>0.63</v>
      </c>
      <c r="H52" s="25">
        <f t="shared" si="10"/>
        <v>6.93</v>
      </c>
    </row>
    <row r="53" spans="1:8" ht="15.75">
      <c r="A53" s="23">
        <v>2344</v>
      </c>
      <c r="B53" s="32" t="s">
        <v>24</v>
      </c>
      <c r="C53" s="25">
        <v>1</v>
      </c>
      <c r="D53" s="25">
        <f t="shared" si="6"/>
        <v>0.01232741617357002</v>
      </c>
      <c r="E53" s="25">
        <f t="shared" si="7"/>
        <v>0.02</v>
      </c>
      <c r="F53" s="25">
        <f t="shared" si="9"/>
        <v>0.02</v>
      </c>
      <c r="G53" s="25">
        <f t="shared" si="8"/>
        <v>0.02</v>
      </c>
      <c r="H53" s="25">
        <f t="shared" si="10"/>
        <v>0.22</v>
      </c>
    </row>
    <row r="54" spans="1:8" ht="15.75">
      <c r="A54" s="23">
        <v>2350</v>
      </c>
      <c r="B54" s="32" t="s">
        <v>25</v>
      </c>
      <c r="C54" s="25">
        <v>220</v>
      </c>
      <c r="D54" s="25">
        <f t="shared" si="6"/>
        <v>2.712031558185404</v>
      </c>
      <c r="E54" s="25">
        <f t="shared" si="7"/>
        <v>3.86</v>
      </c>
      <c r="F54" s="25">
        <f t="shared" si="9"/>
        <v>3.86</v>
      </c>
      <c r="G54" s="25">
        <f t="shared" si="8"/>
        <v>3.8599999999999994</v>
      </c>
      <c r="H54" s="25">
        <f t="shared" si="10"/>
        <v>42.459999999999994</v>
      </c>
    </row>
    <row r="55" spans="1:8" ht="15.75">
      <c r="A55" s="23">
        <v>2361</v>
      </c>
      <c r="B55" s="32" t="s">
        <v>26</v>
      </c>
      <c r="C55" s="25">
        <v>135</v>
      </c>
      <c r="D55" s="25">
        <f t="shared" si="6"/>
        <v>1.6642011834319528</v>
      </c>
      <c r="E55" s="25">
        <f t="shared" si="7"/>
        <v>2.37</v>
      </c>
      <c r="F55" s="25">
        <f t="shared" si="9"/>
        <v>2.37</v>
      </c>
      <c r="G55" s="25">
        <f t="shared" si="8"/>
        <v>2.37</v>
      </c>
      <c r="H55" s="25">
        <f t="shared" si="10"/>
        <v>26.070000000000004</v>
      </c>
    </row>
    <row r="56" spans="1:8" ht="15.75" hidden="1">
      <c r="A56" s="23">
        <v>2362</v>
      </c>
      <c r="B56" s="32" t="s">
        <v>27</v>
      </c>
      <c r="C56" s="25"/>
      <c r="D56" s="25">
        <f t="shared" si="6"/>
        <v>0</v>
      </c>
      <c r="E56" s="25">
        <f t="shared" si="7"/>
        <v>0</v>
      </c>
      <c r="F56" s="25">
        <f t="shared" si="9"/>
        <v>0</v>
      </c>
      <c r="G56" s="25">
        <f t="shared" si="8"/>
        <v>0</v>
      </c>
      <c r="H56" s="25">
        <f t="shared" si="10"/>
        <v>0</v>
      </c>
    </row>
    <row r="57" spans="1:8" ht="15.75" hidden="1">
      <c r="A57" s="23">
        <v>2363</v>
      </c>
      <c r="B57" s="32" t="s">
        <v>28</v>
      </c>
      <c r="C57" s="25"/>
      <c r="D57" s="25">
        <f t="shared" si="6"/>
        <v>0</v>
      </c>
      <c r="E57" s="25">
        <f t="shared" si="7"/>
        <v>0</v>
      </c>
      <c r="F57" s="25">
        <f t="shared" si="9"/>
        <v>0</v>
      </c>
      <c r="G57" s="25">
        <f t="shared" si="8"/>
        <v>0</v>
      </c>
      <c r="H57" s="25">
        <f t="shared" si="10"/>
        <v>0</v>
      </c>
    </row>
    <row r="58" spans="1:8" ht="15.75" hidden="1">
      <c r="A58" s="23">
        <v>2370</v>
      </c>
      <c r="B58" s="32" t="s">
        <v>29</v>
      </c>
      <c r="C58" s="25"/>
      <c r="D58" s="25">
        <f t="shared" si="6"/>
        <v>0</v>
      </c>
      <c r="E58" s="25">
        <f t="shared" si="7"/>
        <v>0</v>
      </c>
      <c r="F58" s="25">
        <f t="shared" si="9"/>
        <v>0</v>
      </c>
      <c r="G58" s="25">
        <f t="shared" si="8"/>
        <v>0</v>
      </c>
      <c r="H58" s="25">
        <f t="shared" si="10"/>
        <v>0</v>
      </c>
    </row>
    <row r="59" spans="1:8" ht="15.75">
      <c r="A59" s="23">
        <v>2400</v>
      </c>
      <c r="B59" s="32" t="s">
        <v>43</v>
      </c>
      <c r="C59" s="25">
        <v>10</v>
      </c>
      <c r="D59" s="25">
        <f t="shared" si="6"/>
        <v>0.1232741617357002</v>
      </c>
      <c r="E59" s="25">
        <f t="shared" si="7"/>
        <v>0.18</v>
      </c>
      <c r="F59" s="25">
        <f t="shared" si="9"/>
        <v>0.18</v>
      </c>
      <c r="G59" s="25">
        <f t="shared" si="8"/>
        <v>0.18</v>
      </c>
      <c r="H59" s="25">
        <f t="shared" si="10"/>
        <v>1.98</v>
      </c>
    </row>
    <row r="60" spans="1:8" ht="15.75" hidden="1">
      <c r="A60" s="23">
        <v>2512</v>
      </c>
      <c r="B60" s="32" t="s">
        <v>30</v>
      </c>
      <c r="C60" s="25">
        <v>0</v>
      </c>
      <c r="D60" s="25">
        <f t="shared" si="6"/>
        <v>0</v>
      </c>
      <c r="E60" s="25">
        <f t="shared" si="7"/>
        <v>0</v>
      </c>
      <c r="F60" s="25">
        <f t="shared" si="9"/>
        <v>0</v>
      </c>
      <c r="G60" s="25">
        <f t="shared" si="8"/>
        <v>0</v>
      </c>
      <c r="H60" s="25">
        <f t="shared" si="10"/>
        <v>0</v>
      </c>
    </row>
    <row r="61" spans="1:8" ht="15.75">
      <c r="A61" s="23">
        <v>2513</v>
      </c>
      <c r="B61" s="32" t="s">
        <v>31</v>
      </c>
      <c r="C61" s="25">
        <v>180</v>
      </c>
      <c r="D61" s="25">
        <f t="shared" si="6"/>
        <v>2.2189349112426036</v>
      </c>
      <c r="E61" s="25">
        <f t="shared" si="7"/>
        <v>3.16</v>
      </c>
      <c r="F61" s="25">
        <v>2.97</v>
      </c>
      <c r="G61" s="25">
        <f t="shared" si="8"/>
        <v>2.97</v>
      </c>
      <c r="H61" s="25">
        <f t="shared" si="10"/>
        <v>32.67</v>
      </c>
    </row>
    <row r="62" spans="1:8" ht="15.75">
      <c r="A62" s="23">
        <v>2515</v>
      </c>
      <c r="B62" s="32" t="s">
        <v>78</v>
      </c>
      <c r="C62" s="25">
        <v>7</v>
      </c>
      <c r="D62" s="25">
        <f t="shared" si="6"/>
        <v>0.08629191321499013</v>
      </c>
      <c r="E62" s="25">
        <f t="shared" si="7"/>
        <v>0.12</v>
      </c>
      <c r="F62" s="25">
        <f t="shared" si="9"/>
        <v>0.12</v>
      </c>
      <c r="G62" s="25">
        <f t="shared" si="8"/>
        <v>0.12</v>
      </c>
      <c r="H62" s="25">
        <f t="shared" si="10"/>
        <v>1.3199999999999998</v>
      </c>
    </row>
    <row r="63" spans="1:8" ht="15.75">
      <c r="A63" s="23">
        <v>2519</v>
      </c>
      <c r="B63" s="32" t="s">
        <v>34</v>
      </c>
      <c r="C63" s="25">
        <v>44</v>
      </c>
      <c r="D63" s="25">
        <f t="shared" si="6"/>
        <v>0.5424063116370809</v>
      </c>
      <c r="E63" s="25">
        <f t="shared" si="7"/>
        <v>0.77</v>
      </c>
      <c r="F63" s="25">
        <f t="shared" si="9"/>
        <v>0.77</v>
      </c>
      <c r="G63" s="25">
        <f t="shared" si="8"/>
        <v>0.77</v>
      </c>
      <c r="H63" s="25">
        <f t="shared" si="10"/>
        <v>8.47</v>
      </c>
    </row>
    <row r="64" spans="1:8" ht="15.75" hidden="1">
      <c r="A64" s="23">
        <v>6240</v>
      </c>
      <c r="B64" s="32"/>
      <c r="C64" s="25"/>
      <c r="D64" s="25">
        <f t="shared" si="6"/>
        <v>0</v>
      </c>
      <c r="E64" s="25">
        <f t="shared" si="7"/>
        <v>0</v>
      </c>
      <c r="F64" s="25">
        <f t="shared" si="9"/>
        <v>0</v>
      </c>
      <c r="G64" s="25">
        <f t="shared" si="8"/>
        <v>0</v>
      </c>
      <c r="H64" s="25">
        <f t="shared" si="10"/>
        <v>0</v>
      </c>
    </row>
    <row r="65" spans="1:8" ht="15.75" hidden="1">
      <c r="A65" s="23">
        <v>6290</v>
      </c>
      <c r="B65" s="32"/>
      <c r="C65" s="25"/>
      <c r="D65" s="25">
        <f t="shared" si="6"/>
        <v>0</v>
      </c>
      <c r="E65" s="25">
        <f t="shared" si="7"/>
        <v>0</v>
      </c>
      <c r="F65" s="25">
        <f t="shared" si="9"/>
        <v>0</v>
      </c>
      <c r="G65" s="25">
        <f t="shared" si="8"/>
        <v>0</v>
      </c>
      <c r="H65" s="25">
        <f t="shared" si="10"/>
        <v>0</v>
      </c>
    </row>
    <row r="66" spans="1:8" ht="15.75">
      <c r="A66" s="23">
        <v>5121</v>
      </c>
      <c r="B66" s="32" t="s">
        <v>32</v>
      </c>
      <c r="C66" s="25">
        <v>32</v>
      </c>
      <c r="D66" s="25">
        <f t="shared" si="6"/>
        <v>0.39447731755424065</v>
      </c>
      <c r="E66" s="25">
        <f t="shared" si="7"/>
        <v>0.56</v>
      </c>
      <c r="F66" s="25">
        <f t="shared" si="9"/>
        <v>0.56</v>
      </c>
      <c r="G66" s="25">
        <f t="shared" si="8"/>
        <v>0.56</v>
      </c>
      <c r="H66" s="25">
        <f t="shared" si="10"/>
        <v>6.160000000000001</v>
      </c>
    </row>
    <row r="67" spans="1:8" ht="15.75">
      <c r="A67" s="23">
        <v>5232</v>
      </c>
      <c r="B67" s="32" t="s">
        <v>33</v>
      </c>
      <c r="C67" s="25">
        <v>4</v>
      </c>
      <c r="D67" s="25">
        <f t="shared" si="6"/>
        <v>0.04930966469428008</v>
      </c>
      <c r="E67" s="25">
        <v>0.13</v>
      </c>
      <c r="F67" s="25">
        <f t="shared" si="9"/>
        <v>0.13</v>
      </c>
      <c r="G67" s="25">
        <f t="shared" si="8"/>
        <v>0.13</v>
      </c>
      <c r="H67" s="25">
        <f t="shared" si="10"/>
        <v>1.43</v>
      </c>
    </row>
    <row r="68" spans="1:8" ht="15.75" hidden="1">
      <c r="A68" s="23">
        <v>5238</v>
      </c>
      <c r="B68" s="32" t="s">
        <v>35</v>
      </c>
      <c r="C68" s="25">
        <v>0</v>
      </c>
      <c r="D68" s="25">
        <f t="shared" si="6"/>
        <v>0</v>
      </c>
      <c r="E68" s="25">
        <f t="shared" si="7"/>
        <v>0</v>
      </c>
      <c r="F68" s="25">
        <f t="shared" si="9"/>
        <v>0</v>
      </c>
      <c r="G68" s="25">
        <f t="shared" si="8"/>
        <v>0</v>
      </c>
      <c r="H68" s="25">
        <f t="shared" si="10"/>
        <v>0</v>
      </c>
    </row>
    <row r="69" spans="1:8" ht="15.75">
      <c r="A69" s="23">
        <v>5240</v>
      </c>
      <c r="B69" s="32" t="s">
        <v>36</v>
      </c>
      <c r="C69" s="25">
        <v>1</v>
      </c>
      <c r="D69" s="25">
        <f t="shared" si="6"/>
        <v>0.01232741617357002</v>
      </c>
      <c r="E69" s="25">
        <f t="shared" si="7"/>
        <v>0.02</v>
      </c>
      <c r="F69" s="25">
        <f t="shared" si="9"/>
        <v>0.02</v>
      </c>
      <c r="G69" s="25">
        <f t="shared" si="8"/>
        <v>0.02</v>
      </c>
      <c r="H69" s="25">
        <f t="shared" si="10"/>
        <v>0.22</v>
      </c>
    </row>
    <row r="70" spans="1:8" ht="15.75" hidden="1">
      <c r="A70" s="23">
        <v>5250</v>
      </c>
      <c r="B70" s="32" t="s">
        <v>37</v>
      </c>
      <c r="C70" s="25"/>
      <c r="D70" s="25">
        <f>C70/20*20</f>
        <v>0</v>
      </c>
      <c r="E70" s="25">
        <f t="shared" si="7"/>
        <v>0</v>
      </c>
      <c r="F70" s="25">
        <f t="shared" si="9"/>
        <v>0</v>
      </c>
      <c r="G70" s="25">
        <f t="shared" si="8"/>
        <v>0</v>
      </c>
      <c r="H70" s="25">
        <f t="shared" si="8"/>
        <v>0</v>
      </c>
    </row>
    <row r="71" spans="1:8" ht="15.75">
      <c r="A71" s="29"/>
      <c r="B71" s="48" t="s">
        <v>79</v>
      </c>
      <c r="C71" s="28">
        <f aca="true" t="shared" si="11" ref="C71:H71">SUM(C27:C70)</f>
        <v>8057.34</v>
      </c>
      <c r="D71" s="28">
        <f t="shared" si="11"/>
        <v>99.32618343195267</v>
      </c>
      <c r="E71" s="28">
        <f t="shared" si="11"/>
        <v>141.40000000000006</v>
      </c>
      <c r="F71" s="28">
        <f t="shared" si="11"/>
        <v>141.21000000000006</v>
      </c>
      <c r="G71" s="28">
        <f t="shared" si="11"/>
        <v>145.71000000000006</v>
      </c>
      <c r="H71" s="28">
        <f t="shared" si="11"/>
        <v>1602.8100000000009</v>
      </c>
    </row>
    <row r="72" spans="1:8" ht="15.75">
      <c r="A72" s="29"/>
      <c r="B72" s="48" t="s">
        <v>80</v>
      </c>
      <c r="C72" s="28">
        <f aca="true" t="shared" si="12" ref="C72:H72">C71+C25</f>
        <v>28473.120000000003</v>
      </c>
      <c r="D72" s="28">
        <f t="shared" si="12"/>
        <v>351</v>
      </c>
      <c r="E72" s="28">
        <f t="shared" si="12"/>
        <v>499.5</v>
      </c>
      <c r="F72" s="28">
        <f t="shared" si="12"/>
        <v>596.0000000000001</v>
      </c>
      <c r="G72" s="28">
        <f t="shared" si="12"/>
        <v>645.5000000000001</v>
      </c>
      <c r="H72" s="28">
        <f t="shared" si="12"/>
        <v>7100.500000000002</v>
      </c>
    </row>
    <row r="73" spans="1:8" ht="15.75">
      <c r="A73" s="9"/>
      <c r="B73" s="14"/>
      <c r="C73" s="35"/>
      <c r="D73" s="35"/>
      <c r="E73" s="35"/>
      <c r="F73" s="35"/>
      <c r="G73" s="35"/>
      <c r="H73" s="35"/>
    </row>
    <row r="74" spans="1:8" ht="15" customHeight="1">
      <c r="A74" s="212" t="s">
        <v>45</v>
      </c>
      <c r="B74" s="213"/>
      <c r="C74" s="36">
        <v>4056</v>
      </c>
      <c r="D74" s="17">
        <v>50</v>
      </c>
      <c r="E74" s="17">
        <v>50</v>
      </c>
      <c r="F74" s="17">
        <v>50</v>
      </c>
      <c r="G74" s="160">
        <v>50</v>
      </c>
      <c r="H74" s="160">
        <v>550</v>
      </c>
    </row>
    <row r="75" spans="1:8" ht="15" customHeight="1">
      <c r="A75" s="212" t="s">
        <v>91</v>
      </c>
      <c r="B75" s="213"/>
      <c r="C75" s="100">
        <f aca="true" t="shared" si="13" ref="C75:H75">C72/C74</f>
        <v>7.0200000000000005</v>
      </c>
      <c r="D75" s="82">
        <f t="shared" si="13"/>
        <v>7.02</v>
      </c>
      <c r="E75" s="82">
        <f t="shared" si="13"/>
        <v>9.99</v>
      </c>
      <c r="F75" s="82">
        <f t="shared" si="13"/>
        <v>11.920000000000002</v>
      </c>
      <c r="G75" s="161">
        <f t="shared" si="13"/>
        <v>12.910000000000002</v>
      </c>
      <c r="H75" s="161">
        <f t="shared" si="13"/>
        <v>12.910000000000004</v>
      </c>
    </row>
    <row r="76" spans="1:8" ht="15.75">
      <c r="A76" s="14"/>
      <c r="B76" s="11"/>
      <c r="C76" s="11"/>
      <c r="H76" s="15"/>
    </row>
    <row r="77" spans="1:8" ht="15" customHeight="1">
      <c r="A77" s="212" t="s">
        <v>46</v>
      </c>
      <c r="B77" s="213"/>
      <c r="C77" s="37"/>
      <c r="D77" s="37"/>
      <c r="E77" s="37"/>
      <c r="F77" s="37"/>
      <c r="G77" s="37"/>
      <c r="H77" s="37"/>
    </row>
    <row r="78" spans="1:8" ht="15" customHeight="1">
      <c r="A78" s="212" t="s">
        <v>56</v>
      </c>
      <c r="B78" s="213"/>
      <c r="C78" s="37"/>
      <c r="D78" s="37"/>
      <c r="E78" s="37"/>
      <c r="F78" s="37"/>
      <c r="G78" s="37"/>
      <c r="H78" s="37"/>
    </row>
    <row r="79" spans="1:7" ht="15.75">
      <c r="A79" s="38"/>
      <c r="B79" s="38"/>
      <c r="C79" s="38"/>
      <c r="D79" s="38"/>
      <c r="E79" s="38"/>
      <c r="F79" s="38"/>
      <c r="G79" s="38"/>
    </row>
    <row r="80" spans="1:7" ht="15.75">
      <c r="A80" s="38" t="s">
        <v>47</v>
      </c>
      <c r="B80" s="38"/>
      <c r="C80" s="38"/>
      <c r="D80" s="38"/>
      <c r="E80" s="38"/>
      <c r="F80" s="38"/>
      <c r="G80" s="38"/>
    </row>
    <row r="81" spans="1:7" ht="15.75">
      <c r="A81" s="38"/>
      <c r="B81" s="38"/>
      <c r="C81" s="38"/>
      <c r="D81" s="38"/>
      <c r="E81" s="38"/>
      <c r="F81" s="38"/>
      <c r="G81" s="38"/>
    </row>
    <row r="82" spans="1:7" ht="15.75">
      <c r="A82" s="38"/>
      <c r="B82" s="39"/>
      <c r="C82" s="38"/>
      <c r="D82" s="38"/>
      <c r="E82" s="38"/>
      <c r="F82" s="38"/>
      <c r="G82" s="38"/>
    </row>
    <row r="83" spans="1:7" ht="15.75">
      <c r="A83" s="38"/>
      <c r="B83" s="101"/>
      <c r="C83" s="38"/>
      <c r="D83" s="38"/>
      <c r="E83" s="38"/>
      <c r="F83" s="38"/>
      <c r="G83" s="38"/>
    </row>
    <row r="84" spans="2:3" ht="15.75">
      <c r="B84" s="206"/>
      <c r="C84" s="206"/>
    </row>
  </sheetData>
  <sheetProtection/>
  <mergeCells count="12">
    <mergeCell ref="A3:G3"/>
    <mergeCell ref="B4:C4"/>
    <mergeCell ref="A5:C5"/>
    <mergeCell ref="A6:C6"/>
    <mergeCell ref="B7:C7"/>
    <mergeCell ref="B84:C84"/>
    <mergeCell ref="B8:C8"/>
    <mergeCell ref="B9:C9"/>
    <mergeCell ref="A74:B74"/>
    <mergeCell ref="A75:B75"/>
    <mergeCell ref="A77:B77"/>
    <mergeCell ref="A78:B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view="pageLayout" workbookViewId="0" topLeftCell="A1">
      <selection activeCell="B97" sqref="B97"/>
    </sheetView>
  </sheetViews>
  <sheetFormatPr defaultColWidth="9.140625" defaultRowHeight="12.75"/>
  <cols>
    <col min="1" max="1" width="15.7109375" style="15" customWidth="1"/>
    <col min="2" max="2" width="96.140625" style="15" customWidth="1"/>
    <col min="3" max="3" width="20.8515625" style="15" hidden="1" customWidth="1"/>
    <col min="4" max="6" width="18.28125" style="15" hidden="1" customWidth="1"/>
    <col min="7" max="7" width="32.421875" style="15" customWidth="1"/>
  </cols>
  <sheetData>
    <row r="1" spans="2:7" ht="15.75">
      <c r="B1" s="12"/>
      <c r="C1" s="76"/>
      <c r="D1" s="76"/>
      <c r="E1" s="76"/>
      <c r="F1" s="76"/>
      <c r="G1" s="9"/>
    </row>
    <row r="2" ht="15.75">
      <c r="C2" s="77"/>
    </row>
    <row r="3" spans="1:7" ht="15.75">
      <c r="A3" s="208" t="s">
        <v>6</v>
      </c>
      <c r="B3" s="208"/>
      <c r="C3" s="208"/>
      <c r="D3" s="208"/>
      <c r="E3" s="208"/>
      <c r="F3" s="208"/>
      <c r="G3" s="208"/>
    </row>
    <row r="4" spans="2:3" ht="15.75">
      <c r="B4" s="209"/>
      <c r="C4" s="209"/>
    </row>
    <row r="5" spans="1:3" ht="15.75">
      <c r="A5" s="195" t="s">
        <v>1</v>
      </c>
      <c r="B5" s="195"/>
      <c r="C5" s="195"/>
    </row>
    <row r="6" spans="1:7" ht="15.75">
      <c r="A6" s="195" t="s">
        <v>0</v>
      </c>
      <c r="B6" s="195"/>
      <c r="C6" s="195"/>
      <c r="G6" s="14"/>
    </row>
    <row r="7" spans="1:7" ht="15.75">
      <c r="A7" s="8"/>
      <c r="B7" s="195" t="s">
        <v>44</v>
      </c>
      <c r="C7" s="195"/>
      <c r="G7" s="14"/>
    </row>
    <row r="8" spans="1:3" ht="15.75">
      <c r="A8" s="8"/>
      <c r="B8" s="195" t="s">
        <v>100</v>
      </c>
      <c r="C8" s="195"/>
    </row>
    <row r="9" spans="1:3" ht="15.75">
      <c r="A9" s="8"/>
      <c r="B9" s="195" t="s">
        <v>118</v>
      </c>
      <c r="C9" s="195"/>
    </row>
    <row r="10" spans="1:3" ht="15.75">
      <c r="A10" s="8" t="s">
        <v>2</v>
      </c>
      <c r="B10" s="176" t="s">
        <v>205</v>
      </c>
      <c r="C10" s="8"/>
    </row>
    <row r="11" spans="2:3" ht="15.75" hidden="1">
      <c r="B11" s="16"/>
      <c r="C11" s="77"/>
    </row>
    <row r="12" spans="1:7" ht="47.25">
      <c r="A12" s="59" t="s">
        <v>3</v>
      </c>
      <c r="B12" s="59" t="s">
        <v>4</v>
      </c>
      <c r="C12" s="17"/>
      <c r="D12" s="17"/>
      <c r="E12" s="17"/>
      <c r="F12" s="17"/>
      <c r="G12" s="59" t="s">
        <v>5</v>
      </c>
    </row>
    <row r="13" spans="1:7" ht="15.75">
      <c r="A13" s="18">
        <v>1</v>
      </c>
      <c r="B13" s="19">
        <v>2</v>
      </c>
      <c r="C13" s="18">
        <v>3</v>
      </c>
      <c r="D13" s="19">
        <v>3</v>
      </c>
      <c r="E13" s="19"/>
      <c r="F13" s="19"/>
      <c r="G13" s="19">
        <v>3</v>
      </c>
    </row>
    <row r="14" spans="1:7" ht="15.75">
      <c r="A14" s="18"/>
      <c r="B14" s="21" t="s">
        <v>71</v>
      </c>
      <c r="C14" s="79"/>
      <c r="D14" s="22"/>
      <c r="E14" s="22"/>
      <c r="F14" s="22"/>
      <c r="G14" s="22"/>
    </row>
    <row r="15" spans="1:7" ht="15.75">
      <c r="A15" s="23">
        <v>1100</v>
      </c>
      <c r="B15" s="23" t="s">
        <v>72</v>
      </c>
      <c r="C15" s="25">
        <v>3509.82</v>
      </c>
      <c r="D15" s="25">
        <f>C15/830*50</f>
        <v>211.43493975903613</v>
      </c>
      <c r="E15" s="25">
        <f aca="true" t="shared" si="0" ref="E15:E23">ROUND(D15/0.702804,2)</f>
        <v>300.84</v>
      </c>
      <c r="F15" s="25">
        <v>382.07</v>
      </c>
      <c r="G15" s="25">
        <f>F15/50*5+5*0.725</f>
        <v>41.832</v>
      </c>
    </row>
    <row r="16" spans="1:7" ht="15.75" customHeight="1">
      <c r="A16" s="23">
        <v>1200</v>
      </c>
      <c r="B16" s="32" t="s">
        <v>73</v>
      </c>
      <c r="C16" s="47">
        <v>845.51</v>
      </c>
      <c r="D16" s="25">
        <f aca="true" t="shared" si="1" ref="D16:D22">C16/830*50</f>
        <v>50.93433734939759</v>
      </c>
      <c r="E16" s="25">
        <f t="shared" si="0"/>
        <v>72.47</v>
      </c>
      <c r="F16" s="25">
        <v>92.04</v>
      </c>
      <c r="G16" s="25">
        <f>F16/50*5+5*0.175</f>
        <v>10.079</v>
      </c>
    </row>
    <row r="17" spans="1:7" ht="15.75" hidden="1">
      <c r="A17" s="31">
        <v>2341</v>
      </c>
      <c r="B17" s="32" t="s">
        <v>23</v>
      </c>
      <c r="C17" s="25">
        <v>0</v>
      </c>
      <c r="D17" s="25">
        <f t="shared" si="1"/>
        <v>0</v>
      </c>
      <c r="E17" s="25">
        <f t="shared" si="0"/>
        <v>0</v>
      </c>
      <c r="F17" s="25">
        <f aca="true" t="shared" si="2" ref="F17:F23">E17</f>
        <v>0</v>
      </c>
      <c r="G17" s="25">
        <f aca="true" t="shared" si="3" ref="G17:G23">F17/50*5</f>
        <v>0</v>
      </c>
    </row>
    <row r="18" spans="1:7" ht="15.75" hidden="1">
      <c r="A18" s="23">
        <v>2249</v>
      </c>
      <c r="B18" s="32" t="s">
        <v>13</v>
      </c>
      <c r="C18" s="25">
        <v>0</v>
      </c>
      <c r="D18" s="25">
        <f t="shared" si="1"/>
        <v>0</v>
      </c>
      <c r="E18" s="25">
        <f t="shared" si="0"/>
        <v>0</v>
      </c>
      <c r="F18" s="25">
        <f t="shared" si="2"/>
        <v>0</v>
      </c>
      <c r="G18" s="25">
        <f t="shared" si="3"/>
        <v>0</v>
      </c>
    </row>
    <row r="19" spans="1:7" ht="15.75" hidden="1">
      <c r="A19" s="23">
        <v>2341</v>
      </c>
      <c r="B19" s="32" t="s">
        <v>23</v>
      </c>
      <c r="C19" s="105"/>
      <c r="D19" s="25">
        <f t="shared" si="1"/>
        <v>0</v>
      </c>
      <c r="E19" s="25">
        <f t="shared" si="0"/>
        <v>0</v>
      </c>
      <c r="F19" s="25">
        <f t="shared" si="2"/>
        <v>0</v>
      </c>
      <c r="G19" s="25">
        <f t="shared" si="3"/>
        <v>0</v>
      </c>
    </row>
    <row r="20" spans="1:7" ht="15.75" hidden="1">
      <c r="A20" s="23">
        <v>2350</v>
      </c>
      <c r="B20" s="32" t="s">
        <v>25</v>
      </c>
      <c r="C20" s="105"/>
      <c r="D20" s="25">
        <f t="shared" si="1"/>
        <v>0</v>
      </c>
      <c r="E20" s="25">
        <f t="shared" si="0"/>
        <v>0</v>
      </c>
      <c r="F20" s="25">
        <f t="shared" si="2"/>
        <v>0</v>
      </c>
      <c r="G20" s="25">
        <f t="shared" si="3"/>
        <v>0</v>
      </c>
    </row>
    <row r="21" spans="1:7" ht="15.75" hidden="1">
      <c r="A21" s="23"/>
      <c r="B21" s="32"/>
      <c r="C21" s="105"/>
      <c r="D21" s="25">
        <f t="shared" si="1"/>
        <v>0</v>
      </c>
      <c r="E21" s="25">
        <f t="shared" si="0"/>
        <v>0</v>
      </c>
      <c r="F21" s="25">
        <f t="shared" si="2"/>
        <v>0</v>
      </c>
      <c r="G21" s="25">
        <f t="shared" si="3"/>
        <v>0</v>
      </c>
    </row>
    <row r="22" spans="1:7" ht="15.75" hidden="1">
      <c r="A22" s="23"/>
      <c r="B22" s="32"/>
      <c r="C22" s="105"/>
      <c r="D22" s="25">
        <f t="shared" si="1"/>
        <v>0</v>
      </c>
      <c r="E22" s="25">
        <f t="shared" si="0"/>
        <v>0</v>
      </c>
      <c r="F22" s="25">
        <f t="shared" si="2"/>
        <v>0</v>
      </c>
      <c r="G22" s="25">
        <f t="shared" si="3"/>
        <v>0</v>
      </c>
    </row>
    <row r="23" spans="1:7" ht="15.75" hidden="1">
      <c r="A23" s="23"/>
      <c r="B23" s="23"/>
      <c r="C23" s="25"/>
      <c r="D23" s="25">
        <f>C23/8941*200</f>
        <v>0</v>
      </c>
      <c r="E23" s="25">
        <f t="shared" si="0"/>
        <v>0</v>
      </c>
      <c r="F23" s="25">
        <f t="shared" si="2"/>
        <v>0</v>
      </c>
      <c r="G23" s="25">
        <f t="shared" si="3"/>
        <v>0</v>
      </c>
    </row>
    <row r="24" spans="1:7" ht="15.75">
      <c r="A24" s="23"/>
      <c r="B24" s="46" t="s">
        <v>74</v>
      </c>
      <c r="C24" s="28">
        <f>SUM(C15:C23)</f>
        <v>4355.33</v>
      </c>
      <c r="D24" s="28">
        <f>SUM(D15:D23)</f>
        <v>262.3692771084337</v>
      </c>
      <c r="E24" s="28">
        <f>SUM(E15:E23)</f>
        <v>373.30999999999995</v>
      </c>
      <c r="F24" s="28">
        <f>SUM(F15:F23)</f>
        <v>474.11</v>
      </c>
      <c r="G24" s="28">
        <f>SUM(G15:G23)</f>
        <v>51.911</v>
      </c>
    </row>
    <row r="25" spans="1:7" ht="15.75">
      <c r="A25" s="29"/>
      <c r="B25" s="23" t="s">
        <v>75</v>
      </c>
      <c r="C25" s="25"/>
      <c r="D25" s="25"/>
      <c r="E25" s="25"/>
      <c r="F25" s="25"/>
      <c r="G25" s="25"/>
    </row>
    <row r="26" spans="1:7" ht="15.75">
      <c r="A26" s="23">
        <v>1100</v>
      </c>
      <c r="B26" s="23" t="s">
        <v>72</v>
      </c>
      <c r="C26" s="25">
        <v>695.46</v>
      </c>
      <c r="D26" s="25">
        <f aca="true" t="shared" si="4" ref="D26:D69">C26/830*50</f>
        <v>41.89518072289157</v>
      </c>
      <c r="E26" s="25">
        <f aca="true" t="shared" si="5" ref="E26:E69">ROUND(D26/0.702804,2)</f>
        <v>59.61</v>
      </c>
      <c r="F26" s="25">
        <f aca="true" t="shared" si="6" ref="F26:F69">E26</f>
        <v>59.61</v>
      </c>
      <c r="G26" s="25">
        <f aca="true" t="shared" si="7" ref="G26:G69">F26/50*5</f>
        <v>5.960999999999999</v>
      </c>
    </row>
    <row r="27" spans="1:7" ht="15.75">
      <c r="A27" s="23">
        <v>1200</v>
      </c>
      <c r="B27" s="32" t="s">
        <v>73</v>
      </c>
      <c r="C27" s="47">
        <v>167.54</v>
      </c>
      <c r="D27" s="25">
        <f t="shared" si="4"/>
        <v>10.092771084337349</v>
      </c>
      <c r="E27" s="25">
        <f t="shared" si="5"/>
        <v>14.36</v>
      </c>
      <c r="F27" s="25">
        <f t="shared" si="6"/>
        <v>14.36</v>
      </c>
      <c r="G27" s="25">
        <f t="shared" si="7"/>
        <v>1.436</v>
      </c>
    </row>
    <row r="28" spans="1:7" ht="15.75" hidden="1">
      <c r="A28" s="23">
        <v>2100</v>
      </c>
      <c r="B28" s="30" t="s">
        <v>42</v>
      </c>
      <c r="C28" s="25"/>
      <c r="D28" s="25">
        <f t="shared" si="4"/>
        <v>0</v>
      </c>
      <c r="E28" s="25">
        <f t="shared" si="5"/>
        <v>0</v>
      </c>
      <c r="F28" s="25">
        <f t="shared" si="6"/>
        <v>0</v>
      </c>
      <c r="G28" s="25">
        <f t="shared" si="7"/>
        <v>0</v>
      </c>
    </row>
    <row r="29" spans="1:7" ht="15.75">
      <c r="A29" s="31">
        <v>2210</v>
      </c>
      <c r="B29" s="32" t="s">
        <v>38</v>
      </c>
      <c r="C29" s="25">
        <v>10</v>
      </c>
      <c r="D29" s="25">
        <f t="shared" si="4"/>
        <v>0.6024096385542169</v>
      </c>
      <c r="E29" s="25">
        <f t="shared" si="5"/>
        <v>0.86</v>
      </c>
      <c r="F29" s="25">
        <f t="shared" si="6"/>
        <v>0.86</v>
      </c>
      <c r="G29" s="25">
        <f t="shared" si="7"/>
        <v>0.086</v>
      </c>
    </row>
    <row r="30" spans="1:7" ht="15.75">
      <c r="A30" s="23">
        <v>2222</v>
      </c>
      <c r="B30" s="32" t="s">
        <v>39</v>
      </c>
      <c r="C30" s="25">
        <v>10</v>
      </c>
      <c r="D30" s="25">
        <f t="shared" si="4"/>
        <v>0.6024096385542169</v>
      </c>
      <c r="E30" s="25">
        <f t="shared" si="5"/>
        <v>0.86</v>
      </c>
      <c r="F30" s="25">
        <f t="shared" si="6"/>
        <v>0.86</v>
      </c>
      <c r="G30" s="25">
        <f t="shared" si="7"/>
        <v>0.086</v>
      </c>
    </row>
    <row r="31" spans="1:7" ht="15.75">
      <c r="A31" s="23">
        <v>2223</v>
      </c>
      <c r="B31" s="32" t="s">
        <v>40</v>
      </c>
      <c r="C31" s="25">
        <v>8</v>
      </c>
      <c r="D31" s="25">
        <f t="shared" si="4"/>
        <v>0.48192771084337355</v>
      </c>
      <c r="E31" s="25">
        <f t="shared" si="5"/>
        <v>0.69</v>
      </c>
      <c r="F31" s="25">
        <f t="shared" si="6"/>
        <v>0.69</v>
      </c>
      <c r="G31" s="25">
        <f t="shared" si="7"/>
        <v>0.069</v>
      </c>
    </row>
    <row r="32" spans="1:7" ht="15.75">
      <c r="A32" s="23">
        <v>2230</v>
      </c>
      <c r="B32" s="32" t="s">
        <v>41</v>
      </c>
      <c r="C32" s="25">
        <v>7</v>
      </c>
      <c r="D32" s="25">
        <f t="shared" si="4"/>
        <v>0.42168674698795183</v>
      </c>
      <c r="E32" s="25">
        <f t="shared" si="5"/>
        <v>0.6</v>
      </c>
      <c r="F32" s="25">
        <f t="shared" si="6"/>
        <v>0.6</v>
      </c>
      <c r="G32" s="25">
        <f t="shared" si="7"/>
        <v>0.06</v>
      </c>
    </row>
    <row r="33" spans="1:7" ht="15.75" hidden="1">
      <c r="A33" s="23">
        <v>2241</v>
      </c>
      <c r="B33" s="32" t="s">
        <v>9</v>
      </c>
      <c r="C33" s="25"/>
      <c r="D33" s="25">
        <f t="shared" si="4"/>
        <v>0</v>
      </c>
      <c r="E33" s="25">
        <f t="shared" si="5"/>
        <v>0</v>
      </c>
      <c r="F33" s="25">
        <f t="shared" si="6"/>
        <v>0</v>
      </c>
      <c r="G33" s="25">
        <f t="shared" si="7"/>
        <v>0</v>
      </c>
    </row>
    <row r="34" spans="1:7" ht="15.75">
      <c r="A34" s="23">
        <v>2242</v>
      </c>
      <c r="B34" s="32" t="s">
        <v>10</v>
      </c>
      <c r="C34" s="25">
        <v>5</v>
      </c>
      <c r="D34" s="25">
        <f t="shared" si="4"/>
        <v>0.30120481927710846</v>
      </c>
      <c r="E34" s="25">
        <f t="shared" si="5"/>
        <v>0.43</v>
      </c>
      <c r="F34" s="25">
        <f t="shared" si="6"/>
        <v>0.43</v>
      </c>
      <c r="G34" s="25">
        <f t="shared" si="7"/>
        <v>0.043</v>
      </c>
    </row>
    <row r="35" spans="1:7" ht="15.75">
      <c r="A35" s="23">
        <v>2243</v>
      </c>
      <c r="B35" s="32" t="s">
        <v>11</v>
      </c>
      <c r="C35" s="25">
        <v>16</v>
      </c>
      <c r="D35" s="25">
        <f t="shared" si="4"/>
        <v>0.9638554216867471</v>
      </c>
      <c r="E35" s="25">
        <f t="shared" si="5"/>
        <v>1.37</v>
      </c>
      <c r="F35" s="25">
        <f t="shared" si="6"/>
        <v>1.37</v>
      </c>
      <c r="G35" s="25">
        <f t="shared" si="7"/>
        <v>0.137</v>
      </c>
    </row>
    <row r="36" spans="1:7" ht="15.75">
      <c r="A36" s="23">
        <v>2244</v>
      </c>
      <c r="B36" s="32" t="s">
        <v>12</v>
      </c>
      <c r="C36" s="25">
        <v>231.27</v>
      </c>
      <c r="D36" s="25">
        <f t="shared" si="4"/>
        <v>13.931927710843375</v>
      </c>
      <c r="E36" s="25">
        <f t="shared" si="5"/>
        <v>19.82</v>
      </c>
      <c r="F36" s="25">
        <f t="shared" si="6"/>
        <v>19.82</v>
      </c>
      <c r="G36" s="25">
        <f>F36/50*5+5*0.09</f>
        <v>2.4320000000000004</v>
      </c>
    </row>
    <row r="37" spans="1:7" ht="15.75">
      <c r="A37" s="23">
        <v>2247</v>
      </c>
      <c r="B37" s="45" t="s">
        <v>76</v>
      </c>
      <c r="C37" s="25">
        <v>1</v>
      </c>
      <c r="D37" s="25">
        <f t="shared" si="4"/>
        <v>0.06024096385542169</v>
      </c>
      <c r="E37" s="25">
        <f t="shared" si="5"/>
        <v>0.09</v>
      </c>
      <c r="F37" s="25">
        <f t="shared" si="6"/>
        <v>0.09</v>
      </c>
      <c r="G37" s="25">
        <f t="shared" si="7"/>
        <v>0.009</v>
      </c>
    </row>
    <row r="38" spans="1:7" ht="15.75">
      <c r="A38" s="23">
        <v>2249</v>
      </c>
      <c r="B38" s="32" t="s">
        <v>13</v>
      </c>
      <c r="C38" s="25">
        <v>6</v>
      </c>
      <c r="D38" s="25">
        <f t="shared" si="4"/>
        <v>0.3614457831325301</v>
      </c>
      <c r="E38" s="25">
        <f t="shared" si="5"/>
        <v>0.51</v>
      </c>
      <c r="F38" s="25">
        <f t="shared" si="6"/>
        <v>0.51</v>
      </c>
      <c r="G38" s="25">
        <f t="shared" si="7"/>
        <v>0.051000000000000004</v>
      </c>
    </row>
    <row r="39" spans="1:7" ht="15.75">
      <c r="A39" s="23">
        <v>2251</v>
      </c>
      <c r="B39" s="32" t="s">
        <v>77</v>
      </c>
      <c r="C39" s="25">
        <v>17</v>
      </c>
      <c r="D39" s="25">
        <f t="shared" si="4"/>
        <v>1.0240963855421688</v>
      </c>
      <c r="E39" s="25">
        <f t="shared" si="5"/>
        <v>1.46</v>
      </c>
      <c r="F39" s="25">
        <f t="shared" si="6"/>
        <v>1.46</v>
      </c>
      <c r="G39" s="25">
        <f t="shared" si="7"/>
        <v>0.146</v>
      </c>
    </row>
    <row r="40" spans="1:7" ht="15.75" hidden="1">
      <c r="A40" s="23">
        <v>2252</v>
      </c>
      <c r="B40" s="32" t="s">
        <v>7</v>
      </c>
      <c r="C40" s="25"/>
      <c r="D40" s="25">
        <f t="shared" si="4"/>
        <v>0</v>
      </c>
      <c r="E40" s="25">
        <f t="shared" si="5"/>
        <v>0</v>
      </c>
      <c r="F40" s="25">
        <f t="shared" si="6"/>
        <v>0</v>
      </c>
      <c r="G40" s="25">
        <f t="shared" si="7"/>
        <v>0</v>
      </c>
    </row>
    <row r="41" spans="1:7" ht="15.75" hidden="1">
      <c r="A41" s="23">
        <v>2259</v>
      </c>
      <c r="B41" s="32" t="s">
        <v>8</v>
      </c>
      <c r="C41" s="25"/>
      <c r="D41" s="25">
        <f t="shared" si="4"/>
        <v>0</v>
      </c>
      <c r="E41" s="25">
        <f t="shared" si="5"/>
        <v>0</v>
      </c>
      <c r="F41" s="25">
        <f t="shared" si="6"/>
        <v>0</v>
      </c>
      <c r="G41" s="25">
        <f t="shared" si="7"/>
        <v>0</v>
      </c>
    </row>
    <row r="42" spans="1:7" ht="15.75">
      <c r="A42" s="23">
        <v>2261</v>
      </c>
      <c r="B42" s="32" t="s">
        <v>14</v>
      </c>
      <c r="C42" s="25">
        <v>3</v>
      </c>
      <c r="D42" s="25">
        <f t="shared" si="4"/>
        <v>0.18072289156626506</v>
      </c>
      <c r="E42" s="25">
        <f t="shared" si="5"/>
        <v>0.26</v>
      </c>
      <c r="F42" s="25">
        <f t="shared" si="6"/>
        <v>0.26</v>
      </c>
      <c r="G42" s="25">
        <f t="shared" si="7"/>
        <v>0.026</v>
      </c>
    </row>
    <row r="43" spans="1:7" ht="15.75">
      <c r="A43" s="23">
        <v>2262</v>
      </c>
      <c r="B43" s="32" t="s">
        <v>15</v>
      </c>
      <c r="C43" s="25">
        <v>14</v>
      </c>
      <c r="D43" s="25">
        <f t="shared" si="4"/>
        <v>0.8433734939759037</v>
      </c>
      <c r="E43" s="25">
        <f t="shared" si="5"/>
        <v>1.2</v>
      </c>
      <c r="F43" s="25">
        <f t="shared" si="6"/>
        <v>1.2</v>
      </c>
      <c r="G43" s="25">
        <f t="shared" si="7"/>
        <v>0.12</v>
      </c>
    </row>
    <row r="44" spans="1:7" ht="15.75">
      <c r="A44" s="23">
        <v>2263</v>
      </c>
      <c r="B44" s="32" t="s">
        <v>16</v>
      </c>
      <c r="C44" s="25">
        <v>51</v>
      </c>
      <c r="D44" s="25">
        <f t="shared" si="4"/>
        <v>3.072289156626506</v>
      </c>
      <c r="E44" s="25">
        <f t="shared" si="5"/>
        <v>4.37</v>
      </c>
      <c r="F44" s="25">
        <f t="shared" si="6"/>
        <v>4.37</v>
      </c>
      <c r="G44" s="25">
        <f t="shared" si="7"/>
        <v>0.43700000000000006</v>
      </c>
    </row>
    <row r="45" spans="1:7" ht="15.75" hidden="1">
      <c r="A45" s="23">
        <v>2264</v>
      </c>
      <c r="B45" s="32" t="s">
        <v>17</v>
      </c>
      <c r="C45" s="25">
        <v>0</v>
      </c>
      <c r="D45" s="25">
        <f t="shared" si="4"/>
        <v>0</v>
      </c>
      <c r="E45" s="25">
        <f t="shared" si="5"/>
        <v>0</v>
      </c>
      <c r="F45" s="25">
        <f t="shared" si="6"/>
        <v>0</v>
      </c>
      <c r="G45" s="25">
        <f t="shared" si="7"/>
        <v>0</v>
      </c>
    </row>
    <row r="46" spans="1:7" ht="15.75">
      <c r="A46" s="23">
        <v>2279</v>
      </c>
      <c r="B46" s="32" t="s">
        <v>18</v>
      </c>
      <c r="C46" s="25">
        <v>57</v>
      </c>
      <c r="D46" s="25">
        <f t="shared" si="4"/>
        <v>3.4337349397590358</v>
      </c>
      <c r="E46" s="25">
        <f t="shared" si="5"/>
        <v>4.89</v>
      </c>
      <c r="F46" s="25">
        <f t="shared" si="6"/>
        <v>4.89</v>
      </c>
      <c r="G46" s="25">
        <f t="shared" si="7"/>
        <v>0.489</v>
      </c>
    </row>
    <row r="47" spans="1:7" ht="15.75">
      <c r="A47" s="23">
        <v>2311</v>
      </c>
      <c r="B47" s="32" t="s">
        <v>19</v>
      </c>
      <c r="C47" s="25">
        <v>5</v>
      </c>
      <c r="D47" s="25">
        <f t="shared" si="4"/>
        <v>0.30120481927710846</v>
      </c>
      <c r="E47" s="25">
        <f t="shared" si="5"/>
        <v>0.43</v>
      </c>
      <c r="F47" s="25">
        <f t="shared" si="6"/>
        <v>0.43</v>
      </c>
      <c r="G47" s="25">
        <f t="shared" si="7"/>
        <v>0.043</v>
      </c>
    </row>
    <row r="48" spans="1:7" ht="15.75">
      <c r="A48" s="23">
        <v>2312</v>
      </c>
      <c r="B48" s="32" t="s">
        <v>20</v>
      </c>
      <c r="C48" s="25">
        <v>10</v>
      </c>
      <c r="D48" s="25">
        <f t="shared" si="4"/>
        <v>0.6024096385542169</v>
      </c>
      <c r="E48" s="25">
        <f t="shared" si="5"/>
        <v>0.86</v>
      </c>
      <c r="F48" s="25">
        <f t="shared" si="6"/>
        <v>0.86</v>
      </c>
      <c r="G48" s="25">
        <f t="shared" si="7"/>
        <v>0.086</v>
      </c>
    </row>
    <row r="49" spans="1:7" ht="15.75">
      <c r="A49" s="23">
        <v>2321</v>
      </c>
      <c r="B49" s="32" t="s">
        <v>21</v>
      </c>
      <c r="C49" s="25">
        <v>19</v>
      </c>
      <c r="D49" s="25">
        <f t="shared" si="4"/>
        <v>1.144578313253012</v>
      </c>
      <c r="E49" s="25">
        <f t="shared" si="5"/>
        <v>1.63</v>
      </c>
      <c r="F49" s="25">
        <f t="shared" si="6"/>
        <v>1.63</v>
      </c>
      <c r="G49" s="25">
        <f t="shared" si="7"/>
        <v>0.16299999999999998</v>
      </c>
    </row>
    <row r="50" spans="1:7" ht="15.75">
      <c r="A50" s="23">
        <v>2322</v>
      </c>
      <c r="B50" s="32" t="s">
        <v>22</v>
      </c>
      <c r="C50" s="25">
        <v>18</v>
      </c>
      <c r="D50" s="25">
        <f t="shared" si="4"/>
        <v>1.0843373493975903</v>
      </c>
      <c r="E50" s="25">
        <f t="shared" si="5"/>
        <v>1.54</v>
      </c>
      <c r="F50" s="25">
        <f t="shared" si="6"/>
        <v>1.54</v>
      </c>
      <c r="G50" s="25">
        <f t="shared" si="7"/>
        <v>0.154</v>
      </c>
    </row>
    <row r="51" spans="1:7" ht="15.75">
      <c r="A51" s="23">
        <v>2341</v>
      </c>
      <c r="B51" s="32" t="s">
        <v>23</v>
      </c>
      <c r="C51" s="25">
        <v>7</v>
      </c>
      <c r="D51" s="25">
        <f t="shared" si="4"/>
        <v>0.42168674698795183</v>
      </c>
      <c r="E51" s="25">
        <f t="shared" si="5"/>
        <v>0.6</v>
      </c>
      <c r="F51" s="25">
        <f t="shared" si="6"/>
        <v>0.6</v>
      </c>
      <c r="G51" s="25">
        <f t="shared" si="7"/>
        <v>0.06</v>
      </c>
    </row>
    <row r="52" spans="1:7" ht="15.75" hidden="1">
      <c r="A52" s="23">
        <v>2344</v>
      </c>
      <c r="B52" s="32" t="s">
        <v>24</v>
      </c>
      <c r="C52" s="25">
        <v>0</v>
      </c>
      <c r="D52" s="25">
        <f t="shared" si="4"/>
        <v>0</v>
      </c>
      <c r="E52" s="25">
        <f t="shared" si="5"/>
        <v>0</v>
      </c>
      <c r="F52" s="25">
        <f t="shared" si="6"/>
        <v>0</v>
      </c>
      <c r="G52" s="25">
        <f t="shared" si="7"/>
        <v>0</v>
      </c>
    </row>
    <row r="53" spans="1:7" ht="15.75">
      <c r="A53" s="23">
        <v>2350</v>
      </c>
      <c r="B53" s="32" t="s">
        <v>25</v>
      </c>
      <c r="C53" s="25">
        <v>45</v>
      </c>
      <c r="D53" s="25">
        <f t="shared" si="4"/>
        <v>2.710843373493976</v>
      </c>
      <c r="E53" s="25">
        <f t="shared" si="5"/>
        <v>3.86</v>
      </c>
      <c r="F53" s="25">
        <f t="shared" si="6"/>
        <v>3.86</v>
      </c>
      <c r="G53" s="25">
        <f t="shared" si="7"/>
        <v>0.38599999999999995</v>
      </c>
    </row>
    <row r="54" spans="1:7" ht="15.75">
      <c r="A54" s="23">
        <v>2361</v>
      </c>
      <c r="B54" s="32" t="s">
        <v>26</v>
      </c>
      <c r="C54" s="25">
        <v>28</v>
      </c>
      <c r="D54" s="25">
        <f t="shared" si="4"/>
        <v>1.6867469879518073</v>
      </c>
      <c r="E54" s="25">
        <f t="shared" si="5"/>
        <v>2.4</v>
      </c>
      <c r="F54" s="25">
        <f t="shared" si="6"/>
        <v>2.4</v>
      </c>
      <c r="G54" s="25">
        <f t="shared" si="7"/>
        <v>0.24</v>
      </c>
    </row>
    <row r="55" spans="1:7" ht="15.75" hidden="1">
      <c r="A55" s="23">
        <v>2362</v>
      </c>
      <c r="B55" s="32" t="s">
        <v>27</v>
      </c>
      <c r="C55" s="25"/>
      <c r="D55" s="25">
        <f t="shared" si="4"/>
        <v>0</v>
      </c>
      <c r="E55" s="25">
        <f t="shared" si="5"/>
        <v>0</v>
      </c>
      <c r="F55" s="25">
        <f t="shared" si="6"/>
        <v>0</v>
      </c>
      <c r="G55" s="25">
        <f t="shared" si="7"/>
        <v>0</v>
      </c>
    </row>
    <row r="56" spans="1:7" ht="15.75" hidden="1">
      <c r="A56" s="23">
        <v>2363</v>
      </c>
      <c r="B56" s="32" t="s">
        <v>28</v>
      </c>
      <c r="C56" s="25"/>
      <c r="D56" s="25">
        <f t="shared" si="4"/>
        <v>0</v>
      </c>
      <c r="E56" s="25">
        <f t="shared" si="5"/>
        <v>0</v>
      </c>
      <c r="F56" s="25">
        <f t="shared" si="6"/>
        <v>0</v>
      </c>
      <c r="G56" s="25">
        <f t="shared" si="7"/>
        <v>0</v>
      </c>
    </row>
    <row r="57" spans="1:7" ht="15.75" hidden="1">
      <c r="A57" s="23">
        <v>2370</v>
      </c>
      <c r="B57" s="32" t="s">
        <v>29</v>
      </c>
      <c r="C57" s="25"/>
      <c r="D57" s="25">
        <f t="shared" si="4"/>
        <v>0</v>
      </c>
      <c r="E57" s="25">
        <f t="shared" si="5"/>
        <v>0</v>
      </c>
      <c r="F57" s="25">
        <f t="shared" si="6"/>
        <v>0</v>
      </c>
      <c r="G57" s="25">
        <f t="shared" si="7"/>
        <v>0</v>
      </c>
    </row>
    <row r="58" spans="1:7" ht="15.75">
      <c r="A58" s="23">
        <v>2400</v>
      </c>
      <c r="B58" s="32" t="s">
        <v>43</v>
      </c>
      <c r="C58" s="25">
        <v>2</v>
      </c>
      <c r="D58" s="25">
        <f t="shared" si="4"/>
        <v>0.12048192771084339</v>
      </c>
      <c r="E58" s="25">
        <f t="shared" si="5"/>
        <v>0.17</v>
      </c>
      <c r="F58" s="25">
        <f t="shared" si="6"/>
        <v>0.17</v>
      </c>
      <c r="G58" s="25">
        <f t="shared" si="7"/>
        <v>0.017</v>
      </c>
    </row>
    <row r="59" spans="1:7" ht="15.75" hidden="1">
      <c r="A59" s="23">
        <v>2512</v>
      </c>
      <c r="B59" s="32" t="s">
        <v>30</v>
      </c>
      <c r="C59" s="25">
        <v>0</v>
      </c>
      <c r="D59" s="25">
        <f t="shared" si="4"/>
        <v>0</v>
      </c>
      <c r="E59" s="25">
        <f t="shared" si="5"/>
        <v>0</v>
      </c>
      <c r="F59" s="25">
        <f t="shared" si="6"/>
        <v>0</v>
      </c>
      <c r="G59" s="25">
        <f t="shared" si="7"/>
        <v>0</v>
      </c>
    </row>
    <row r="60" spans="1:7" ht="15.75">
      <c r="A60" s="23">
        <v>2513</v>
      </c>
      <c r="B60" s="32" t="s">
        <v>31</v>
      </c>
      <c r="C60" s="25">
        <v>24</v>
      </c>
      <c r="D60" s="25">
        <f t="shared" si="4"/>
        <v>1.4457831325301205</v>
      </c>
      <c r="E60" s="25">
        <f t="shared" si="5"/>
        <v>2.06</v>
      </c>
      <c r="F60" s="25">
        <f t="shared" si="6"/>
        <v>2.06</v>
      </c>
      <c r="G60" s="25">
        <f t="shared" si="7"/>
        <v>0.20600000000000002</v>
      </c>
    </row>
    <row r="61" spans="1:7" ht="15.75">
      <c r="A61" s="23">
        <v>2515</v>
      </c>
      <c r="B61" s="32" t="s">
        <v>78</v>
      </c>
      <c r="C61" s="25">
        <v>1</v>
      </c>
      <c r="D61" s="25">
        <f t="shared" si="4"/>
        <v>0.06024096385542169</v>
      </c>
      <c r="E61" s="25">
        <f t="shared" si="5"/>
        <v>0.09</v>
      </c>
      <c r="F61" s="25">
        <f t="shared" si="6"/>
        <v>0.09</v>
      </c>
      <c r="G61" s="25">
        <f t="shared" si="7"/>
        <v>0.009</v>
      </c>
    </row>
    <row r="62" spans="1:7" ht="15.75">
      <c r="A62" s="23">
        <v>2519</v>
      </c>
      <c r="B62" s="32" t="s">
        <v>34</v>
      </c>
      <c r="C62" s="25">
        <v>6</v>
      </c>
      <c r="D62" s="25">
        <f t="shared" si="4"/>
        <v>0.3614457831325301</v>
      </c>
      <c r="E62" s="25">
        <f t="shared" si="5"/>
        <v>0.51</v>
      </c>
      <c r="F62" s="25">
        <f t="shared" si="6"/>
        <v>0.51</v>
      </c>
      <c r="G62" s="25">
        <f t="shared" si="7"/>
        <v>0.051000000000000004</v>
      </c>
    </row>
    <row r="63" spans="1:7" ht="15.75" hidden="1">
      <c r="A63" s="23">
        <v>6240</v>
      </c>
      <c r="B63" s="32"/>
      <c r="C63" s="25"/>
      <c r="D63" s="25">
        <f t="shared" si="4"/>
        <v>0</v>
      </c>
      <c r="E63" s="25">
        <f t="shared" si="5"/>
        <v>0</v>
      </c>
      <c r="F63" s="25">
        <f t="shared" si="6"/>
        <v>0</v>
      </c>
      <c r="G63" s="25">
        <f t="shared" si="7"/>
        <v>0</v>
      </c>
    </row>
    <row r="64" spans="1:7" ht="15.75" hidden="1">
      <c r="A64" s="23">
        <v>6290</v>
      </c>
      <c r="B64" s="32"/>
      <c r="C64" s="25"/>
      <c r="D64" s="25">
        <f t="shared" si="4"/>
        <v>0</v>
      </c>
      <c r="E64" s="25">
        <f t="shared" si="5"/>
        <v>0</v>
      </c>
      <c r="F64" s="25">
        <f t="shared" si="6"/>
        <v>0</v>
      </c>
      <c r="G64" s="25">
        <f t="shared" si="7"/>
        <v>0</v>
      </c>
    </row>
    <row r="65" spans="1:7" ht="15.75">
      <c r="A65" s="23">
        <v>5121</v>
      </c>
      <c r="B65" s="32" t="s">
        <v>32</v>
      </c>
      <c r="C65" s="25">
        <v>6</v>
      </c>
      <c r="D65" s="25">
        <f t="shared" si="4"/>
        <v>0.3614457831325301</v>
      </c>
      <c r="E65" s="25">
        <f t="shared" si="5"/>
        <v>0.51</v>
      </c>
      <c r="F65" s="25">
        <f t="shared" si="6"/>
        <v>0.51</v>
      </c>
      <c r="G65" s="25">
        <f t="shared" si="7"/>
        <v>0.051000000000000004</v>
      </c>
    </row>
    <row r="66" spans="1:7" ht="15.75">
      <c r="A66" s="23">
        <v>5232</v>
      </c>
      <c r="B66" s="32" t="s">
        <v>33</v>
      </c>
      <c r="C66" s="25">
        <v>1</v>
      </c>
      <c r="D66" s="25">
        <f t="shared" si="4"/>
        <v>0.06024096385542169</v>
      </c>
      <c r="E66" s="25">
        <v>0.15</v>
      </c>
      <c r="F66" s="25">
        <v>0.35</v>
      </c>
      <c r="G66" s="25">
        <f t="shared" si="7"/>
        <v>0.034999999999999996</v>
      </c>
    </row>
    <row r="67" spans="1:7" ht="15.75" hidden="1">
      <c r="A67" s="23">
        <v>5238</v>
      </c>
      <c r="B67" s="32" t="s">
        <v>35</v>
      </c>
      <c r="C67" s="25">
        <v>0</v>
      </c>
      <c r="D67" s="25">
        <f t="shared" si="4"/>
        <v>0</v>
      </c>
      <c r="E67" s="25">
        <f t="shared" si="5"/>
        <v>0</v>
      </c>
      <c r="F67" s="25">
        <f t="shared" si="6"/>
        <v>0</v>
      </c>
      <c r="G67" s="25">
        <f t="shared" si="7"/>
        <v>0</v>
      </c>
    </row>
    <row r="68" spans="1:7" ht="15.75" hidden="1">
      <c r="A68" s="23">
        <v>5240</v>
      </c>
      <c r="B68" s="32" t="s">
        <v>36</v>
      </c>
      <c r="C68" s="25">
        <v>0</v>
      </c>
      <c r="D68" s="25">
        <f t="shared" si="4"/>
        <v>0</v>
      </c>
      <c r="E68" s="25">
        <f t="shared" si="5"/>
        <v>0</v>
      </c>
      <c r="F68" s="25">
        <f t="shared" si="6"/>
        <v>0</v>
      </c>
      <c r="G68" s="25">
        <f t="shared" si="7"/>
        <v>0</v>
      </c>
    </row>
    <row r="69" spans="1:7" ht="15.75" hidden="1">
      <c r="A69" s="23">
        <v>5250</v>
      </c>
      <c r="B69" s="32" t="s">
        <v>37</v>
      </c>
      <c r="C69" s="25"/>
      <c r="D69" s="25">
        <f t="shared" si="4"/>
        <v>0</v>
      </c>
      <c r="E69" s="25">
        <f t="shared" si="5"/>
        <v>0</v>
      </c>
      <c r="F69" s="25">
        <f t="shared" si="6"/>
        <v>0</v>
      </c>
      <c r="G69" s="25">
        <f t="shared" si="7"/>
        <v>0</v>
      </c>
    </row>
    <row r="70" spans="1:7" ht="15.75">
      <c r="A70" s="29"/>
      <c r="B70" s="48" t="s">
        <v>79</v>
      </c>
      <c r="C70" s="28">
        <f>SUM(C26:C69)</f>
        <v>1471.27</v>
      </c>
      <c r="D70" s="28">
        <f>SUM(D26:D69)</f>
        <v>88.63072289156624</v>
      </c>
      <c r="E70" s="28">
        <f>SUM(E26:E69)</f>
        <v>126.19000000000004</v>
      </c>
      <c r="F70" s="28">
        <f>SUM(F26:F69)</f>
        <v>126.39000000000003</v>
      </c>
      <c r="G70" s="28">
        <f>SUM(G26:G69)</f>
        <v>13.089</v>
      </c>
    </row>
    <row r="71" spans="1:7" ht="15.75">
      <c r="A71" s="29"/>
      <c r="B71" s="48" t="s">
        <v>80</v>
      </c>
      <c r="C71" s="28">
        <f>C70+C24</f>
        <v>5826.6</v>
      </c>
      <c r="D71" s="28">
        <f>D70+D24</f>
        <v>350.99999999999994</v>
      </c>
      <c r="E71" s="28">
        <f>E70+E24</f>
        <v>499.5</v>
      </c>
      <c r="F71" s="28">
        <f>F70+F24</f>
        <v>600.5</v>
      </c>
      <c r="G71" s="28">
        <f>G70+G24</f>
        <v>65</v>
      </c>
    </row>
    <row r="72" spans="1:7" ht="15.75">
      <c r="A72" s="49"/>
      <c r="B72" s="50"/>
      <c r="C72" s="41"/>
      <c r="D72" s="41"/>
      <c r="E72" s="41"/>
      <c r="F72" s="41"/>
      <c r="G72" s="41"/>
    </row>
    <row r="73" spans="1:7" ht="15.75" customHeight="1">
      <c r="A73" s="212" t="s">
        <v>45</v>
      </c>
      <c r="B73" s="213"/>
      <c r="C73" s="36">
        <v>830</v>
      </c>
      <c r="D73" s="17">
        <v>50</v>
      </c>
      <c r="E73" s="17">
        <v>50</v>
      </c>
      <c r="F73" s="17">
        <v>50</v>
      </c>
      <c r="G73" s="160">
        <v>5</v>
      </c>
    </row>
    <row r="74" spans="1:7" ht="15.75" customHeight="1">
      <c r="A74" s="212" t="s">
        <v>91</v>
      </c>
      <c r="B74" s="213"/>
      <c r="C74" s="102">
        <f>C71/C73</f>
        <v>7.0200000000000005</v>
      </c>
      <c r="D74" s="82">
        <f>D71/D73</f>
        <v>7.019999999999999</v>
      </c>
      <c r="E74" s="82">
        <f>E71/E73</f>
        <v>9.99</v>
      </c>
      <c r="F74" s="82">
        <f>F71/F73</f>
        <v>12.01</v>
      </c>
      <c r="G74" s="161">
        <f>G71/G73</f>
        <v>13</v>
      </c>
    </row>
    <row r="75" spans="1:7" ht="15.75">
      <c r="A75" s="14"/>
      <c r="B75" s="11"/>
      <c r="C75" s="11"/>
      <c r="D75" s="11"/>
      <c r="E75" s="11"/>
      <c r="F75" s="11"/>
      <c r="G75" s="11"/>
    </row>
    <row r="76" spans="1:7" ht="15.75" customHeight="1">
      <c r="A76" s="212" t="s">
        <v>46</v>
      </c>
      <c r="B76" s="213"/>
      <c r="C76" s="37"/>
      <c r="D76" s="37"/>
      <c r="E76" s="37"/>
      <c r="F76" s="37"/>
      <c r="G76" s="37"/>
    </row>
    <row r="77" spans="1:7" ht="15.75" customHeight="1">
      <c r="A77" s="212" t="s">
        <v>56</v>
      </c>
      <c r="B77" s="213"/>
      <c r="C77" s="37"/>
      <c r="D77" s="37"/>
      <c r="E77" s="37"/>
      <c r="F77" s="37"/>
      <c r="G77" s="37"/>
    </row>
    <row r="78" spans="1:7" ht="15.75">
      <c r="A78" s="38"/>
      <c r="B78" s="38"/>
      <c r="C78" s="38"/>
      <c r="D78" s="38"/>
      <c r="E78" s="38"/>
      <c r="F78" s="38"/>
      <c r="G78" s="38"/>
    </row>
    <row r="79" spans="1:7" ht="15.75">
      <c r="A79" s="38" t="s">
        <v>47</v>
      </c>
      <c r="B79" s="38"/>
      <c r="C79" s="38"/>
      <c r="D79" s="38"/>
      <c r="E79" s="38"/>
      <c r="F79" s="38"/>
      <c r="G79" s="38"/>
    </row>
    <row r="80" spans="1:7" ht="15.75">
      <c r="A80" s="38"/>
      <c r="B80" s="38"/>
      <c r="C80" s="38"/>
      <c r="D80" s="38"/>
      <c r="E80" s="38"/>
      <c r="F80" s="38"/>
      <c r="G80" s="38"/>
    </row>
    <row r="81" spans="1:7" ht="15.75">
      <c r="A81" s="38"/>
      <c r="B81" s="39"/>
      <c r="C81" s="38"/>
      <c r="D81" s="38"/>
      <c r="E81" s="38"/>
      <c r="F81" s="38"/>
      <c r="G81" s="38"/>
    </row>
    <row r="82" spans="1:7" ht="15.75">
      <c r="A82" s="38"/>
      <c r="B82" s="101"/>
      <c r="C82" s="38"/>
      <c r="D82" s="38"/>
      <c r="E82" s="38"/>
      <c r="F82" s="38"/>
      <c r="G82" s="38"/>
    </row>
  </sheetData>
  <sheetProtection/>
  <mergeCells count="11">
    <mergeCell ref="A3:G3"/>
    <mergeCell ref="B4:C4"/>
    <mergeCell ref="A5:C5"/>
    <mergeCell ref="A6:C6"/>
    <mergeCell ref="B7:C7"/>
    <mergeCell ref="B8:C8"/>
    <mergeCell ref="B9:C9"/>
    <mergeCell ref="A73:B73"/>
    <mergeCell ref="A74:B74"/>
    <mergeCell ref="A76:B76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Layout" workbookViewId="0" topLeftCell="A88">
      <selection activeCell="B94" sqref="B94"/>
    </sheetView>
  </sheetViews>
  <sheetFormatPr defaultColWidth="9.140625" defaultRowHeight="12.75"/>
  <cols>
    <col min="1" max="1" width="12.28125" style="15" customWidth="1"/>
    <col min="2" max="2" width="97.00390625" style="15" customWidth="1"/>
    <col min="3" max="3" width="20.8515625" style="15" hidden="1" customWidth="1"/>
    <col min="4" max="6" width="18.28125" style="15" hidden="1" customWidth="1"/>
    <col min="7" max="7" width="31.57421875" style="15" customWidth="1"/>
    <col min="8" max="12" width="9.140625" style="7" customWidth="1"/>
  </cols>
  <sheetData>
    <row r="1" spans="2:7" ht="15.75">
      <c r="B1" s="12"/>
      <c r="C1" s="76"/>
      <c r="D1" s="76"/>
      <c r="E1" s="76"/>
      <c r="F1" s="76"/>
      <c r="G1" s="9"/>
    </row>
    <row r="2" ht="15.75">
      <c r="C2" s="77"/>
    </row>
    <row r="3" spans="1:7" ht="15.75">
      <c r="A3" s="208" t="s">
        <v>6</v>
      </c>
      <c r="B3" s="208"/>
      <c r="C3" s="208"/>
      <c r="D3" s="208"/>
      <c r="E3" s="208"/>
      <c r="F3" s="208"/>
      <c r="G3" s="208"/>
    </row>
    <row r="4" spans="2:3" ht="15.75">
      <c r="B4" s="209"/>
      <c r="C4" s="209"/>
    </row>
    <row r="5" spans="1:3" ht="15.75">
      <c r="A5" s="195" t="s">
        <v>1</v>
      </c>
      <c r="B5" s="195"/>
      <c r="C5" s="195"/>
    </row>
    <row r="6" spans="1:7" ht="15.75">
      <c r="A6" s="195" t="s">
        <v>0</v>
      </c>
      <c r="B6" s="195"/>
      <c r="C6" s="195"/>
      <c r="G6" s="14"/>
    </row>
    <row r="7" spans="1:7" ht="15.75">
      <c r="A7" s="8"/>
      <c r="B7" s="195" t="s">
        <v>44</v>
      </c>
      <c r="C7" s="195"/>
      <c r="G7" s="14"/>
    </row>
    <row r="8" spans="1:3" ht="15.75">
      <c r="A8" s="8"/>
      <c r="B8" s="195" t="s">
        <v>100</v>
      </c>
      <c r="C8" s="195"/>
    </row>
    <row r="9" spans="1:7" ht="15.75">
      <c r="A9" s="8"/>
      <c r="B9" s="223" t="s">
        <v>119</v>
      </c>
      <c r="C9" s="223"/>
      <c r="D9" s="223"/>
      <c r="E9" s="223"/>
      <c r="F9" s="223"/>
      <c r="G9" s="223"/>
    </row>
    <row r="10" spans="1:3" ht="15.75">
      <c r="A10" s="8" t="s">
        <v>2</v>
      </c>
      <c r="B10" s="176" t="s">
        <v>205</v>
      </c>
      <c r="C10" s="8"/>
    </row>
    <row r="11" spans="2:3" ht="15.75" hidden="1">
      <c r="B11" s="16"/>
      <c r="C11" s="77"/>
    </row>
    <row r="12" spans="1:7" ht="53.25" customHeight="1">
      <c r="A12" s="59" t="s">
        <v>3</v>
      </c>
      <c r="B12" s="59" t="s">
        <v>4</v>
      </c>
      <c r="C12" s="17"/>
      <c r="D12" s="17"/>
      <c r="E12" s="17"/>
      <c r="F12" s="17"/>
      <c r="G12" s="59" t="s">
        <v>5</v>
      </c>
    </row>
    <row r="13" spans="1:7" ht="15.75">
      <c r="A13" s="18">
        <v>1</v>
      </c>
      <c r="B13" s="19">
        <v>2</v>
      </c>
      <c r="C13" s="18">
        <v>3</v>
      </c>
      <c r="D13" s="19">
        <v>3</v>
      </c>
      <c r="E13" s="19"/>
      <c r="F13" s="19"/>
      <c r="G13" s="19">
        <v>3</v>
      </c>
    </row>
    <row r="14" spans="1:7" ht="15.75">
      <c r="A14" s="18"/>
      <c r="B14" s="21" t="s">
        <v>71</v>
      </c>
      <c r="C14" s="79"/>
      <c r="D14" s="22"/>
      <c r="E14" s="22"/>
      <c r="F14" s="22"/>
      <c r="G14" s="22"/>
    </row>
    <row r="15" spans="1:7" ht="15.75">
      <c r="A15" s="23">
        <v>1100</v>
      </c>
      <c r="B15" s="23" t="s">
        <v>72</v>
      </c>
      <c r="C15" s="25">
        <v>1189.85</v>
      </c>
      <c r="D15" s="25">
        <f>C15/200*50</f>
        <v>297.4625</v>
      </c>
      <c r="E15" s="25">
        <f aca="true" t="shared" si="0" ref="E15:E23">ROUND(D15/0.702804,2)</f>
        <v>423.25</v>
      </c>
      <c r="F15" s="25">
        <v>537.53</v>
      </c>
      <c r="G15" s="25">
        <f>F15/50*10+10*1.09</f>
        <v>118.40599999999999</v>
      </c>
    </row>
    <row r="16" spans="1:7" ht="15.75" customHeight="1">
      <c r="A16" s="23">
        <v>1200</v>
      </c>
      <c r="B16" s="32" t="s">
        <v>73</v>
      </c>
      <c r="C16" s="47">
        <v>286.64</v>
      </c>
      <c r="D16" s="25">
        <f aca="true" t="shared" si="1" ref="D16:D23">C16/200*50</f>
        <v>71.66</v>
      </c>
      <c r="E16" s="25">
        <f t="shared" si="0"/>
        <v>101.96</v>
      </c>
      <c r="F16" s="25">
        <v>129.49</v>
      </c>
      <c r="G16" s="25">
        <f>F16/50*10+10*0.26</f>
        <v>28.498000000000005</v>
      </c>
    </row>
    <row r="17" spans="1:7" ht="15.75" hidden="1">
      <c r="A17" s="31">
        <v>2341</v>
      </c>
      <c r="B17" s="32" t="s">
        <v>23</v>
      </c>
      <c r="C17" s="25">
        <v>0</v>
      </c>
      <c r="D17" s="25">
        <f t="shared" si="1"/>
        <v>0</v>
      </c>
      <c r="E17" s="25">
        <f t="shared" si="0"/>
        <v>0</v>
      </c>
      <c r="F17" s="25">
        <f>E17</f>
        <v>0</v>
      </c>
      <c r="G17" s="25">
        <f aca="true" t="shared" si="2" ref="G17:G23">F17/50*10</f>
        <v>0</v>
      </c>
    </row>
    <row r="18" spans="1:7" ht="15.75" hidden="1">
      <c r="A18" s="23">
        <v>2249</v>
      </c>
      <c r="B18" s="32" t="s">
        <v>13</v>
      </c>
      <c r="C18" s="25">
        <v>0</v>
      </c>
      <c r="D18" s="25">
        <f t="shared" si="1"/>
        <v>0</v>
      </c>
      <c r="E18" s="25">
        <f t="shared" si="0"/>
        <v>0</v>
      </c>
      <c r="F18" s="25">
        <f aca="true" t="shared" si="3" ref="F18:F23">E18</f>
        <v>0</v>
      </c>
      <c r="G18" s="25">
        <f t="shared" si="2"/>
        <v>0</v>
      </c>
    </row>
    <row r="19" spans="1:7" ht="15.75" hidden="1">
      <c r="A19" s="23">
        <v>2341</v>
      </c>
      <c r="B19" s="32" t="s">
        <v>23</v>
      </c>
      <c r="C19" s="105"/>
      <c r="D19" s="25">
        <f t="shared" si="1"/>
        <v>0</v>
      </c>
      <c r="E19" s="25">
        <f t="shared" si="0"/>
        <v>0</v>
      </c>
      <c r="F19" s="25">
        <f t="shared" si="3"/>
        <v>0</v>
      </c>
      <c r="G19" s="25">
        <f t="shared" si="2"/>
        <v>0</v>
      </c>
    </row>
    <row r="20" spans="1:7" ht="15.75" hidden="1">
      <c r="A20" s="23">
        <v>2350</v>
      </c>
      <c r="B20" s="32" t="s">
        <v>25</v>
      </c>
      <c r="C20" s="105"/>
      <c r="D20" s="25">
        <f t="shared" si="1"/>
        <v>0</v>
      </c>
      <c r="E20" s="25">
        <f t="shared" si="0"/>
        <v>0</v>
      </c>
      <c r="F20" s="25">
        <f t="shared" si="3"/>
        <v>0</v>
      </c>
      <c r="G20" s="25">
        <f t="shared" si="2"/>
        <v>0</v>
      </c>
    </row>
    <row r="21" spans="1:7" ht="15.75" hidden="1">
      <c r="A21" s="23"/>
      <c r="B21" s="32"/>
      <c r="C21" s="105"/>
      <c r="D21" s="25">
        <f t="shared" si="1"/>
        <v>0</v>
      </c>
      <c r="E21" s="25">
        <f t="shared" si="0"/>
        <v>0</v>
      </c>
      <c r="F21" s="25">
        <f t="shared" si="3"/>
        <v>0</v>
      </c>
      <c r="G21" s="25">
        <f t="shared" si="2"/>
        <v>0</v>
      </c>
    </row>
    <row r="22" spans="1:7" ht="15.75" hidden="1">
      <c r="A22" s="23"/>
      <c r="B22" s="32"/>
      <c r="C22" s="105"/>
      <c r="D22" s="25">
        <f t="shared" si="1"/>
        <v>0</v>
      </c>
      <c r="E22" s="25">
        <f t="shared" si="0"/>
        <v>0</v>
      </c>
      <c r="F22" s="25">
        <f t="shared" si="3"/>
        <v>0</v>
      </c>
      <c r="G22" s="25">
        <f t="shared" si="2"/>
        <v>0</v>
      </c>
    </row>
    <row r="23" spans="1:7" ht="15.75" hidden="1">
      <c r="A23" s="23"/>
      <c r="B23" s="23"/>
      <c r="C23" s="25"/>
      <c r="D23" s="25">
        <f t="shared" si="1"/>
        <v>0</v>
      </c>
      <c r="E23" s="25">
        <f t="shared" si="0"/>
        <v>0</v>
      </c>
      <c r="F23" s="25">
        <f t="shared" si="3"/>
        <v>0</v>
      </c>
      <c r="G23" s="25">
        <f t="shared" si="2"/>
        <v>0</v>
      </c>
    </row>
    <row r="24" spans="1:7" ht="15.75">
      <c r="A24" s="23"/>
      <c r="B24" s="46" t="s">
        <v>74</v>
      </c>
      <c r="C24" s="28">
        <f>SUM(C15:C23)</f>
        <v>1476.4899999999998</v>
      </c>
      <c r="D24" s="28">
        <f>SUM(D15:D23)</f>
        <v>369.12249999999995</v>
      </c>
      <c r="E24" s="28">
        <f>SUM(E15:E23)</f>
        <v>525.21</v>
      </c>
      <c r="F24" s="28">
        <f>SUM(F15:F23)</f>
        <v>667.02</v>
      </c>
      <c r="G24" s="28">
        <f>SUM(G15:G23)</f>
        <v>146.904</v>
      </c>
    </row>
    <row r="25" spans="1:7" ht="15.75">
      <c r="A25" s="29"/>
      <c r="B25" s="23" t="s">
        <v>75</v>
      </c>
      <c r="C25" s="25"/>
      <c r="D25" s="25"/>
      <c r="E25" s="25"/>
      <c r="F25" s="25"/>
      <c r="G25" s="25"/>
    </row>
    <row r="26" spans="1:7" ht="15.75">
      <c r="A26" s="23">
        <v>1100</v>
      </c>
      <c r="B26" s="23" t="s">
        <v>72</v>
      </c>
      <c r="C26" s="25">
        <v>328.79</v>
      </c>
      <c r="D26" s="25">
        <f aca="true" t="shared" si="4" ref="D26:D65">C26/200*50</f>
        <v>82.1975</v>
      </c>
      <c r="E26" s="25">
        <f aca="true" t="shared" si="5" ref="E26:E69">ROUND(D26/0.702804,2)</f>
        <v>116.96</v>
      </c>
      <c r="F26" s="25">
        <f aca="true" t="shared" si="6" ref="F26:F69">E26</f>
        <v>116.96</v>
      </c>
      <c r="G26" s="25">
        <f aca="true" t="shared" si="7" ref="G26:G69">F26/50*10</f>
        <v>23.392</v>
      </c>
    </row>
    <row r="27" spans="1:7" ht="15.75" customHeight="1">
      <c r="A27" s="23">
        <v>1200</v>
      </c>
      <c r="B27" s="32" t="s">
        <v>73</v>
      </c>
      <c r="C27" s="47">
        <v>79.21</v>
      </c>
      <c r="D27" s="25">
        <f t="shared" si="4"/>
        <v>19.8025</v>
      </c>
      <c r="E27" s="25">
        <f t="shared" si="5"/>
        <v>28.18</v>
      </c>
      <c r="F27" s="25">
        <f t="shared" si="6"/>
        <v>28.18</v>
      </c>
      <c r="G27" s="25">
        <f t="shared" si="7"/>
        <v>5.636</v>
      </c>
    </row>
    <row r="28" spans="1:7" ht="15.75" hidden="1">
      <c r="A28" s="23">
        <v>2100</v>
      </c>
      <c r="B28" s="30" t="s">
        <v>42</v>
      </c>
      <c r="C28" s="25"/>
      <c r="D28" s="25">
        <f t="shared" si="4"/>
        <v>0</v>
      </c>
      <c r="E28" s="25">
        <f t="shared" si="5"/>
        <v>0</v>
      </c>
      <c r="F28" s="25">
        <f t="shared" si="6"/>
        <v>0</v>
      </c>
      <c r="G28" s="25">
        <f t="shared" si="7"/>
        <v>0</v>
      </c>
    </row>
    <row r="29" spans="1:7" ht="15.75">
      <c r="A29" s="31">
        <v>2210</v>
      </c>
      <c r="B29" s="32" t="s">
        <v>38</v>
      </c>
      <c r="C29" s="25">
        <v>2</v>
      </c>
      <c r="D29" s="25">
        <f t="shared" si="4"/>
        <v>0.5</v>
      </c>
      <c r="E29" s="25">
        <f t="shared" si="5"/>
        <v>0.71</v>
      </c>
      <c r="F29" s="25">
        <f t="shared" si="6"/>
        <v>0.71</v>
      </c>
      <c r="G29" s="25">
        <f t="shared" si="7"/>
        <v>0.142</v>
      </c>
    </row>
    <row r="30" spans="1:7" ht="15.75">
      <c r="A30" s="23">
        <v>2222</v>
      </c>
      <c r="B30" s="32" t="s">
        <v>39</v>
      </c>
      <c r="C30" s="25">
        <v>3</v>
      </c>
      <c r="D30" s="25">
        <f t="shared" si="4"/>
        <v>0.75</v>
      </c>
      <c r="E30" s="25">
        <f t="shared" si="5"/>
        <v>1.07</v>
      </c>
      <c r="F30" s="25">
        <f t="shared" si="6"/>
        <v>1.07</v>
      </c>
      <c r="G30" s="25">
        <f t="shared" si="7"/>
        <v>0.21400000000000002</v>
      </c>
    </row>
    <row r="31" spans="1:7" ht="15.75">
      <c r="A31" s="23">
        <v>2223</v>
      </c>
      <c r="B31" s="32" t="s">
        <v>40</v>
      </c>
      <c r="C31" s="25">
        <v>2</v>
      </c>
      <c r="D31" s="25">
        <f t="shared" si="4"/>
        <v>0.5</v>
      </c>
      <c r="E31" s="25">
        <f t="shared" si="5"/>
        <v>0.71</v>
      </c>
      <c r="F31" s="25">
        <f t="shared" si="6"/>
        <v>0.71</v>
      </c>
      <c r="G31" s="25">
        <f t="shared" si="7"/>
        <v>0.142</v>
      </c>
    </row>
    <row r="32" spans="1:7" ht="15.75" customHeight="1">
      <c r="A32" s="23">
        <v>2230</v>
      </c>
      <c r="B32" s="32" t="s">
        <v>41</v>
      </c>
      <c r="C32" s="25">
        <v>1</v>
      </c>
      <c r="D32" s="25">
        <f t="shared" si="4"/>
        <v>0.25</v>
      </c>
      <c r="E32" s="25">
        <f t="shared" si="5"/>
        <v>0.36</v>
      </c>
      <c r="F32" s="25">
        <f t="shared" si="6"/>
        <v>0.36</v>
      </c>
      <c r="G32" s="25">
        <f t="shared" si="7"/>
        <v>0.072</v>
      </c>
    </row>
    <row r="33" spans="1:7" ht="15.75" customHeight="1" hidden="1">
      <c r="A33" s="23">
        <v>2241</v>
      </c>
      <c r="B33" s="32" t="s">
        <v>9</v>
      </c>
      <c r="C33" s="25"/>
      <c r="D33" s="25">
        <f t="shared" si="4"/>
        <v>0</v>
      </c>
      <c r="E33" s="25">
        <f t="shared" si="5"/>
        <v>0</v>
      </c>
      <c r="F33" s="25">
        <f t="shared" si="6"/>
        <v>0</v>
      </c>
      <c r="G33" s="25">
        <f t="shared" si="7"/>
        <v>0</v>
      </c>
    </row>
    <row r="34" spans="1:7" ht="15.75" customHeight="1">
      <c r="A34" s="23">
        <v>2242</v>
      </c>
      <c r="B34" s="32" t="s">
        <v>10</v>
      </c>
      <c r="C34" s="25">
        <v>1</v>
      </c>
      <c r="D34" s="25">
        <f t="shared" si="4"/>
        <v>0.25</v>
      </c>
      <c r="E34" s="25">
        <f t="shared" si="5"/>
        <v>0.36</v>
      </c>
      <c r="F34" s="25">
        <f t="shared" si="6"/>
        <v>0.36</v>
      </c>
      <c r="G34" s="25">
        <f t="shared" si="7"/>
        <v>0.072</v>
      </c>
    </row>
    <row r="35" spans="1:7" ht="15.75" customHeight="1">
      <c r="A35" s="23">
        <v>2243</v>
      </c>
      <c r="B35" s="32" t="s">
        <v>11</v>
      </c>
      <c r="C35" s="25">
        <v>4</v>
      </c>
      <c r="D35" s="25">
        <f t="shared" si="4"/>
        <v>1</v>
      </c>
      <c r="E35" s="25">
        <f t="shared" si="5"/>
        <v>1.42</v>
      </c>
      <c r="F35" s="25">
        <f t="shared" si="6"/>
        <v>1.42</v>
      </c>
      <c r="G35" s="25">
        <f t="shared" si="7"/>
        <v>0.284</v>
      </c>
    </row>
    <row r="36" spans="1:7" ht="15.75" customHeight="1">
      <c r="A36" s="23">
        <v>2244</v>
      </c>
      <c r="B36" s="32" t="s">
        <v>12</v>
      </c>
      <c r="C36" s="25">
        <v>55.51</v>
      </c>
      <c r="D36" s="25">
        <f t="shared" si="4"/>
        <v>13.877499999999998</v>
      </c>
      <c r="E36" s="25">
        <f t="shared" si="5"/>
        <v>19.75</v>
      </c>
      <c r="F36" s="25">
        <v>9.75</v>
      </c>
      <c r="G36" s="25">
        <f>F36/50*10+10*0.09</f>
        <v>2.85</v>
      </c>
    </row>
    <row r="37" spans="1:7" ht="15.75" customHeight="1" hidden="1">
      <c r="A37" s="23">
        <v>2247</v>
      </c>
      <c r="B37" s="45" t="s">
        <v>76</v>
      </c>
      <c r="C37" s="25">
        <v>0</v>
      </c>
      <c r="D37" s="25">
        <f t="shared" si="4"/>
        <v>0</v>
      </c>
      <c r="E37" s="25">
        <f t="shared" si="5"/>
        <v>0</v>
      </c>
      <c r="F37" s="25">
        <f t="shared" si="6"/>
        <v>0</v>
      </c>
      <c r="G37" s="25">
        <f t="shared" si="7"/>
        <v>0</v>
      </c>
    </row>
    <row r="38" spans="1:7" ht="15.75" customHeight="1">
      <c r="A38" s="23">
        <v>2249</v>
      </c>
      <c r="B38" s="32" t="s">
        <v>13</v>
      </c>
      <c r="C38" s="25">
        <v>1</v>
      </c>
      <c r="D38" s="25">
        <f t="shared" si="4"/>
        <v>0.25</v>
      </c>
      <c r="E38" s="25">
        <f t="shared" si="5"/>
        <v>0.36</v>
      </c>
      <c r="F38" s="25">
        <f t="shared" si="6"/>
        <v>0.36</v>
      </c>
      <c r="G38" s="25">
        <f t="shared" si="7"/>
        <v>0.072</v>
      </c>
    </row>
    <row r="39" spans="1:7" ht="15.75">
      <c r="A39" s="23">
        <v>2251</v>
      </c>
      <c r="B39" s="32" t="s">
        <v>77</v>
      </c>
      <c r="C39" s="25">
        <v>4</v>
      </c>
      <c r="D39" s="25">
        <f t="shared" si="4"/>
        <v>1</v>
      </c>
      <c r="E39" s="25">
        <f t="shared" si="5"/>
        <v>1.42</v>
      </c>
      <c r="F39" s="25">
        <f t="shared" si="6"/>
        <v>1.42</v>
      </c>
      <c r="G39" s="25">
        <f t="shared" si="7"/>
        <v>0.284</v>
      </c>
    </row>
    <row r="40" spans="1:7" ht="15.75" hidden="1">
      <c r="A40" s="23">
        <v>2252</v>
      </c>
      <c r="B40" s="32" t="s">
        <v>7</v>
      </c>
      <c r="C40" s="25"/>
      <c r="D40" s="25">
        <f t="shared" si="4"/>
        <v>0</v>
      </c>
      <c r="E40" s="25">
        <f t="shared" si="5"/>
        <v>0</v>
      </c>
      <c r="F40" s="25">
        <f t="shared" si="6"/>
        <v>0</v>
      </c>
      <c r="G40" s="25">
        <f t="shared" si="7"/>
        <v>0</v>
      </c>
    </row>
    <row r="41" spans="1:7" ht="15.75" hidden="1">
      <c r="A41" s="23">
        <v>2259</v>
      </c>
      <c r="B41" s="32" t="s">
        <v>8</v>
      </c>
      <c r="C41" s="25"/>
      <c r="D41" s="25">
        <f t="shared" si="4"/>
        <v>0</v>
      </c>
      <c r="E41" s="25">
        <f t="shared" si="5"/>
        <v>0</v>
      </c>
      <c r="F41" s="25">
        <f t="shared" si="6"/>
        <v>0</v>
      </c>
      <c r="G41" s="25">
        <f t="shared" si="7"/>
        <v>0</v>
      </c>
    </row>
    <row r="42" spans="1:7" ht="15.75">
      <c r="A42" s="23">
        <v>2261</v>
      </c>
      <c r="B42" s="32" t="s">
        <v>14</v>
      </c>
      <c r="C42" s="25">
        <v>1</v>
      </c>
      <c r="D42" s="25">
        <f t="shared" si="4"/>
        <v>0.25</v>
      </c>
      <c r="E42" s="25">
        <f t="shared" si="5"/>
        <v>0.36</v>
      </c>
      <c r="F42" s="25">
        <f t="shared" si="6"/>
        <v>0.36</v>
      </c>
      <c r="G42" s="25">
        <f t="shared" si="7"/>
        <v>0.072</v>
      </c>
    </row>
    <row r="43" spans="1:7" ht="15.75">
      <c r="A43" s="23">
        <v>2262</v>
      </c>
      <c r="B43" s="32" t="s">
        <v>15</v>
      </c>
      <c r="C43" s="25">
        <v>3</v>
      </c>
      <c r="D43" s="25">
        <f t="shared" si="4"/>
        <v>0.75</v>
      </c>
      <c r="E43" s="25">
        <f t="shared" si="5"/>
        <v>1.07</v>
      </c>
      <c r="F43" s="25">
        <f t="shared" si="6"/>
        <v>1.07</v>
      </c>
      <c r="G43" s="25">
        <f t="shared" si="7"/>
        <v>0.21400000000000002</v>
      </c>
    </row>
    <row r="44" spans="1:7" ht="15.75">
      <c r="A44" s="23">
        <v>2263</v>
      </c>
      <c r="B44" s="32" t="s">
        <v>16</v>
      </c>
      <c r="C44" s="25">
        <v>12</v>
      </c>
      <c r="D44" s="25">
        <f t="shared" si="4"/>
        <v>3</v>
      </c>
      <c r="E44" s="25">
        <f t="shared" si="5"/>
        <v>4.27</v>
      </c>
      <c r="F44" s="25">
        <f t="shared" si="6"/>
        <v>4.27</v>
      </c>
      <c r="G44" s="25">
        <f t="shared" si="7"/>
        <v>0.8539999999999999</v>
      </c>
    </row>
    <row r="45" spans="1:7" ht="15.75" hidden="1">
      <c r="A45" s="23">
        <v>2264</v>
      </c>
      <c r="B45" s="32" t="s">
        <v>17</v>
      </c>
      <c r="C45" s="25">
        <v>0</v>
      </c>
      <c r="D45" s="25">
        <f t="shared" si="4"/>
        <v>0</v>
      </c>
      <c r="E45" s="25">
        <f t="shared" si="5"/>
        <v>0</v>
      </c>
      <c r="F45" s="25">
        <f t="shared" si="6"/>
        <v>0</v>
      </c>
      <c r="G45" s="25">
        <f t="shared" si="7"/>
        <v>0</v>
      </c>
    </row>
    <row r="46" spans="1:7" ht="15.75">
      <c r="A46" s="23">
        <v>2279</v>
      </c>
      <c r="B46" s="32" t="s">
        <v>18</v>
      </c>
      <c r="C46" s="25">
        <v>14</v>
      </c>
      <c r="D46" s="25">
        <f t="shared" si="4"/>
        <v>3.5000000000000004</v>
      </c>
      <c r="E46" s="25">
        <f t="shared" si="5"/>
        <v>4.98</v>
      </c>
      <c r="F46" s="25">
        <f t="shared" si="6"/>
        <v>4.98</v>
      </c>
      <c r="G46" s="25">
        <f t="shared" si="7"/>
        <v>0.9960000000000001</v>
      </c>
    </row>
    <row r="47" spans="1:7" ht="15.75">
      <c r="A47" s="23">
        <v>2311</v>
      </c>
      <c r="B47" s="32" t="s">
        <v>19</v>
      </c>
      <c r="C47" s="25">
        <v>2</v>
      </c>
      <c r="D47" s="25">
        <f t="shared" si="4"/>
        <v>0.5</v>
      </c>
      <c r="E47" s="25">
        <f t="shared" si="5"/>
        <v>0.71</v>
      </c>
      <c r="F47" s="25">
        <f t="shared" si="6"/>
        <v>0.71</v>
      </c>
      <c r="G47" s="25">
        <f t="shared" si="7"/>
        <v>0.142</v>
      </c>
    </row>
    <row r="48" spans="1:7" ht="15.75">
      <c r="A48" s="23">
        <v>2312</v>
      </c>
      <c r="B48" s="32" t="s">
        <v>20</v>
      </c>
      <c r="C48" s="25">
        <v>2</v>
      </c>
      <c r="D48" s="25">
        <f t="shared" si="4"/>
        <v>0.5</v>
      </c>
      <c r="E48" s="25">
        <f t="shared" si="5"/>
        <v>0.71</v>
      </c>
      <c r="F48" s="25">
        <f t="shared" si="6"/>
        <v>0.71</v>
      </c>
      <c r="G48" s="25">
        <f t="shared" si="7"/>
        <v>0.142</v>
      </c>
    </row>
    <row r="49" spans="1:7" ht="15.75">
      <c r="A49" s="22">
        <v>2321</v>
      </c>
      <c r="B49" s="26" t="s">
        <v>21</v>
      </c>
      <c r="C49" s="80">
        <v>5</v>
      </c>
      <c r="D49" s="80">
        <f t="shared" si="4"/>
        <v>1.25</v>
      </c>
      <c r="E49" s="25">
        <f t="shared" si="5"/>
        <v>1.78</v>
      </c>
      <c r="F49" s="25">
        <f t="shared" si="6"/>
        <v>1.78</v>
      </c>
      <c r="G49" s="25">
        <f t="shared" si="7"/>
        <v>0.356</v>
      </c>
    </row>
    <row r="50" spans="1:7" ht="15.75">
      <c r="A50" s="22">
        <v>2322</v>
      </c>
      <c r="B50" s="26" t="s">
        <v>22</v>
      </c>
      <c r="C50" s="80">
        <v>4</v>
      </c>
      <c r="D50" s="80">
        <f t="shared" si="4"/>
        <v>1</v>
      </c>
      <c r="E50" s="25">
        <f t="shared" si="5"/>
        <v>1.42</v>
      </c>
      <c r="F50" s="25">
        <f t="shared" si="6"/>
        <v>1.42</v>
      </c>
      <c r="G50" s="25">
        <f t="shared" si="7"/>
        <v>0.284</v>
      </c>
    </row>
    <row r="51" spans="1:7" ht="15.75">
      <c r="A51" s="22">
        <v>2341</v>
      </c>
      <c r="B51" s="26" t="s">
        <v>23</v>
      </c>
      <c r="C51" s="80">
        <v>2</v>
      </c>
      <c r="D51" s="80">
        <f t="shared" si="4"/>
        <v>0.5</v>
      </c>
      <c r="E51" s="25">
        <f t="shared" si="5"/>
        <v>0.71</v>
      </c>
      <c r="F51" s="25">
        <f t="shared" si="6"/>
        <v>0.71</v>
      </c>
      <c r="G51" s="25">
        <f t="shared" si="7"/>
        <v>0.142</v>
      </c>
    </row>
    <row r="52" spans="1:7" ht="15.75" hidden="1">
      <c r="A52" s="22">
        <v>2344</v>
      </c>
      <c r="B52" s="26" t="s">
        <v>24</v>
      </c>
      <c r="C52" s="80">
        <v>0</v>
      </c>
      <c r="D52" s="80">
        <f t="shared" si="4"/>
        <v>0</v>
      </c>
      <c r="E52" s="25">
        <f t="shared" si="5"/>
        <v>0</v>
      </c>
      <c r="F52" s="25">
        <f t="shared" si="6"/>
        <v>0</v>
      </c>
      <c r="G52" s="25">
        <f t="shared" si="7"/>
        <v>0</v>
      </c>
    </row>
    <row r="53" spans="1:7" ht="15.75">
      <c r="A53" s="22">
        <v>2350</v>
      </c>
      <c r="B53" s="26" t="s">
        <v>25</v>
      </c>
      <c r="C53" s="80">
        <v>11</v>
      </c>
      <c r="D53" s="80">
        <f t="shared" si="4"/>
        <v>2.75</v>
      </c>
      <c r="E53" s="25">
        <f t="shared" si="5"/>
        <v>3.91</v>
      </c>
      <c r="F53" s="25">
        <f t="shared" si="6"/>
        <v>3.91</v>
      </c>
      <c r="G53" s="25">
        <f t="shared" si="7"/>
        <v>0.782</v>
      </c>
    </row>
    <row r="54" spans="1:7" ht="15.75">
      <c r="A54" s="22">
        <v>2361</v>
      </c>
      <c r="B54" s="26" t="s">
        <v>26</v>
      </c>
      <c r="C54" s="80">
        <v>7</v>
      </c>
      <c r="D54" s="80">
        <f t="shared" si="4"/>
        <v>1.7500000000000002</v>
      </c>
      <c r="E54" s="25">
        <f t="shared" si="5"/>
        <v>2.49</v>
      </c>
      <c r="F54" s="25">
        <v>0.49</v>
      </c>
      <c r="G54" s="25">
        <f t="shared" si="7"/>
        <v>0.098</v>
      </c>
    </row>
    <row r="55" spans="1:7" ht="15.75" hidden="1">
      <c r="A55" s="22">
        <v>2362</v>
      </c>
      <c r="B55" s="26" t="s">
        <v>27</v>
      </c>
      <c r="C55" s="80"/>
      <c r="D55" s="80">
        <f t="shared" si="4"/>
        <v>0</v>
      </c>
      <c r="E55" s="25">
        <f t="shared" si="5"/>
        <v>0</v>
      </c>
      <c r="F55" s="25">
        <f t="shared" si="6"/>
        <v>0</v>
      </c>
      <c r="G55" s="25">
        <f t="shared" si="7"/>
        <v>0</v>
      </c>
    </row>
    <row r="56" spans="1:7" ht="15.75" hidden="1">
      <c r="A56" s="22">
        <v>2363</v>
      </c>
      <c r="B56" s="26" t="s">
        <v>28</v>
      </c>
      <c r="C56" s="80"/>
      <c r="D56" s="80">
        <f t="shared" si="4"/>
        <v>0</v>
      </c>
      <c r="E56" s="25">
        <f t="shared" si="5"/>
        <v>0</v>
      </c>
      <c r="F56" s="25">
        <f t="shared" si="6"/>
        <v>0</v>
      </c>
      <c r="G56" s="25">
        <f t="shared" si="7"/>
        <v>0</v>
      </c>
    </row>
    <row r="57" spans="1:7" ht="15.75" hidden="1">
      <c r="A57" s="22">
        <v>2370</v>
      </c>
      <c r="B57" s="26" t="s">
        <v>29</v>
      </c>
      <c r="C57" s="80"/>
      <c r="D57" s="80">
        <f t="shared" si="4"/>
        <v>0</v>
      </c>
      <c r="E57" s="25">
        <f t="shared" si="5"/>
        <v>0</v>
      </c>
      <c r="F57" s="25">
        <f t="shared" si="6"/>
        <v>0</v>
      </c>
      <c r="G57" s="25">
        <f t="shared" si="7"/>
        <v>0</v>
      </c>
    </row>
    <row r="58" spans="1:7" ht="15.75" hidden="1">
      <c r="A58" s="22">
        <v>2400</v>
      </c>
      <c r="B58" s="26" t="s">
        <v>43</v>
      </c>
      <c r="C58" s="80">
        <v>0</v>
      </c>
      <c r="D58" s="80">
        <f t="shared" si="4"/>
        <v>0</v>
      </c>
      <c r="E58" s="25">
        <f t="shared" si="5"/>
        <v>0</v>
      </c>
      <c r="F58" s="25">
        <f t="shared" si="6"/>
        <v>0</v>
      </c>
      <c r="G58" s="25">
        <f t="shared" si="7"/>
        <v>0</v>
      </c>
    </row>
    <row r="59" spans="1:7" ht="15.75" hidden="1">
      <c r="A59" s="22">
        <v>2512</v>
      </c>
      <c r="B59" s="26" t="s">
        <v>30</v>
      </c>
      <c r="C59" s="80">
        <v>0</v>
      </c>
      <c r="D59" s="80">
        <f t="shared" si="4"/>
        <v>0</v>
      </c>
      <c r="E59" s="25">
        <f t="shared" si="5"/>
        <v>0</v>
      </c>
      <c r="F59" s="25">
        <f t="shared" si="6"/>
        <v>0</v>
      </c>
      <c r="G59" s="25">
        <f t="shared" si="7"/>
        <v>0</v>
      </c>
    </row>
    <row r="60" spans="1:7" ht="15.75">
      <c r="A60" s="23">
        <v>2513</v>
      </c>
      <c r="B60" s="32" t="s">
        <v>31</v>
      </c>
      <c r="C60" s="25">
        <v>2</v>
      </c>
      <c r="D60" s="25">
        <f t="shared" si="4"/>
        <v>0.5</v>
      </c>
      <c r="E60" s="25">
        <f t="shared" si="5"/>
        <v>0.71</v>
      </c>
      <c r="F60" s="25">
        <f t="shared" si="6"/>
        <v>0.71</v>
      </c>
      <c r="G60" s="25">
        <f t="shared" si="7"/>
        <v>0.142</v>
      </c>
    </row>
    <row r="61" spans="1:7" ht="15.75">
      <c r="A61" s="23">
        <v>2515</v>
      </c>
      <c r="B61" s="32" t="s">
        <v>78</v>
      </c>
      <c r="C61" s="25">
        <v>1</v>
      </c>
      <c r="D61" s="25">
        <f t="shared" si="4"/>
        <v>0.25</v>
      </c>
      <c r="E61" s="25">
        <f t="shared" si="5"/>
        <v>0.36</v>
      </c>
      <c r="F61" s="25">
        <f t="shared" si="6"/>
        <v>0.36</v>
      </c>
      <c r="G61" s="25">
        <f t="shared" si="7"/>
        <v>0.072</v>
      </c>
    </row>
    <row r="62" spans="1:7" ht="15.75" hidden="1">
      <c r="A62" s="23">
        <v>2519</v>
      </c>
      <c r="B62" s="32" t="s">
        <v>34</v>
      </c>
      <c r="C62" s="25">
        <v>0</v>
      </c>
      <c r="D62" s="25">
        <f t="shared" si="4"/>
        <v>0</v>
      </c>
      <c r="E62" s="25">
        <f t="shared" si="5"/>
        <v>0</v>
      </c>
      <c r="F62" s="25">
        <f t="shared" si="6"/>
        <v>0</v>
      </c>
      <c r="G62" s="25">
        <f t="shared" si="7"/>
        <v>0</v>
      </c>
    </row>
    <row r="63" spans="1:7" ht="15.75" hidden="1">
      <c r="A63" s="23">
        <v>6240</v>
      </c>
      <c r="B63" s="32"/>
      <c r="C63" s="25"/>
      <c r="D63" s="25">
        <f t="shared" si="4"/>
        <v>0</v>
      </c>
      <c r="E63" s="25">
        <f t="shared" si="5"/>
        <v>0</v>
      </c>
      <c r="F63" s="25">
        <f t="shared" si="6"/>
        <v>0</v>
      </c>
      <c r="G63" s="25">
        <f t="shared" si="7"/>
        <v>0</v>
      </c>
    </row>
    <row r="64" spans="1:7" ht="15.75" hidden="1">
      <c r="A64" s="23">
        <v>6290</v>
      </c>
      <c r="B64" s="32"/>
      <c r="C64" s="25"/>
      <c r="D64" s="25">
        <f t="shared" si="4"/>
        <v>0</v>
      </c>
      <c r="E64" s="25">
        <f t="shared" si="5"/>
        <v>0</v>
      </c>
      <c r="F64" s="25">
        <f t="shared" si="6"/>
        <v>0</v>
      </c>
      <c r="G64" s="25">
        <f t="shared" si="7"/>
        <v>0</v>
      </c>
    </row>
    <row r="65" spans="1:7" ht="15.75">
      <c r="A65" s="23">
        <v>5121</v>
      </c>
      <c r="B65" s="32" t="s">
        <v>32</v>
      </c>
      <c r="C65" s="25">
        <v>2</v>
      </c>
      <c r="D65" s="25">
        <f t="shared" si="4"/>
        <v>0.5</v>
      </c>
      <c r="E65" s="25">
        <f t="shared" si="5"/>
        <v>0.71</v>
      </c>
      <c r="F65" s="25">
        <f t="shared" si="6"/>
        <v>0.71</v>
      </c>
      <c r="G65" s="25">
        <f t="shared" si="7"/>
        <v>0.142</v>
      </c>
    </row>
    <row r="66" spans="1:7" ht="15.75">
      <c r="A66" s="23">
        <v>5232</v>
      </c>
      <c r="B66" s="32" t="s">
        <v>33</v>
      </c>
      <c r="C66" s="25">
        <v>0</v>
      </c>
      <c r="D66" s="25">
        <f>C66/830*50</f>
        <v>0</v>
      </c>
      <c r="E66" s="25">
        <f t="shared" si="5"/>
        <v>0</v>
      </c>
      <c r="F66" s="25">
        <v>11.99</v>
      </c>
      <c r="G66" s="25">
        <f t="shared" si="7"/>
        <v>2.398</v>
      </c>
    </row>
    <row r="67" spans="1:7" ht="15.75" hidden="1">
      <c r="A67" s="23">
        <v>5238</v>
      </c>
      <c r="B67" s="32" t="s">
        <v>35</v>
      </c>
      <c r="C67" s="25">
        <v>0</v>
      </c>
      <c r="D67" s="25">
        <f>C67/830*50</f>
        <v>0</v>
      </c>
      <c r="E67" s="25">
        <f t="shared" si="5"/>
        <v>0</v>
      </c>
      <c r="F67" s="25">
        <f t="shared" si="6"/>
        <v>0</v>
      </c>
      <c r="G67" s="25">
        <f t="shared" si="7"/>
        <v>0</v>
      </c>
    </row>
    <row r="68" spans="1:7" ht="15.75" hidden="1">
      <c r="A68" s="23">
        <v>5240</v>
      </c>
      <c r="B68" s="32" t="s">
        <v>36</v>
      </c>
      <c r="C68" s="25">
        <v>0</v>
      </c>
      <c r="D68" s="25">
        <f>C68/830*50</f>
        <v>0</v>
      </c>
      <c r="E68" s="25">
        <f t="shared" si="5"/>
        <v>0</v>
      </c>
      <c r="F68" s="25">
        <f t="shared" si="6"/>
        <v>0</v>
      </c>
      <c r="G68" s="25">
        <f t="shared" si="7"/>
        <v>0</v>
      </c>
    </row>
    <row r="69" spans="1:7" ht="15.75" hidden="1">
      <c r="A69" s="23">
        <v>5250</v>
      </c>
      <c r="B69" s="32" t="s">
        <v>37</v>
      </c>
      <c r="C69" s="25"/>
      <c r="D69" s="25">
        <f>C69/830*50</f>
        <v>0</v>
      </c>
      <c r="E69" s="25">
        <f t="shared" si="5"/>
        <v>0</v>
      </c>
      <c r="F69" s="25">
        <f t="shared" si="6"/>
        <v>0</v>
      </c>
      <c r="G69" s="25">
        <f t="shared" si="7"/>
        <v>0</v>
      </c>
    </row>
    <row r="70" spans="1:7" ht="15.75">
      <c r="A70" s="29"/>
      <c r="B70" s="48" t="s">
        <v>79</v>
      </c>
      <c r="C70" s="28">
        <f>SUM(C26:C69)</f>
        <v>549.51</v>
      </c>
      <c r="D70" s="28">
        <f>SUM(D26:D69)</f>
        <v>137.3775</v>
      </c>
      <c r="E70" s="28">
        <f>SUM(E26:E69)</f>
        <v>195.49000000000007</v>
      </c>
      <c r="F70" s="28">
        <f>SUM(F26:F69)</f>
        <v>195.48000000000008</v>
      </c>
      <c r="G70" s="28">
        <f>SUM(G26:G69)</f>
        <v>39.996000000000016</v>
      </c>
    </row>
    <row r="71" spans="1:7" ht="15.75">
      <c r="A71" s="29"/>
      <c r="B71" s="48" t="s">
        <v>80</v>
      </c>
      <c r="C71" s="28">
        <f>C70+C24</f>
        <v>2025.9999999999998</v>
      </c>
      <c r="D71" s="28">
        <f>D70+D24</f>
        <v>506.49999999999994</v>
      </c>
      <c r="E71" s="28">
        <f>E70+E24</f>
        <v>720.7</v>
      </c>
      <c r="F71" s="28">
        <f>F70+F24</f>
        <v>862.5</v>
      </c>
      <c r="G71" s="28">
        <f>G70+G24</f>
        <v>186.9</v>
      </c>
    </row>
    <row r="72" spans="1:7" ht="15.75">
      <c r="A72" s="9"/>
      <c r="B72" s="14"/>
      <c r="C72" s="35"/>
      <c r="D72" s="35"/>
      <c r="E72" s="35"/>
      <c r="F72" s="35"/>
      <c r="G72" s="35"/>
    </row>
    <row r="73" spans="1:7" ht="15.75" customHeight="1">
      <c r="A73" s="212" t="s">
        <v>45</v>
      </c>
      <c r="B73" s="213"/>
      <c r="C73" s="36">
        <v>200</v>
      </c>
      <c r="D73" s="17">
        <v>50</v>
      </c>
      <c r="E73" s="17">
        <v>50</v>
      </c>
      <c r="F73" s="17">
        <v>50</v>
      </c>
      <c r="G73" s="160">
        <v>10</v>
      </c>
    </row>
    <row r="74" spans="1:7" ht="15.75" customHeight="1">
      <c r="A74" s="212" t="s">
        <v>91</v>
      </c>
      <c r="B74" s="213"/>
      <c r="C74" s="154">
        <f>C71/C73</f>
        <v>10.129999999999999</v>
      </c>
      <c r="D74" s="82">
        <f>D71/D73</f>
        <v>10.129999999999999</v>
      </c>
      <c r="E74" s="82">
        <f>E71/E73</f>
        <v>14.414000000000001</v>
      </c>
      <c r="F74" s="82">
        <f>F71/F73</f>
        <v>17.25</v>
      </c>
      <c r="G74" s="161">
        <f>G71/G73</f>
        <v>18.69</v>
      </c>
    </row>
    <row r="75" spans="1:7" ht="15.75">
      <c r="A75" s="14"/>
      <c r="B75" s="11"/>
      <c r="C75" s="11"/>
      <c r="D75" s="11"/>
      <c r="E75" s="11"/>
      <c r="F75" s="11"/>
      <c r="G75" s="11"/>
    </row>
    <row r="76" spans="1:7" ht="15.75" customHeight="1">
      <c r="A76" s="212" t="s">
        <v>46</v>
      </c>
      <c r="B76" s="213"/>
      <c r="C76" s="37"/>
      <c r="D76" s="37"/>
      <c r="E76" s="37"/>
      <c r="F76" s="37"/>
      <c r="G76" s="37"/>
    </row>
    <row r="77" spans="1:7" ht="15.75" customHeight="1">
      <c r="A77" s="212" t="s">
        <v>56</v>
      </c>
      <c r="B77" s="213"/>
      <c r="C77" s="37"/>
      <c r="D77" s="37"/>
      <c r="E77" s="37"/>
      <c r="F77" s="37"/>
      <c r="G77" s="37"/>
    </row>
    <row r="78" spans="1:7" ht="15.75">
      <c r="A78" s="38"/>
      <c r="B78" s="38"/>
      <c r="C78" s="38"/>
      <c r="D78" s="38"/>
      <c r="E78" s="38"/>
      <c r="F78" s="38"/>
      <c r="G78" s="38"/>
    </row>
    <row r="79" spans="1:7" ht="15.75">
      <c r="A79" s="38" t="s">
        <v>47</v>
      </c>
      <c r="B79" s="38"/>
      <c r="C79" s="38"/>
      <c r="D79" s="38"/>
      <c r="E79" s="38"/>
      <c r="F79" s="38"/>
      <c r="G79" s="38"/>
    </row>
    <row r="80" spans="1:7" ht="15.75">
      <c r="A80" s="38"/>
      <c r="B80" s="38"/>
      <c r="C80" s="38"/>
      <c r="D80" s="38"/>
      <c r="E80" s="38"/>
      <c r="F80" s="38"/>
      <c r="G80" s="38"/>
    </row>
    <row r="81" spans="1:7" ht="15.75">
      <c r="A81" s="38"/>
      <c r="B81" s="39"/>
      <c r="C81" s="38"/>
      <c r="D81" s="38"/>
      <c r="E81" s="38"/>
      <c r="F81" s="38"/>
      <c r="G81" s="38"/>
    </row>
    <row r="82" spans="1:7" ht="15.75">
      <c r="A82" s="38"/>
      <c r="B82" s="40"/>
      <c r="C82" s="38"/>
      <c r="D82" s="38"/>
      <c r="E82" s="38"/>
      <c r="F82" s="38"/>
      <c r="G82" s="38"/>
    </row>
    <row r="83" spans="2:3" ht="15.75">
      <c r="B83" s="206"/>
      <c r="C83" s="206"/>
    </row>
  </sheetData>
  <sheetProtection/>
  <mergeCells count="12">
    <mergeCell ref="A3:G3"/>
    <mergeCell ref="B4:C4"/>
    <mergeCell ref="A5:C5"/>
    <mergeCell ref="A6:C6"/>
    <mergeCell ref="B7:C7"/>
    <mergeCell ref="B83:C83"/>
    <mergeCell ref="B8:C8"/>
    <mergeCell ref="B9:G9"/>
    <mergeCell ref="A73:B73"/>
    <mergeCell ref="A74:B74"/>
    <mergeCell ref="A76:B76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Layout" workbookViewId="0" topLeftCell="A76">
      <selection activeCell="A81" sqref="A81"/>
    </sheetView>
  </sheetViews>
  <sheetFormatPr defaultColWidth="9.140625" defaultRowHeight="12.75"/>
  <cols>
    <col min="1" max="1" width="13.421875" style="15" customWidth="1"/>
    <col min="2" max="2" width="94.7109375" style="15" customWidth="1"/>
    <col min="3" max="3" width="20.8515625" style="15" hidden="1" customWidth="1"/>
    <col min="4" max="6" width="18.28125" style="15" hidden="1" customWidth="1"/>
    <col min="7" max="7" width="30.421875" style="15" customWidth="1"/>
    <col min="8" max="9" width="9.140625" style="7" customWidth="1"/>
  </cols>
  <sheetData>
    <row r="1" spans="2:7" ht="15.75">
      <c r="B1" s="12"/>
      <c r="C1" s="76"/>
      <c r="D1" s="76"/>
      <c r="E1" s="76"/>
      <c r="F1" s="76"/>
      <c r="G1" s="9"/>
    </row>
    <row r="2" spans="2:4" ht="15.75">
      <c r="B2" s="206"/>
      <c r="C2" s="206"/>
      <c r="D2" s="207"/>
    </row>
    <row r="3" spans="1:7" ht="15.75">
      <c r="A3" s="208" t="s">
        <v>6</v>
      </c>
      <c r="B3" s="208"/>
      <c r="C3" s="208"/>
      <c r="D3" s="208"/>
      <c r="E3" s="208"/>
      <c r="F3" s="208"/>
      <c r="G3" s="208"/>
    </row>
    <row r="4" spans="2:3" ht="15.75">
      <c r="B4" s="209"/>
      <c r="C4" s="209"/>
    </row>
    <row r="5" spans="1:3" ht="15.75">
      <c r="A5" s="195" t="s">
        <v>1</v>
      </c>
      <c r="B5" s="195"/>
      <c r="C5" s="195"/>
    </row>
    <row r="6" spans="1:7" ht="15.75">
      <c r="A6" s="195" t="s">
        <v>0</v>
      </c>
      <c r="B6" s="195"/>
      <c r="C6" s="195"/>
      <c r="G6" s="14"/>
    </row>
    <row r="7" spans="1:7" ht="15.75">
      <c r="A7" s="8"/>
      <c r="B7" s="195" t="s">
        <v>44</v>
      </c>
      <c r="C7" s="195"/>
      <c r="G7" s="14"/>
    </row>
    <row r="8" spans="1:3" ht="15.75">
      <c r="A8" s="8"/>
      <c r="B8" s="195" t="s">
        <v>100</v>
      </c>
      <c r="C8" s="195"/>
    </row>
    <row r="9" spans="1:3" ht="15.75">
      <c r="A9" s="8"/>
      <c r="B9" s="195" t="s">
        <v>120</v>
      </c>
      <c r="C9" s="195"/>
    </row>
    <row r="10" spans="1:3" ht="15.75">
      <c r="A10" s="8" t="s">
        <v>2</v>
      </c>
      <c r="B10" s="8" t="s">
        <v>205</v>
      </c>
      <c r="C10" s="8"/>
    </row>
    <row r="11" spans="2:3" ht="15.75" hidden="1">
      <c r="B11" s="16"/>
      <c r="C11" s="77"/>
    </row>
    <row r="12" spans="1:7" ht="59.25" customHeight="1">
      <c r="A12" s="59" t="s">
        <v>3</v>
      </c>
      <c r="B12" s="59" t="s">
        <v>4</v>
      </c>
      <c r="C12" s="17"/>
      <c r="D12" s="17"/>
      <c r="E12" s="17"/>
      <c r="F12" s="17"/>
      <c r="G12" s="59" t="s">
        <v>5</v>
      </c>
    </row>
    <row r="13" spans="1:7" ht="15.75">
      <c r="A13" s="18">
        <v>1</v>
      </c>
      <c r="B13" s="19">
        <v>2</v>
      </c>
      <c r="C13" s="18">
        <v>3</v>
      </c>
      <c r="D13" s="19">
        <v>3</v>
      </c>
      <c r="E13" s="19"/>
      <c r="F13" s="19"/>
      <c r="G13" s="19">
        <v>3</v>
      </c>
    </row>
    <row r="14" spans="1:7" ht="15.75">
      <c r="A14" s="20"/>
      <c r="B14" s="45" t="s">
        <v>71</v>
      </c>
      <c r="C14" s="97"/>
      <c r="D14" s="23"/>
      <c r="E14" s="23"/>
      <c r="F14" s="23"/>
      <c r="G14" s="23"/>
    </row>
    <row r="15" spans="1:7" ht="15.75">
      <c r="A15" s="23">
        <v>1100</v>
      </c>
      <c r="B15" s="23" t="s">
        <v>72</v>
      </c>
      <c r="C15" s="25">
        <v>185.75</v>
      </c>
      <c r="D15" s="25">
        <f>C15/100*20</f>
        <v>37.15</v>
      </c>
      <c r="E15" s="25">
        <f aca="true" t="shared" si="0" ref="E15:E23">ROUND(D15/0.702804,2)</f>
        <v>52.86</v>
      </c>
      <c r="F15" s="25">
        <v>67.13</v>
      </c>
      <c r="G15" s="25">
        <f>F15/20*5+5*0.48</f>
        <v>19.182499999999997</v>
      </c>
    </row>
    <row r="16" spans="1:7" ht="15.75" customHeight="1">
      <c r="A16" s="23">
        <v>1200</v>
      </c>
      <c r="B16" s="32" t="s">
        <v>73</v>
      </c>
      <c r="C16" s="47">
        <v>44.75</v>
      </c>
      <c r="D16" s="25">
        <f>C16/100*20</f>
        <v>8.95</v>
      </c>
      <c r="E16" s="25">
        <f t="shared" si="0"/>
        <v>12.73</v>
      </c>
      <c r="F16" s="25">
        <v>16.17</v>
      </c>
      <c r="G16" s="25">
        <f>F16/20*5+0.12*5</f>
        <v>4.6425</v>
      </c>
    </row>
    <row r="17" spans="1:7" ht="15.75" hidden="1">
      <c r="A17" s="31">
        <v>2341</v>
      </c>
      <c r="B17" s="32" t="s">
        <v>23</v>
      </c>
      <c r="C17" s="25">
        <v>0</v>
      </c>
      <c r="D17" s="25">
        <f aca="true" t="shared" si="1" ref="D17:D23">C17/200*50</f>
        <v>0</v>
      </c>
      <c r="E17" s="25">
        <f t="shared" si="0"/>
        <v>0</v>
      </c>
      <c r="F17" s="25">
        <f>E17</f>
        <v>0</v>
      </c>
      <c r="G17" s="25">
        <f aca="true" t="shared" si="2" ref="G17:G23">F17/20*5</f>
        <v>0</v>
      </c>
    </row>
    <row r="18" spans="1:7" ht="15.75" hidden="1">
      <c r="A18" s="23">
        <v>2249</v>
      </c>
      <c r="B18" s="32" t="s">
        <v>13</v>
      </c>
      <c r="C18" s="105">
        <v>0</v>
      </c>
      <c r="D18" s="25">
        <f t="shared" si="1"/>
        <v>0</v>
      </c>
      <c r="E18" s="25">
        <f t="shared" si="0"/>
        <v>0</v>
      </c>
      <c r="F18" s="25">
        <f aca="true" t="shared" si="3" ref="F18:F23">E18</f>
        <v>0</v>
      </c>
      <c r="G18" s="25">
        <f t="shared" si="2"/>
        <v>0</v>
      </c>
    </row>
    <row r="19" spans="1:7" ht="15.75" hidden="1">
      <c r="A19" s="23">
        <v>2341</v>
      </c>
      <c r="B19" s="32" t="s">
        <v>23</v>
      </c>
      <c r="C19" s="105"/>
      <c r="D19" s="25">
        <f t="shared" si="1"/>
        <v>0</v>
      </c>
      <c r="E19" s="25">
        <f t="shared" si="0"/>
        <v>0</v>
      </c>
      <c r="F19" s="25">
        <f t="shared" si="3"/>
        <v>0</v>
      </c>
      <c r="G19" s="25">
        <f t="shared" si="2"/>
        <v>0</v>
      </c>
    </row>
    <row r="20" spans="1:7" ht="15.75" hidden="1">
      <c r="A20" s="23">
        <v>2350</v>
      </c>
      <c r="B20" s="32" t="s">
        <v>25</v>
      </c>
      <c r="C20" s="105"/>
      <c r="D20" s="25">
        <f t="shared" si="1"/>
        <v>0</v>
      </c>
      <c r="E20" s="25">
        <f t="shared" si="0"/>
        <v>0</v>
      </c>
      <c r="F20" s="25">
        <f t="shared" si="3"/>
        <v>0</v>
      </c>
      <c r="G20" s="25">
        <f t="shared" si="2"/>
        <v>0</v>
      </c>
    </row>
    <row r="21" spans="1:7" ht="15.75" hidden="1">
      <c r="A21" s="23"/>
      <c r="B21" s="32"/>
      <c r="C21" s="105"/>
      <c r="D21" s="25">
        <f t="shared" si="1"/>
        <v>0</v>
      </c>
      <c r="E21" s="25">
        <f t="shared" si="0"/>
        <v>0</v>
      </c>
      <c r="F21" s="25">
        <f t="shared" si="3"/>
        <v>0</v>
      </c>
      <c r="G21" s="25">
        <f t="shared" si="2"/>
        <v>0</v>
      </c>
    </row>
    <row r="22" spans="1:7" ht="15.75" hidden="1">
      <c r="A22" s="23"/>
      <c r="B22" s="32"/>
      <c r="C22" s="105"/>
      <c r="D22" s="25">
        <f t="shared" si="1"/>
        <v>0</v>
      </c>
      <c r="E22" s="25">
        <f t="shared" si="0"/>
        <v>0</v>
      </c>
      <c r="F22" s="25">
        <f t="shared" si="3"/>
        <v>0</v>
      </c>
      <c r="G22" s="25">
        <f t="shared" si="2"/>
        <v>0</v>
      </c>
    </row>
    <row r="23" spans="1:7" ht="15.75" hidden="1">
      <c r="A23" s="23"/>
      <c r="B23" s="23"/>
      <c r="C23" s="25"/>
      <c r="D23" s="25">
        <f t="shared" si="1"/>
        <v>0</v>
      </c>
      <c r="E23" s="25">
        <f t="shared" si="0"/>
        <v>0</v>
      </c>
      <c r="F23" s="25">
        <f t="shared" si="3"/>
        <v>0</v>
      </c>
      <c r="G23" s="25">
        <f t="shared" si="2"/>
        <v>0</v>
      </c>
    </row>
    <row r="24" spans="1:7" ht="15.75">
      <c r="A24" s="23"/>
      <c r="B24" s="46" t="s">
        <v>74</v>
      </c>
      <c r="C24" s="28">
        <f>SUM(C15:C23)</f>
        <v>230.5</v>
      </c>
      <c r="D24" s="28">
        <f>SUM(D15:D23)</f>
        <v>46.099999999999994</v>
      </c>
      <c r="E24" s="28">
        <f>SUM(E15:E23)</f>
        <v>65.59</v>
      </c>
      <c r="F24" s="28">
        <f>SUM(F15:F23)</f>
        <v>83.3</v>
      </c>
      <c r="G24" s="28">
        <f>SUM(G15:G23)</f>
        <v>23.824999999999996</v>
      </c>
    </row>
    <row r="25" spans="1:7" ht="15.75">
      <c r="A25" s="29"/>
      <c r="B25" s="23" t="s">
        <v>75</v>
      </c>
      <c r="C25" s="25"/>
      <c r="D25" s="25"/>
      <c r="E25" s="25"/>
      <c r="F25" s="25"/>
      <c r="G25" s="25"/>
    </row>
    <row r="26" spans="1:7" ht="15.75">
      <c r="A26" s="23">
        <v>1100</v>
      </c>
      <c r="B26" s="23" t="s">
        <v>72</v>
      </c>
      <c r="C26" s="25">
        <v>159.56</v>
      </c>
      <c r="D26" s="25">
        <f aca="true" t="shared" si="4" ref="D26:D62">C26/100*20</f>
        <v>31.912000000000003</v>
      </c>
      <c r="E26" s="25">
        <f aca="true" t="shared" si="5" ref="E26:E69">ROUND(D26/0.702804,2)</f>
        <v>45.41</v>
      </c>
      <c r="F26" s="25">
        <f aca="true" t="shared" si="6" ref="F26:F69">E26</f>
        <v>45.41</v>
      </c>
      <c r="G26" s="25">
        <f aca="true" t="shared" si="7" ref="G26:G69">F26/20*5</f>
        <v>11.3525</v>
      </c>
    </row>
    <row r="27" spans="1:7" ht="15.75" customHeight="1">
      <c r="A27" s="23">
        <v>1200</v>
      </c>
      <c r="B27" s="32" t="s">
        <v>73</v>
      </c>
      <c r="C27" s="47">
        <v>38.44</v>
      </c>
      <c r="D27" s="25">
        <f t="shared" si="4"/>
        <v>7.687999999999999</v>
      </c>
      <c r="E27" s="25">
        <f t="shared" si="5"/>
        <v>10.94</v>
      </c>
      <c r="F27" s="25">
        <f t="shared" si="6"/>
        <v>10.94</v>
      </c>
      <c r="G27" s="25">
        <f t="shared" si="7"/>
        <v>2.7349999999999994</v>
      </c>
    </row>
    <row r="28" spans="1:7" ht="15.75" hidden="1">
      <c r="A28" s="23">
        <v>2100</v>
      </c>
      <c r="B28" s="30" t="s">
        <v>42</v>
      </c>
      <c r="C28" s="25"/>
      <c r="D28" s="25">
        <f t="shared" si="4"/>
        <v>0</v>
      </c>
      <c r="E28" s="25">
        <f t="shared" si="5"/>
        <v>0</v>
      </c>
      <c r="F28" s="25">
        <f t="shared" si="6"/>
        <v>0</v>
      </c>
      <c r="G28" s="25">
        <f t="shared" si="7"/>
        <v>0</v>
      </c>
    </row>
    <row r="29" spans="1:7" ht="15.75">
      <c r="A29" s="31">
        <v>2210</v>
      </c>
      <c r="B29" s="32" t="s">
        <v>38</v>
      </c>
      <c r="C29" s="25">
        <v>1</v>
      </c>
      <c r="D29" s="25">
        <f t="shared" si="4"/>
        <v>0.2</v>
      </c>
      <c r="E29" s="25">
        <f t="shared" si="5"/>
        <v>0.28</v>
      </c>
      <c r="F29" s="25">
        <f t="shared" si="6"/>
        <v>0.28</v>
      </c>
      <c r="G29" s="25">
        <f t="shared" si="7"/>
        <v>0.07</v>
      </c>
    </row>
    <row r="30" spans="1:7" ht="15.75">
      <c r="A30" s="23">
        <v>2222</v>
      </c>
      <c r="B30" s="32" t="s">
        <v>39</v>
      </c>
      <c r="C30" s="25">
        <v>1</v>
      </c>
      <c r="D30" s="25">
        <f t="shared" si="4"/>
        <v>0.2</v>
      </c>
      <c r="E30" s="25">
        <f t="shared" si="5"/>
        <v>0.28</v>
      </c>
      <c r="F30" s="25">
        <f t="shared" si="6"/>
        <v>0.28</v>
      </c>
      <c r="G30" s="25">
        <f t="shared" si="7"/>
        <v>0.07</v>
      </c>
    </row>
    <row r="31" spans="1:7" ht="15.75">
      <c r="A31" s="23">
        <v>2223</v>
      </c>
      <c r="B31" s="32" t="s">
        <v>40</v>
      </c>
      <c r="C31" s="25">
        <v>1</v>
      </c>
      <c r="D31" s="25">
        <f t="shared" si="4"/>
        <v>0.2</v>
      </c>
      <c r="E31" s="25">
        <f t="shared" si="5"/>
        <v>0.28</v>
      </c>
      <c r="F31" s="25">
        <f t="shared" si="6"/>
        <v>0.28</v>
      </c>
      <c r="G31" s="25">
        <f t="shared" si="7"/>
        <v>0.07</v>
      </c>
    </row>
    <row r="32" spans="1:7" ht="15.75" customHeight="1">
      <c r="A32" s="23">
        <v>2230</v>
      </c>
      <c r="B32" s="32" t="s">
        <v>41</v>
      </c>
      <c r="C32" s="25">
        <v>1</v>
      </c>
      <c r="D32" s="25">
        <f t="shared" si="4"/>
        <v>0.2</v>
      </c>
      <c r="E32" s="25">
        <f t="shared" si="5"/>
        <v>0.28</v>
      </c>
      <c r="F32" s="25">
        <f t="shared" si="6"/>
        <v>0.28</v>
      </c>
      <c r="G32" s="25">
        <f t="shared" si="7"/>
        <v>0.07</v>
      </c>
    </row>
    <row r="33" spans="1:7" ht="15.75" hidden="1">
      <c r="A33" s="23">
        <v>2241</v>
      </c>
      <c r="B33" s="32" t="s">
        <v>9</v>
      </c>
      <c r="C33" s="25"/>
      <c r="D33" s="25">
        <f t="shared" si="4"/>
        <v>0</v>
      </c>
      <c r="E33" s="25">
        <f t="shared" si="5"/>
        <v>0</v>
      </c>
      <c r="F33" s="25">
        <f t="shared" si="6"/>
        <v>0</v>
      </c>
      <c r="G33" s="25">
        <f t="shared" si="7"/>
        <v>0</v>
      </c>
    </row>
    <row r="34" spans="1:7" ht="15.75" hidden="1">
      <c r="A34" s="23">
        <v>2242</v>
      </c>
      <c r="B34" s="32" t="s">
        <v>10</v>
      </c>
      <c r="C34" s="25">
        <v>0</v>
      </c>
      <c r="D34" s="25">
        <f t="shared" si="4"/>
        <v>0</v>
      </c>
      <c r="E34" s="25">
        <f t="shared" si="5"/>
        <v>0</v>
      </c>
      <c r="F34" s="25">
        <f t="shared" si="6"/>
        <v>0</v>
      </c>
      <c r="G34" s="25">
        <f t="shared" si="7"/>
        <v>0</v>
      </c>
    </row>
    <row r="35" spans="1:7" ht="15.75">
      <c r="A35" s="23">
        <v>2243</v>
      </c>
      <c r="B35" s="32" t="s">
        <v>11</v>
      </c>
      <c r="C35" s="25">
        <v>4</v>
      </c>
      <c r="D35" s="25">
        <f t="shared" si="4"/>
        <v>0.8</v>
      </c>
      <c r="E35" s="25">
        <f t="shared" si="5"/>
        <v>1.14</v>
      </c>
      <c r="F35" s="25">
        <f t="shared" si="6"/>
        <v>1.14</v>
      </c>
      <c r="G35" s="25">
        <f t="shared" si="7"/>
        <v>0.285</v>
      </c>
    </row>
    <row r="36" spans="1:7" ht="15.75">
      <c r="A36" s="23">
        <v>2244</v>
      </c>
      <c r="B36" s="32" t="s">
        <v>12</v>
      </c>
      <c r="C36" s="25">
        <v>28.5</v>
      </c>
      <c r="D36" s="25">
        <f t="shared" si="4"/>
        <v>5.699999999999999</v>
      </c>
      <c r="E36" s="25">
        <f t="shared" si="5"/>
        <v>8.11</v>
      </c>
      <c r="F36" s="25">
        <f t="shared" si="6"/>
        <v>8.11</v>
      </c>
      <c r="G36" s="25">
        <f>F36/20*5+5*0.09</f>
        <v>2.4775</v>
      </c>
    </row>
    <row r="37" spans="1:7" ht="15.75" hidden="1">
      <c r="A37" s="23">
        <v>2247</v>
      </c>
      <c r="B37" s="45" t="s">
        <v>76</v>
      </c>
      <c r="C37" s="25">
        <v>0</v>
      </c>
      <c r="D37" s="25">
        <f t="shared" si="4"/>
        <v>0</v>
      </c>
      <c r="E37" s="25">
        <f t="shared" si="5"/>
        <v>0</v>
      </c>
      <c r="F37" s="25">
        <f t="shared" si="6"/>
        <v>0</v>
      </c>
      <c r="G37" s="25">
        <f t="shared" si="7"/>
        <v>0</v>
      </c>
    </row>
    <row r="38" spans="1:7" ht="15.75" hidden="1">
      <c r="A38" s="23">
        <v>2249</v>
      </c>
      <c r="B38" s="32" t="s">
        <v>13</v>
      </c>
      <c r="C38" s="25">
        <v>0</v>
      </c>
      <c r="D38" s="25">
        <f t="shared" si="4"/>
        <v>0</v>
      </c>
      <c r="E38" s="25">
        <f t="shared" si="5"/>
        <v>0</v>
      </c>
      <c r="F38" s="25">
        <f t="shared" si="6"/>
        <v>0</v>
      </c>
      <c r="G38" s="25">
        <f t="shared" si="7"/>
        <v>0</v>
      </c>
    </row>
    <row r="39" spans="1:7" ht="15.75">
      <c r="A39" s="23">
        <v>2251</v>
      </c>
      <c r="B39" s="32" t="s">
        <v>77</v>
      </c>
      <c r="C39" s="25">
        <v>2</v>
      </c>
      <c r="D39" s="25">
        <f t="shared" si="4"/>
        <v>0.4</v>
      </c>
      <c r="E39" s="25">
        <f t="shared" si="5"/>
        <v>0.57</v>
      </c>
      <c r="F39" s="25">
        <f t="shared" si="6"/>
        <v>0.57</v>
      </c>
      <c r="G39" s="25">
        <f t="shared" si="7"/>
        <v>0.1425</v>
      </c>
    </row>
    <row r="40" spans="1:7" ht="15.75" hidden="1">
      <c r="A40" s="23">
        <v>2252</v>
      </c>
      <c r="B40" s="32" t="s">
        <v>7</v>
      </c>
      <c r="C40" s="25"/>
      <c r="D40" s="25">
        <f t="shared" si="4"/>
        <v>0</v>
      </c>
      <c r="E40" s="25">
        <f t="shared" si="5"/>
        <v>0</v>
      </c>
      <c r="F40" s="25">
        <f t="shared" si="6"/>
        <v>0</v>
      </c>
      <c r="G40" s="25">
        <f t="shared" si="7"/>
        <v>0</v>
      </c>
    </row>
    <row r="41" spans="1:7" ht="15.75" hidden="1">
      <c r="A41" s="23">
        <v>2259</v>
      </c>
      <c r="B41" s="32" t="s">
        <v>8</v>
      </c>
      <c r="C41" s="25"/>
      <c r="D41" s="25">
        <f t="shared" si="4"/>
        <v>0</v>
      </c>
      <c r="E41" s="25">
        <f t="shared" si="5"/>
        <v>0</v>
      </c>
      <c r="F41" s="25">
        <f t="shared" si="6"/>
        <v>0</v>
      </c>
      <c r="G41" s="25">
        <f t="shared" si="7"/>
        <v>0</v>
      </c>
    </row>
    <row r="42" spans="1:7" ht="15.75" hidden="1">
      <c r="A42" s="23">
        <v>2261</v>
      </c>
      <c r="B42" s="32" t="s">
        <v>14</v>
      </c>
      <c r="C42" s="25">
        <v>0</v>
      </c>
      <c r="D42" s="25">
        <f t="shared" si="4"/>
        <v>0</v>
      </c>
      <c r="E42" s="25">
        <f t="shared" si="5"/>
        <v>0</v>
      </c>
      <c r="F42" s="25">
        <f t="shared" si="6"/>
        <v>0</v>
      </c>
      <c r="G42" s="25">
        <f t="shared" si="7"/>
        <v>0</v>
      </c>
    </row>
    <row r="43" spans="1:7" ht="15.75">
      <c r="A43" s="23">
        <v>2262</v>
      </c>
      <c r="B43" s="32" t="s">
        <v>15</v>
      </c>
      <c r="C43" s="25">
        <v>2</v>
      </c>
      <c r="D43" s="25">
        <f t="shared" si="4"/>
        <v>0.4</v>
      </c>
      <c r="E43" s="25">
        <f t="shared" si="5"/>
        <v>0.57</v>
      </c>
      <c r="F43" s="25">
        <f t="shared" si="6"/>
        <v>0.57</v>
      </c>
      <c r="G43" s="25">
        <f t="shared" si="7"/>
        <v>0.1425</v>
      </c>
    </row>
    <row r="44" spans="1:7" ht="15.75">
      <c r="A44" s="23">
        <v>2263</v>
      </c>
      <c r="B44" s="32" t="s">
        <v>16</v>
      </c>
      <c r="C44" s="25">
        <v>6</v>
      </c>
      <c r="D44" s="25">
        <f t="shared" si="4"/>
        <v>1.2</v>
      </c>
      <c r="E44" s="25">
        <f t="shared" si="5"/>
        <v>1.71</v>
      </c>
      <c r="F44" s="25">
        <f t="shared" si="6"/>
        <v>1.71</v>
      </c>
      <c r="G44" s="25">
        <f t="shared" si="7"/>
        <v>0.4275</v>
      </c>
    </row>
    <row r="45" spans="1:7" ht="15.75" hidden="1">
      <c r="A45" s="23">
        <v>2264</v>
      </c>
      <c r="B45" s="32" t="s">
        <v>17</v>
      </c>
      <c r="C45" s="25">
        <v>0</v>
      </c>
      <c r="D45" s="25">
        <f t="shared" si="4"/>
        <v>0</v>
      </c>
      <c r="E45" s="25">
        <f t="shared" si="5"/>
        <v>0</v>
      </c>
      <c r="F45" s="25">
        <f t="shared" si="6"/>
        <v>0</v>
      </c>
      <c r="G45" s="25">
        <f t="shared" si="7"/>
        <v>0</v>
      </c>
    </row>
    <row r="46" spans="1:7" ht="15.75">
      <c r="A46" s="23">
        <v>2279</v>
      </c>
      <c r="B46" s="32" t="s">
        <v>18</v>
      </c>
      <c r="C46" s="25">
        <v>6</v>
      </c>
      <c r="D46" s="25">
        <f t="shared" si="4"/>
        <v>1.2</v>
      </c>
      <c r="E46" s="25">
        <f t="shared" si="5"/>
        <v>1.71</v>
      </c>
      <c r="F46" s="25">
        <f t="shared" si="6"/>
        <v>1.71</v>
      </c>
      <c r="G46" s="25">
        <f t="shared" si="7"/>
        <v>0.4275</v>
      </c>
    </row>
    <row r="47" spans="1:7" ht="15.75" hidden="1">
      <c r="A47" s="23">
        <v>2311</v>
      </c>
      <c r="B47" s="32" t="s">
        <v>19</v>
      </c>
      <c r="C47" s="25">
        <v>0</v>
      </c>
      <c r="D47" s="25">
        <f t="shared" si="4"/>
        <v>0</v>
      </c>
      <c r="E47" s="25">
        <f t="shared" si="5"/>
        <v>0</v>
      </c>
      <c r="F47" s="25">
        <f t="shared" si="6"/>
        <v>0</v>
      </c>
      <c r="G47" s="25">
        <f t="shared" si="7"/>
        <v>0</v>
      </c>
    </row>
    <row r="48" spans="1:7" ht="15.75">
      <c r="A48" s="23">
        <v>2312</v>
      </c>
      <c r="B48" s="32" t="s">
        <v>20</v>
      </c>
      <c r="C48" s="25">
        <v>5</v>
      </c>
      <c r="D48" s="25">
        <f t="shared" si="4"/>
        <v>1</v>
      </c>
      <c r="E48" s="25">
        <f t="shared" si="5"/>
        <v>1.42</v>
      </c>
      <c r="F48" s="25">
        <f t="shared" si="6"/>
        <v>1.42</v>
      </c>
      <c r="G48" s="25">
        <f t="shared" si="7"/>
        <v>0.355</v>
      </c>
    </row>
    <row r="49" spans="1:7" ht="15.75">
      <c r="A49" s="23">
        <v>2321</v>
      </c>
      <c r="B49" s="32" t="s">
        <v>21</v>
      </c>
      <c r="C49" s="25">
        <v>2</v>
      </c>
      <c r="D49" s="25">
        <f t="shared" si="4"/>
        <v>0.4</v>
      </c>
      <c r="E49" s="25">
        <f t="shared" si="5"/>
        <v>0.57</v>
      </c>
      <c r="F49" s="25">
        <f t="shared" si="6"/>
        <v>0.57</v>
      </c>
      <c r="G49" s="25">
        <f t="shared" si="7"/>
        <v>0.1425</v>
      </c>
    </row>
    <row r="50" spans="1:7" ht="15.75">
      <c r="A50" s="23">
        <v>2322</v>
      </c>
      <c r="B50" s="32" t="s">
        <v>22</v>
      </c>
      <c r="C50" s="25">
        <v>2</v>
      </c>
      <c r="D50" s="25">
        <f t="shared" si="4"/>
        <v>0.4</v>
      </c>
      <c r="E50" s="25">
        <f t="shared" si="5"/>
        <v>0.57</v>
      </c>
      <c r="F50" s="25">
        <f t="shared" si="6"/>
        <v>0.57</v>
      </c>
      <c r="G50" s="25">
        <f t="shared" si="7"/>
        <v>0.1425</v>
      </c>
    </row>
    <row r="51" spans="1:7" ht="15.75" hidden="1">
      <c r="A51" s="23">
        <v>2341</v>
      </c>
      <c r="B51" s="32" t="s">
        <v>23</v>
      </c>
      <c r="C51" s="25">
        <v>0</v>
      </c>
      <c r="D51" s="25">
        <f t="shared" si="4"/>
        <v>0</v>
      </c>
      <c r="E51" s="25">
        <f t="shared" si="5"/>
        <v>0</v>
      </c>
      <c r="F51" s="25">
        <f t="shared" si="6"/>
        <v>0</v>
      </c>
      <c r="G51" s="25">
        <f t="shared" si="7"/>
        <v>0</v>
      </c>
    </row>
    <row r="52" spans="1:7" ht="15.75" hidden="1">
      <c r="A52" s="23">
        <v>2344</v>
      </c>
      <c r="B52" s="32" t="s">
        <v>24</v>
      </c>
      <c r="C52" s="25">
        <v>0</v>
      </c>
      <c r="D52" s="25">
        <f t="shared" si="4"/>
        <v>0</v>
      </c>
      <c r="E52" s="25">
        <f t="shared" si="5"/>
        <v>0</v>
      </c>
      <c r="F52" s="25">
        <f t="shared" si="6"/>
        <v>0</v>
      </c>
      <c r="G52" s="25">
        <f t="shared" si="7"/>
        <v>0</v>
      </c>
    </row>
    <row r="53" spans="1:7" ht="15.75">
      <c r="A53" s="23">
        <v>2350</v>
      </c>
      <c r="B53" s="32" t="s">
        <v>25</v>
      </c>
      <c r="C53" s="25">
        <v>6</v>
      </c>
      <c r="D53" s="25">
        <f t="shared" si="4"/>
        <v>1.2</v>
      </c>
      <c r="E53" s="25">
        <f t="shared" si="5"/>
        <v>1.71</v>
      </c>
      <c r="F53" s="25">
        <f t="shared" si="6"/>
        <v>1.71</v>
      </c>
      <c r="G53" s="25">
        <f t="shared" si="7"/>
        <v>0.4275</v>
      </c>
    </row>
    <row r="54" spans="1:7" ht="15.75">
      <c r="A54" s="23">
        <v>2361</v>
      </c>
      <c r="B54" s="32" t="s">
        <v>26</v>
      </c>
      <c r="C54" s="25">
        <v>4</v>
      </c>
      <c r="D54" s="25">
        <f t="shared" si="4"/>
        <v>0.8</v>
      </c>
      <c r="E54" s="25">
        <f t="shared" si="5"/>
        <v>1.14</v>
      </c>
      <c r="F54" s="25">
        <f t="shared" si="6"/>
        <v>1.14</v>
      </c>
      <c r="G54" s="25">
        <f t="shared" si="7"/>
        <v>0.285</v>
      </c>
    </row>
    <row r="55" spans="1:7" ht="15.75" hidden="1">
      <c r="A55" s="23">
        <v>2362</v>
      </c>
      <c r="B55" s="32" t="s">
        <v>27</v>
      </c>
      <c r="C55" s="25"/>
      <c r="D55" s="25">
        <f t="shared" si="4"/>
        <v>0</v>
      </c>
      <c r="E55" s="25">
        <f t="shared" si="5"/>
        <v>0</v>
      </c>
      <c r="F55" s="25">
        <f t="shared" si="6"/>
        <v>0</v>
      </c>
      <c r="G55" s="25">
        <f t="shared" si="7"/>
        <v>0</v>
      </c>
    </row>
    <row r="56" spans="1:7" ht="15.75" hidden="1">
      <c r="A56" s="23">
        <v>2363</v>
      </c>
      <c r="B56" s="32" t="s">
        <v>28</v>
      </c>
      <c r="C56" s="25"/>
      <c r="D56" s="25">
        <f t="shared" si="4"/>
        <v>0</v>
      </c>
      <c r="E56" s="25">
        <f t="shared" si="5"/>
        <v>0</v>
      </c>
      <c r="F56" s="25">
        <f t="shared" si="6"/>
        <v>0</v>
      </c>
      <c r="G56" s="25">
        <f t="shared" si="7"/>
        <v>0</v>
      </c>
    </row>
    <row r="57" spans="1:7" ht="15.75" hidden="1">
      <c r="A57" s="23">
        <v>2370</v>
      </c>
      <c r="B57" s="32" t="s">
        <v>29</v>
      </c>
      <c r="C57" s="25"/>
      <c r="D57" s="25">
        <f t="shared" si="4"/>
        <v>0</v>
      </c>
      <c r="E57" s="25">
        <f t="shared" si="5"/>
        <v>0</v>
      </c>
      <c r="F57" s="25">
        <f t="shared" si="6"/>
        <v>0</v>
      </c>
      <c r="G57" s="25">
        <f t="shared" si="7"/>
        <v>0</v>
      </c>
    </row>
    <row r="58" spans="1:7" ht="15.75" hidden="1">
      <c r="A58" s="23">
        <v>2400</v>
      </c>
      <c r="B58" s="32" t="s">
        <v>43</v>
      </c>
      <c r="C58" s="25">
        <v>0</v>
      </c>
      <c r="D58" s="25">
        <f t="shared" si="4"/>
        <v>0</v>
      </c>
      <c r="E58" s="25">
        <f t="shared" si="5"/>
        <v>0</v>
      </c>
      <c r="F58" s="25">
        <f t="shared" si="6"/>
        <v>0</v>
      </c>
      <c r="G58" s="25">
        <f t="shared" si="7"/>
        <v>0</v>
      </c>
    </row>
    <row r="59" spans="1:7" ht="15.75" hidden="1">
      <c r="A59" s="23">
        <v>2512</v>
      </c>
      <c r="B59" s="32" t="s">
        <v>30</v>
      </c>
      <c r="C59" s="25">
        <v>0</v>
      </c>
      <c r="D59" s="25">
        <f t="shared" si="4"/>
        <v>0</v>
      </c>
      <c r="E59" s="25">
        <f t="shared" si="5"/>
        <v>0</v>
      </c>
      <c r="F59" s="25">
        <f t="shared" si="6"/>
        <v>0</v>
      </c>
      <c r="G59" s="25">
        <f t="shared" si="7"/>
        <v>0</v>
      </c>
    </row>
    <row r="60" spans="1:7" ht="15.75">
      <c r="A60" s="23">
        <v>2513</v>
      </c>
      <c r="B60" s="32" t="s">
        <v>31</v>
      </c>
      <c r="C60" s="25">
        <v>3</v>
      </c>
      <c r="D60" s="25">
        <f t="shared" si="4"/>
        <v>0.6</v>
      </c>
      <c r="E60" s="25">
        <f t="shared" si="5"/>
        <v>0.85</v>
      </c>
      <c r="F60" s="25">
        <f t="shared" si="6"/>
        <v>0.85</v>
      </c>
      <c r="G60" s="25">
        <f t="shared" si="7"/>
        <v>0.21249999999999997</v>
      </c>
    </row>
    <row r="61" spans="1:7" ht="15.75" hidden="1">
      <c r="A61" s="23">
        <v>2515</v>
      </c>
      <c r="B61" s="32" t="s">
        <v>78</v>
      </c>
      <c r="C61" s="25">
        <v>0</v>
      </c>
      <c r="D61" s="25">
        <f t="shared" si="4"/>
        <v>0</v>
      </c>
      <c r="E61" s="25">
        <f t="shared" si="5"/>
        <v>0</v>
      </c>
      <c r="F61" s="25">
        <f t="shared" si="6"/>
        <v>0</v>
      </c>
      <c r="G61" s="25">
        <f t="shared" si="7"/>
        <v>0</v>
      </c>
    </row>
    <row r="62" spans="1:7" ht="15.75">
      <c r="A62" s="23">
        <v>2519</v>
      </c>
      <c r="B62" s="32" t="s">
        <v>34</v>
      </c>
      <c r="C62" s="25">
        <v>1</v>
      </c>
      <c r="D62" s="25">
        <f t="shared" si="4"/>
        <v>0.2</v>
      </c>
      <c r="E62" s="25">
        <f t="shared" si="5"/>
        <v>0.28</v>
      </c>
      <c r="F62" s="25">
        <f t="shared" si="6"/>
        <v>0.28</v>
      </c>
      <c r="G62" s="25">
        <f t="shared" si="7"/>
        <v>0.07</v>
      </c>
    </row>
    <row r="63" spans="1:7" ht="15.75" hidden="1">
      <c r="A63" s="23">
        <v>6240</v>
      </c>
      <c r="B63" s="32"/>
      <c r="C63" s="25"/>
      <c r="D63" s="25">
        <f>C63/200*50</f>
        <v>0</v>
      </c>
      <c r="E63" s="25">
        <f t="shared" si="5"/>
        <v>0</v>
      </c>
      <c r="F63" s="25">
        <f t="shared" si="6"/>
        <v>0</v>
      </c>
      <c r="G63" s="25">
        <f t="shared" si="7"/>
        <v>0</v>
      </c>
    </row>
    <row r="64" spans="1:7" ht="15.75" hidden="1">
      <c r="A64" s="23">
        <v>6290</v>
      </c>
      <c r="B64" s="32"/>
      <c r="C64" s="25"/>
      <c r="D64" s="25">
        <f>C64/200*50</f>
        <v>0</v>
      </c>
      <c r="E64" s="25">
        <f t="shared" si="5"/>
        <v>0</v>
      </c>
      <c r="F64" s="25">
        <f t="shared" si="6"/>
        <v>0</v>
      </c>
      <c r="G64" s="25">
        <f t="shared" si="7"/>
        <v>0</v>
      </c>
    </row>
    <row r="65" spans="1:7" ht="15.75" hidden="1">
      <c r="A65" s="23">
        <v>5121</v>
      </c>
      <c r="B65" s="32" t="s">
        <v>32</v>
      </c>
      <c r="C65" s="25">
        <v>0</v>
      </c>
      <c r="D65" s="25">
        <f>C65/200*50</f>
        <v>0</v>
      </c>
      <c r="E65" s="25">
        <f t="shared" si="5"/>
        <v>0</v>
      </c>
      <c r="F65" s="25">
        <f t="shared" si="6"/>
        <v>0</v>
      </c>
      <c r="G65" s="25">
        <f t="shared" si="7"/>
        <v>0</v>
      </c>
    </row>
    <row r="66" spans="1:7" ht="15.75">
      <c r="A66" s="23">
        <v>5232</v>
      </c>
      <c r="B66" s="32" t="s">
        <v>33</v>
      </c>
      <c r="C66" s="25">
        <v>0</v>
      </c>
      <c r="D66" s="25">
        <f>C66/830*50</f>
        <v>0</v>
      </c>
      <c r="E66" s="25">
        <f t="shared" si="5"/>
        <v>0</v>
      </c>
      <c r="F66" s="25">
        <v>0.08</v>
      </c>
      <c r="G66" s="25">
        <f t="shared" si="7"/>
        <v>0.02</v>
      </c>
    </row>
    <row r="67" spans="1:7" ht="15.75" hidden="1">
      <c r="A67" s="23">
        <v>5238</v>
      </c>
      <c r="B67" s="32" t="s">
        <v>35</v>
      </c>
      <c r="C67" s="25">
        <v>0</v>
      </c>
      <c r="D67" s="25">
        <f>C67/830*50</f>
        <v>0</v>
      </c>
      <c r="E67" s="25">
        <f t="shared" si="5"/>
        <v>0</v>
      </c>
      <c r="F67" s="25">
        <f t="shared" si="6"/>
        <v>0</v>
      </c>
      <c r="G67" s="25">
        <f t="shared" si="7"/>
        <v>0</v>
      </c>
    </row>
    <row r="68" spans="1:7" ht="15.75" hidden="1">
      <c r="A68" s="23">
        <v>5240</v>
      </c>
      <c r="B68" s="32" t="s">
        <v>36</v>
      </c>
      <c r="C68" s="25">
        <v>0</v>
      </c>
      <c r="D68" s="25">
        <f>C68/830*50</f>
        <v>0</v>
      </c>
      <c r="E68" s="25">
        <f t="shared" si="5"/>
        <v>0</v>
      </c>
      <c r="F68" s="25">
        <f t="shared" si="6"/>
        <v>0</v>
      </c>
      <c r="G68" s="25">
        <f t="shared" si="7"/>
        <v>0</v>
      </c>
    </row>
    <row r="69" spans="1:7" ht="15.75" hidden="1">
      <c r="A69" s="23">
        <v>5250</v>
      </c>
      <c r="B69" s="32" t="s">
        <v>37</v>
      </c>
      <c r="C69" s="25"/>
      <c r="D69" s="25">
        <f>C69/830*50</f>
        <v>0</v>
      </c>
      <c r="E69" s="25">
        <f t="shared" si="5"/>
        <v>0</v>
      </c>
      <c r="F69" s="25">
        <f t="shared" si="6"/>
        <v>0</v>
      </c>
      <c r="G69" s="25">
        <f t="shared" si="7"/>
        <v>0</v>
      </c>
    </row>
    <row r="70" spans="1:7" ht="15.75">
      <c r="A70" s="29"/>
      <c r="B70" s="48" t="s">
        <v>79</v>
      </c>
      <c r="C70" s="28">
        <f>SUM(C26:C69)</f>
        <v>273.5</v>
      </c>
      <c r="D70" s="28">
        <f>SUM(D26:D69)</f>
        <v>54.70000000000001</v>
      </c>
      <c r="E70" s="28">
        <f>SUM(E26:E69)</f>
        <v>77.81999999999995</v>
      </c>
      <c r="F70" s="28">
        <f>SUM(F26:F69)</f>
        <v>77.89999999999995</v>
      </c>
      <c r="G70" s="28">
        <f>SUM(G26:G69)</f>
        <v>19.924999999999986</v>
      </c>
    </row>
    <row r="71" spans="1:7" ht="15.75">
      <c r="A71" s="29"/>
      <c r="B71" s="48" t="s">
        <v>80</v>
      </c>
      <c r="C71" s="28">
        <f>C70+C24</f>
        <v>504</v>
      </c>
      <c r="D71" s="28">
        <f>D70+D24</f>
        <v>100.80000000000001</v>
      </c>
      <c r="E71" s="28">
        <f>E70+E24</f>
        <v>143.40999999999997</v>
      </c>
      <c r="F71" s="28">
        <f>F70+F24</f>
        <v>161.19999999999993</v>
      </c>
      <c r="G71" s="28">
        <f>G70+G24</f>
        <v>43.749999999999986</v>
      </c>
    </row>
    <row r="72" spans="1:7" ht="15.75">
      <c r="A72" s="49"/>
      <c r="B72" s="50"/>
      <c r="C72" s="41"/>
      <c r="D72" s="41"/>
      <c r="E72" s="41"/>
      <c r="F72" s="41"/>
      <c r="G72" s="41"/>
    </row>
    <row r="73" spans="1:7" ht="15.75" customHeight="1">
      <c r="A73" s="212" t="s">
        <v>45</v>
      </c>
      <c r="B73" s="213"/>
      <c r="C73" s="69">
        <v>100</v>
      </c>
      <c r="D73" s="42">
        <v>20</v>
      </c>
      <c r="E73" s="42">
        <v>20</v>
      </c>
      <c r="F73" s="42">
        <v>20</v>
      </c>
      <c r="G73" s="162">
        <v>5</v>
      </c>
    </row>
    <row r="74" spans="1:7" ht="15.75" customHeight="1">
      <c r="A74" s="212" t="s">
        <v>91</v>
      </c>
      <c r="B74" s="213"/>
      <c r="C74" s="102">
        <f>C71/C73</f>
        <v>5.04</v>
      </c>
      <c r="D74" s="82">
        <f>D71/D73</f>
        <v>5.040000000000001</v>
      </c>
      <c r="E74" s="82">
        <f>E71/E73</f>
        <v>7.170499999999999</v>
      </c>
      <c r="F74" s="82">
        <f>F71/F73</f>
        <v>8.059999999999997</v>
      </c>
      <c r="G74" s="161">
        <f>G71/G73</f>
        <v>8.749999999999996</v>
      </c>
    </row>
    <row r="75" spans="1:7" ht="15.75">
      <c r="A75" s="14"/>
      <c r="B75" s="11"/>
      <c r="C75" s="11"/>
      <c r="D75" s="11"/>
      <c r="E75" s="11"/>
      <c r="F75" s="11"/>
      <c r="G75" s="11"/>
    </row>
    <row r="76" spans="1:7" ht="15.75" customHeight="1">
      <c r="A76" s="212" t="s">
        <v>46</v>
      </c>
      <c r="B76" s="213"/>
      <c r="C76" s="37"/>
      <c r="D76" s="37"/>
      <c r="E76" s="37"/>
      <c r="F76" s="37"/>
      <c r="G76" s="37"/>
    </row>
    <row r="77" spans="1:7" ht="15.75" customHeight="1">
      <c r="A77" s="212" t="s">
        <v>56</v>
      </c>
      <c r="B77" s="213"/>
      <c r="C77" s="37"/>
      <c r="D77" s="37"/>
      <c r="E77" s="37"/>
      <c r="F77" s="37"/>
      <c r="G77" s="37"/>
    </row>
    <row r="78" spans="1:7" ht="15.75">
      <c r="A78" s="38"/>
      <c r="B78" s="38"/>
      <c r="C78" s="38"/>
      <c r="D78" s="38"/>
      <c r="E78" s="38"/>
      <c r="F78" s="38"/>
      <c r="G78" s="38"/>
    </row>
    <row r="79" spans="1:7" ht="15.75">
      <c r="A79" s="38" t="s">
        <v>47</v>
      </c>
      <c r="B79" s="38"/>
      <c r="C79" s="38"/>
      <c r="D79" s="38"/>
      <c r="E79" s="38"/>
      <c r="F79" s="38"/>
      <c r="G79" s="38"/>
    </row>
    <row r="80" spans="1:7" ht="15.75">
      <c r="A80" s="38"/>
      <c r="B80" s="38"/>
      <c r="C80" s="38"/>
      <c r="D80" s="38"/>
      <c r="E80" s="38"/>
      <c r="F80" s="38"/>
      <c r="G80" s="38"/>
    </row>
    <row r="81" spans="1:7" ht="15.75">
      <c r="A81" s="38"/>
      <c r="B81" s="39"/>
      <c r="C81" s="38"/>
      <c r="D81" s="38"/>
      <c r="E81" s="38"/>
      <c r="F81" s="38"/>
      <c r="G81" s="38"/>
    </row>
    <row r="82" spans="1:7" ht="15.75">
      <c r="A82" s="38"/>
      <c r="B82" s="40"/>
      <c r="C82" s="38"/>
      <c r="D82" s="38"/>
      <c r="E82" s="38"/>
      <c r="F82" s="38"/>
      <c r="G82" s="38"/>
    </row>
    <row r="83" spans="2:3" ht="15.75">
      <c r="B83" s="206"/>
      <c r="C83" s="206"/>
    </row>
  </sheetData>
  <sheetProtection/>
  <mergeCells count="13">
    <mergeCell ref="B2:D2"/>
    <mergeCell ref="A3:G3"/>
    <mergeCell ref="B4:C4"/>
    <mergeCell ref="A5:C5"/>
    <mergeCell ref="A6:C6"/>
    <mergeCell ref="A77:B77"/>
    <mergeCell ref="B83:C83"/>
    <mergeCell ref="B7:C7"/>
    <mergeCell ref="B8:C8"/>
    <mergeCell ref="B9:C9"/>
    <mergeCell ref="A73:B73"/>
    <mergeCell ref="A74:B74"/>
    <mergeCell ref="A76:B7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84"/>
  <sheetViews>
    <sheetView view="pageLayout" workbookViewId="0" topLeftCell="A82">
      <selection activeCell="A81" sqref="A81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16.140625" style="4" hidden="1" customWidth="1"/>
    <col min="4" max="4" width="18.8515625" style="4" hidden="1" customWidth="1"/>
    <col min="5" max="7" width="21.57421875" style="4" hidden="1" customWidth="1"/>
    <col min="8" max="8" width="30.28125" style="4" customWidth="1"/>
  </cols>
  <sheetData>
    <row r="1" spans="2:8" ht="15.75">
      <c r="B1" s="108"/>
      <c r="C1" s="108"/>
      <c r="D1" s="108"/>
      <c r="E1" s="10"/>
      <c r="F1" s="10"/>
      <c r="G1" s="10"/>
      <c r="H1" s="9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15"/>
      <c r="G5" s="15"/>
      <c r="H5" s="15"/>
    </row>
    <row r="6" spans="1:8" ht="15.75">
      <c r="A6" s="195" t="s">
        <v>0</v>
      </c>
      <c r="B6" s="195"/>
      <c r="C6" s="195"/>
      <c r="D6" s="195"/>
      <c r="E6" s="195"/>
      <c r="F6" s="15"/>
      <c r="G6" s="15"/>
      <c r="H6" s="14"/>
    </row>
    <row r="7" spans="1:8" ht="15.75">
      <c r="A7" s="8"/>
      <c r="B7" s="195" t="s">
        <v>44</v>
      </c>
      <c r="C7" s="195"/>
      <c r="D7" s="195"/>
      <c r="E7" s="195"/>
      <c r="F7" s="15"/>
      <c r="G7" s="15"/>
      <c r="H7" s="14"/>
    </row>
    <row r="8" spans="1:8" ht="15.75">
      <c r="A8" s="8"/>
      <c r="B8" s="195" t="s">
        <v>100</v>
      </c>
      <c r="C8" s="195"/>
      <c r="D8" s="195"/>
      <c r="E8" s="195"/>
      <c r="F8" s="15"/>
      <c r="G8" s="15"/>
      <c r="H8" s="15"/>
    </row>
    <row r="9" spans="1:8" ht="15.75">
      <c r="A9" s="8"/>
      <c r="B9" s="195" t="s">
        <v>102</v>
      </c>
      <c r="C9" s="195"/>
      <c r="D9" s="195"/>
      <c r="E9" s="195"/>
      <c r="F9" s="15"/>
      <c r="G9" s="15"/>
      <c r="H9" s="15"/>
    </row>
    <row r="10" spans="1:8" ht="15.75">
      <c r="A10" s="8" t="s">
        <v>2</v>
      </c>
      <c r="B10" s="8" t="s">
        <v>205</v>
      </c>
      <c r="C10" s="8"/>
      <c r="D10" s="8"/>
      <c r="E10" s="8"/>
      <c r="F10" s="15"/>
      <c r="G10" s="15"/>
      <c r="H10" s="15"/>
    </row>
    <row r="11" spans="1:8" ht="15.75" hidden="1">
      <c r="A11" s="15"/>
      <c r="B11" s="16"/>
      <c r="C11" s="16"/>
      <c r="D11" s="16"/>
      <c r="E11" s="77"/>
      <c r="F11" s="15"/>
      <c r="G11" s="15"/>
      <c r="H11" s="15"/>
    </row>
    <row r="12" spans="1:8" ht="54.75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8"/>
      <c r="D13" s="19"/>
      <c r="E13" s="18"/>
      <c r="F13" s="19"/>
      <c r="G13" s="19"/>
      <c r="H13" s="19">
        <v>3</v>
      </c>
    </row>
    <row r="14" spans="1:8" ht="15.75">
      <c r="A14" s="20"/>
      <c r="B14" s="45" t="s">
        <v>71</v>
      </c>
      <c r="C14" s="97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266.62</v>
      </c>
      <c r="D15" s="25">
        <f aca="true" t="shared" si="0" ref="D15:D20">ROUND(C15/0.702804,2)</f>
        <v>379.37</v>
      </c>
      <c r="E15" s="25">
        <f aca="true" t="shared" si="1" ref="E15:E20">ROUND(D15/123*210,2)</f>
        <v>647.7</v>
      </c>
      <c r="F15" s="25">
        <v>673.61</v>
      </c>
      <c r="G15" s="25">
        <v>855.48</v>
      </c>
      <c r="H15" s="25">
        <f>G15/210*80+80*0.33</f>
        <v>352.29714285714283</v>
      </c>
    </row>
    <row r="16" spans="1:8" ht="15.75">
      <c r="A16" s="23">
        <v>1200</v>
      </c>
      <c r="B16" s="32" t="s">
        <v>73</v>
      </c>
      <c r="C16" s="47">
        <v>62.89</v>
      </c>
      <c r="D16" s="25">
        <f t="shared" si="0"/>
        <v>89.48</v>
      </c>
      <c r="E16" s="25">
        <f t="shared" si="1"/>
        <v>152.77</v>
      </c>
      <c r="F16" s="25">
        <v>158.91</v>
      </c>
      <c r="G16" s="25">
        <v>206.09</v>
      </c>
      <c r="H16" s="25">
        <f>G16/210*80+80*0.08</f>
        <v>84.91047619047619</v>
      </c>
    </row>
    <row r="17" spans="1:8" ht="15.75">
      <c r="A17" s="23">
        <v>2222</v>
      </c>
      <c r="B17" s="32" t="s">
        <v>39</v>
      </c>
      <c r="C17" s="25">
        <v>81.18</v>
      </c>
      <c r="D17" s="25">
        <f t="shared" si="0"/>
        <v>115.51</v>
      </c>
      <c r="E17" s="25">
        <f t="shared" si="1"/>
        <v>197.21</v>
      </c>
      <c r="F17" s="25">
        <f>E17</f>
        <v>197.21</v>
      </c>
      <c r="G17" s="25">
        <f>F17</f>
        <v>197.21</v>
      </c>
      <c r="H17" s="25">
        <f>G17/210*80</f>
        <v>75.12761904761905</v>
      </c>
    </row>
    <row r="18" spans="1:8" ht="15.75">
      <c r="A18" s="23">
        <v>2243</v>
      </c>
      <c r="B18" s="109" t="s">
        <v>103</v>
      </c>
      <c r="C18" s="25">
        <v>42.94</v>
      </c>
      <c r="D18" s="25">
        <f t="shared" si="0"/>
        <v>61.1</v>
      </c>
      <c r="E18" s="25">
        <f t="shared" si="1"/>
        <v>104.32</v>
      </c>
      <c r="F18" s="25">
        <f>E18</f>
        <v>104.32</v>
      </c>
      <c r="G18" s="25">
        <f aca="true" t="shared" si="2" ref="G18:G23">F18</f>
        <v>104.32</v>
      </c>
      <c r="H18" s="25">
        <f>G18/210*80</f>
        <v>39.74095238095238</v>
      </c>
    </row>
    <row r="19" spans="1:8" ht="15.75">
      <c r="A19" s="23">
        <v>2341</v>
      </c>
      <c r="B19" s="32" t="s">
        <v>23</v>
      </c>
      <c r="C19" s="25"/>
      <c r="D19" s="25">
        <f t="shared" si="0"/>
        <v>0</v>
      </c>
      <c r="E19" s="25">
        <f t="shared" si="1"/>
        <v>0</v>
      </c>
      <c r="F19" s="25">
        <f>E19</f>
        <v>0</v>
      </c>
      <c r="G19" s="25">
        <f t="shared" si="2"/>
        <v>0</v>
      </c>
      <c r="H19" s="25">
        <v>4.96</v>
      </c>
    </row>
    <row r="20" spans="1:8" ht="15.75">
      <c r="A20" s="23">
        <v>2350</v>
      </c>
      <c r="B20" s="32" t="s">
        <v>25</v>
      </c>
      <c r="C20" s="25">
        <v>9.68</v>
      </c>
      <c r="D20" s="25">
        <f t="shared" si="0"/>
        <v>13.77</v>
      </c>
      <c r="E20" s="25">
        <f t="shared" si="1"/>
        <v>23.51</v>
      </c>
      <c r="F20" s="25">
        <f>E20</f>
        <v>23.51</v>
      </c>
      <c r="G20" s="25">
        <f t="shared" si="2"/>
        <v>23.51</v>
      </c>
      <c r="H20" s="25">
        <v>4</v>
      </c>
    </row>
    <row r="21" spans="1:8" ht="15.75" hidden="1">
      <c r="A21" s="23"/>
      <c r="B21" s="32"/>
      <c r="C21" s="25"/>
      <c r="D21" s="32"/>
      <c r="E21" s="25"/>
      <c r="F21" s="25">
        <f>E21/200*50</f>
        <v>0</v>
      </c>
      <c r="G21" s="25">
        <f t="shared" si="2"/>
        <v>0</v>
      </c>
      <c r="H21" s="25">
        <f>G21/210*80</f>
        <v>0</v>
      </c>
    </row>
    <row r="22" spans="1:8" ht="15.75" hidden="1">
      <c r="A22" s="23"/>
      <c r="B22" s="32"/>
      <c r="C22" s="25"/>
      <c r="D22" s="32"/>
      <c r="E22" s="25"/>
      <c r="F22" s="25">
        <f>E22/200*50</f>
        <v>0</v>
      </c>
      <c r="G22" s="25">
        <f t="shared" si="2"/>
        <v>0</v>
      </c>
      <c r="H22" s="25">
        <f>G22/210*80</f>
        <v>0</v>
      </c>
    </row>
    <row r="23" spans="1:8" ht="15.75" hidden="1">
      <c r="A23" s="23"/>
      <c r="B23" s="23"/>
      <c r="C23" s="25"/>
      <c r="D23" s="23"/>
      <c r="E23" s="25"/>
      <c r="F23" s="25">
        <f>E23/200*50</f>
        <v>0</v>
      </c>
      <c r="G23" s="25">
        <f t="shared" si="2"/>
        <v>0</v>
      </c>
      <c r="H23" s="25">
        <f>G23/210*80</f>
        <v>0</v>
      </c>
    </row>
    <row r="24" spans="1:8" ht="15.75">
      <c r="A24" s="23"/>
      <c r="B24" s="46" t="s">
        <v>74</v>
      </c>
      <c r="C24" s="28">
        <f aca="true" t="shared" si="3" ref="C24:H24">SUM(C15:C23)</f>
        <v>463.31</v>
      </c>
      <c r="D24" s="28">
        <f t="shared" si="3"/>
        <v>659.23</v>
      </c>
      <c r="E24" s="28">
        <f t="shared" si="3"/>
        <v>1125.51</v>
      </c>
      <c r="F24" s="28">
        <f t="shared" si="3"/>
        <v>1157.56</v>
      </c>
      <c r="G24" s="28">
        <f t="shared" si="3"/>
        <v>1386.61</v>
      </c>
      <c r="H24" s="28">
        <f t="shared" si="3"/>
        <v>561.0361904761905</v>
      </c>
    </row>
    <row r="25" spans="1:8" ht="15.75">
      <c r="A25" s="29"/>
      <c r="B25" s="23" t="s">
        <v>75</v>
      </c>
      <c r="C25" s="25"/>
      <c r="D25" s="23"/>
      <c r="E25" s="25"/>
      <c r="F25" s="25"/>
      <c r="G25" s="25"/>
      <c r="H25" s="25"/>
    </row>
    <row r="26" spans="1:8" ht="15.75">
      <c r="A26" s="23">
        <v>1100</v>
      </c>
      <c r="B26" s="23" t="s">
        <v>72</v>
      </c>
      <c r="C26" s="25">
        <v>123.8</v>
      </c>
      <c r="D26" s="25">
        <f aca="true" t="shared" si="4" ref="D26:D60">ROUND(C26/0.702804,2)</f>
        <v>176.15</v>
      </c>
      <c r="E26" s="25">
        <f aca="true" t="shared" si="5" ref="E26:E59">ROUND(D26/123*210,2)</f>
        <v>300.74</v>
      </c>
      <c r="F26" s="25">
        <v>309.76</v>
      </c>
      <c r="G26" s="25">
        <v>308.51</v>
      </c>
      <c r="H26" s="25">
        <f aca="true" t="shared" si="6" ref="H26:H69">G26/210*80</f>
        <v>117.52761904761904</v>
      </c>
    </row>
    <row r="27" spans="1:8" ht="15.75">
      <c r="A27" s="23">
        <v>1200</v>
      </c>
      <c r="B27" s="32" t="s">
        <v>73</v>
      </c>
      <c r="C27" s="47">
        <v>29.2</v>
      </c>
      <c r="D27" s="25">
        <f t="shared" si="4"/>
        <v>41.55</v>
      </c>
      <c r="E27" s="25">
        <f t="shared" si="5"/>
        <v>70.94</v>
      </c>
      <c r="F27" s="25">
        <v>73.07</v>
      </c>
      <c r="G27" s="25">
        <v>74.32</v>
      </c>
      <c r="H27" s="25">
        <f t="shared" si="6"/>
        <v>28.312380952380952</v>
      </c>
    </row>
    <row r="28" spans="1:11" ht="15.75" hidden="1">
      <c r="A28" s="23">
        <v>2100</v>
      </c>
      <c r="B28" s="30" t="s">
        <v>42</v>
      </c>
      <c r="C28" s="25"/>
      <c r="D28" s="25">
        <f t="shared" si="4"/>
        <v>0</v>
      </c>
      <c r="E28" s="25">
        <f t="shared" si="5"/>
        <v>0</v>
      </c>
      <c r="F28" s="25">
        <f aca="true" t="shared" si="7" ref="F28:F59">E28</f>
        <v>0</v>
      </c>
      <c r="G28" s="25">
        <f aca="true" t="shared" si="8" ref="G28:G59">F28</f>
        <v>0</v>
      </c>
      <c r="H28" s="25">
        <f t="shared" si="6"/>
        <v>0</v>
      </c>
      <c r="J28" s="126" t="e">
        <f>'5.5.9.'!#REF!+'5.5.9.'!#REF!</f>
        <v>#REF!</v>
      </c>
      <c r="K28" s="126" t="e">
        <f>'5.5.9.'!#REF!+'5.5.9.'!#REF!</f>
        <v>#REF!</v>
      </c>
    </row>
    <row r="29" spans="1:8" ht="15.75">
      <c r="A29" s="31">
        <v>2210</v>
      </c>
      <c r="B29" s="32" t="s">
        <v>38</v>
      </c>
      <c r="C29" s="25">
        <v>1</v>
      </c>
      <c r="D29" s="25">
        <f t="shared" si="4"/>
        <v>1.42</v>
      </c>
      <c r="E29" s="25">
        <f t="shared" si="5"/>
        <v>2.42</v>
      </c>
      <c r="F29" s="25">
        <f t="shared" si="7"/>
        <v>2.42</v>
      </c>
      <c r="G29" s="25">
        <f t="shared" si="8"/>
        <v>2.42</v>
      </c>
      <c r="H29" s="25">
        <f t="shared" si="6"/>
        <v>0.9219047619047618</v>
      </c>
    </row>
    <row r="30" spans="1:8" ht="15.75">
      <c r="A30" s="23">
        <v>2222</v>
      </c>
      <c r="B30" s="32" t="s">
        <v>39</v>
      </c>
      <c r="C30" s="25">
        <v>2</v>
      </c>
      <c r="D30" s="25">
        <f t="shared" si="4"/>
        <v>2.85</v>
      </c>
      <c r="E30" s="25">
        <f t="shared" si="5"/>
        <v>4.87</v>
      </c>
      <c r="F30" s="25">
        <f t="shared" si="7"/>
        <v>4.87</v>
      </c>
      <c r="G30" s="25">
        <f t="shared" si="8"/>
        <v>4.87</v>
      </c>
      <c r="H30" s="25">
        <f t="shared" si="6"/>
        <v>1.8552380952380954</v>
      </c>
    </row>
    <row r="31" spans="1:8" ht="15.75">
      <c r="A31" s="23">
        <v>2223</v>
      </c>
      <c r="B31" s="32" t="s">
        <v>40</v>
      </c>
      <c r="C31" s="25">
        <v>1</v>
      </c>
      <c r="D31" s="25">
        <f t="shared" si="4"/>
        <v>1.42</v>
      </c>
      <c r="E31" s="25">
        <f t="shared" si="5"/>
        <v>2.42</v>
      </c>
      <c r="F31" s="25">
        <f t="shared" si="7"/>
        <v>2.42</v>
      </c>
      <c r="G31" s="25">
        <f t="shared" si="8"/>
        <v>2.42</v>
      </c>
      <c r="H31" s="25">
        <f t="shared" si="6"/>
        <v>0.9219047619047618</v>
      </c>
    </row>
    <row r="32" spans="1:8" ht="15.75">
      <c r="A32" s="23">
        <v>2230</v>
      </c>
      <c r="B32" s="32" t="s">
        <v>41</v>
      </c>
      <c r="C32" s="25">
        <v>1</v>
      </c>
      <c r="D32" s="25">
        <f t="shared" si="4"/>
        <v>1.42</v>
      </c>
      <c r="E32" s="25">
        <f t="shared" si="5"/>
        <v>2.42</v>
      </c>
      <c r="F32" s="25">
        <f t="shared" si="7"/>
        <v>2.42</v>
      </c>
      <c r="G32" s="25">
        <f t="shared" si="8"/>
        <v>2.42</v>
      </c>
      <c r="H32" s="25">
        <f t="shared" si="6"/>
        <v>0.9219047619047618</v>
      </c>
    </row>
    <row r="33" spans="1:8" ht="15.75" hidden="1">
      <c r="A33" s="23">
        <v>2241</v>
      </c>
      <c r="B33" s="32" t="s">
        <v>9</v>
      </c>
      <c r="C33" s="25"/>
      <c r="D33" s="25">
        <f t="shared" si="4"/>
        <v>0</v>
      </c>
      <c r="E33" s="25">
        <f t="shared" si="5"/>
        <v>0</v>
      </c>
      <c r="F33" s="25">
        <f t="shared" si="7"/>
        <v>0</v>
      </c>
      <c r="G33" s="25">
        <f t="shared" si="8"/>
        <v>0</v>
      </c>
      <c r="H33" s="25">
        <f t="shared" si="6"/>
        <v>0</v>
      </c>
    </row>
    <row r="34" spans="1:8" ht="15.75">
      <c r="A34" s="23">
        <v>2242</v>
      </c>
      <c r="B34" s="32" t="s">
        <v>10</v>
      </c>
      <c r="C34" s="25">
        <v>1</v>
      </c>
      <c r="D34" s="25">
        <f t="shared" si="4"/>
        <v>1.42</v>
      </c>
      <c r="E34" s="25">
        <f t="shared" si="5"/>
        <v>2.42</v>
      </c>
      <c r="F34" s="25">
        <f t="shared" si="7"/>
        <v>2.42</v>
      </c>
      <c r="G34" s="25">
        <f t="shared" si="8"/>
        <v>2.42</v>
      </c>
      <c r="H34" s="25">
        <f t="shared" si="6"/>
        <v>0.9219047619047618</v>
      </c>
    </row>
    <row r="35" spans="1:8" ht="15.75">
      <c r="A35" s="23">
        <v>2243</v>
      </c>
      <c r="B35" s="32" t="s">
        <v>11</v>
      </c>
      <c r="C35" s="25">
        <v>2</v>
      </c>
      <c r="D35" s="25">
        <f t="shared" si="4"/>
        <v>2.85</v>
      </c>
      <c r="E35" s="25">
        <f t="shared" si="5"/>
        <v>4.87</v>
      </c>
      <c r="F35" s="25">
        <f t="shared" si="7"/>
        <v>4.87</v>
      </c>
      <c r="G35" s="25">
        <f t="shared" si="8"/>
        <v>4.87</v>
      </c>
      <c r="H35" s="25">
        <f t="shared" si="6"/>
        <v>1.8552380952380954</v>
      </c>
    </row>
    <row r="36" spans="1:8" ht="15.75">
      <c r="A36" s="23">
        <v>2244</v>
      </c>
      <c r="B36" s="32" t="s">
        <v>12</v>
      </c>
      <c r="C36" s="25">
        <v>34.17</v>
      </c>
      <c r="D36" s="25">
        <f t="shared" si="4"/>
        <v>48.62</v>
      </c>
      <c r="E36" s="25">
        <f t="shared" si="5"/>
        <v>83.01</v>
      </c>
      <c r="F36" s="25">
        <f t="shared" si="7"/>
        <v>83.01</v>
      </c>
      <c r="G36" s="25">
        <f t="shared" si="8"/>
        <v>83.01</v>
      </c>
      <c r="H36" s="25">
        <f>G36/210*80+80*0.14</f>
        <v>42.822857142857146</v>
      </c>
    </row>
    <row r="37" spans="1:8" ht="15.75" hidden="1">
      <c r="A37" s="23">
        <v>2247</v>
      </c>
      <c r="B37" s="45" t="s">
        <v>76</v>
      </c>
      <c r="C37" s="25">
        <v>0</v>
      </c>
      <c r="D37" s="25">
        <f t="shared" si="4"/>
        <v>0</v>
      </c>
      <c r="E37" s="25">
        <f t="shared" si="5"/>
        <v>0</v>
      </c>
      <c r="F37" s="25">
        <f t="shared" si="7"/>
        <v>0</v>
      </c>
      <c r="G37" s="25">
        <f t="shared" si="8"/>
        <v>0</v>
      </c>
      <c r="H37" s="25">
        <f t="shared" si="6"/>
        <v>0</v>
      </c>
    </row>
    <row r="38" spans="1:8" ht="15.75" hidden="1">
      <c r="A38" s="23">
        <v>2249</v>
      </c>
      <c r="B38" s="32" t="s">
        <v>13</v>
      </c>
      <c r="C38" s="25">
        <v>0</v>
      </c>
      <c r="D38" s="25">
        <f t="shared" si="4"/>
        <v>0</v>
      </c>
      <c r="E38" s="25">
        <f t="shared" si="5"/>
        <v>0</v>
      </c>
      <c r="F38" s="25">
        <f t="shared" si="7"/>
        <v>0</v>
      </c>
      <c r="G38" s="25">
        <f t="shared" si="8"/>
        <v>0</v>
      </c>
      <c r="H38" s="25">
        <f t="shared" si="6"/>
        <v>0</v>
      </c>
    </row>
    <row r="39" spans="1:8" ht="15.75">
      <c r="A39" s="23">
        <v>2251</v>
      </c>
      <c r="B39" s="32" t="s">
        <v>77</v>
      </c>
      <c r="C39" s="25">
        <v>2</v>
      </c>
      <c r="D39" s="25">
        <f t="shared" si="4"/>
        <v>2.85</v>
      </c>
      <c r="E39" s="25">
        <f t="shared" si="5"/>
        <v>4.87</v>
      </c>
      <c r="F39" s="25">
        <f t="shared" si="7"/>
        <v>4.87</v>
      </c>
      <c r="G39" s="25">
        <f t="shared" si="8"/>
        <v>4.87</v>
      </c>
      <c r="H39" s="25">
        <f t="shared" si="6"/>
        <v>1.8552380952380954</v>
      </c>
    </row>
    <row r="40" spans="1:8" ht="15.75" hidden="1">
      <c r="A40" s="23">
        <v>2252</v>
      </c>
      <c r="B40" s="32" t="s">
        <v>7</v>
      </c>
      <c r="C40" s="25"/>
      <c r="D40" s="25">
        <f t="shared" si="4"/>
        <v>0</v>
      </c>
      <c r="E40" s="25">
        <f t="shared" si="5"/>
        <v>0</v>
      </c>
      <c r="F40" s="25">
        <f t="shared" si="7"/>
        <v>0</v>
      </c>
      <c r="G40" s="25">
        <f t="shared" si="8"/>
        <v>0</v>
      </c>
      <c r="H40" s="25">
        <f t="shared" si="6"/>
        <v>0</v>
      </c>
    </row>
    <row r="41" spans="1:8" ht="15.75" hidden="1">
      <c r="A41" s="23">
        <v>2259</v>
      </c>
      <c r="B41" s="32" t="s">
        <v>8</v>
      </c>
      <c r="C41" s="25"/>
      <c r="D41" s="25">
        <f t="shared" si="4"/>
        <v>0</v>
      </c>
      <c r="E41" s="25">
        <f t="shared" si="5"/>
        <v>0</v>
      </c>
      <c r="F41" s="25">
        <f t="shared" si="7"/>
        <v>0</v>
      </c>
      <c r="G41" s="25">
        <f t="shared" si="8"/>
        <v>0</v>
      </c>
      <c r="H41" s="25">
        <f t="shared" si="6"/>
        <v>0</v>
      </c>
    </row>
    <row r="42" spans="1:8" ht="15.75" hidden="1">
      <c r="A42" s="23">
        <v>2261</v>
      </c>
      <c r="B42" s="32" t="s">
        <v>14</v>
      </c>
      <c r="C42" s="25">
        <v>0</v>
      </c>
      <c r="D42" s="25">
        <f t="shared" si="4"/>
        <v>0</v>
      </c>
      <c r="E42" s="25">
        <f t="shared" si="5"/>
        <v>0</v>
      </c>
      <c r="F42" s="25">
        <f t="shared" si="7"/>
        <v>0</v>
      </c>
      <c r="G42" s="25">
        <f t="shared" si="8"/>
        <v>0</v>
      </c>
      <c r="H42" s="25">
        <f t="shared" si="6"/>
        <v>0</v>
      </c>
    </row>
    <row r="43" spans="1:8" ht="15.75">
      <c r="A43" s="23">
        <v>2262</v>
      </c>
      <c r="B43" s="32" t="s">
        <v>15</v>
      </c>
      <c r="C43" s="25">
        <v>2</v>
      </c>
      <c r="D43" s="25">
        <f t="shared" si="4"/>
        <v>2.85</v>
      </c>
      <c r="E43" s="25">
        <f t="shared" si="5"/>
        <v>4.87</v>
      </c>
      <c r="F43" s="25">
        <f t="shared" si="7"/>
        <v>4.87</v>
      </c>
      <c r="G43" s="25">
        <f t="shared" si="8"/>
        <v>4.87</v>
      </c>
      <c r="H43" s="25">
        <f t="shared" si="6"/>
        <v>1.8552380952380954</v>
      </c>
    </row>
    <row r="44" spans="1:8" ht="15.75">
      <c r="A44" s="23">
        <v>2263</v>
      </c>
      <c r="B44" s="32" t="s">
        <v>16</v>
      </c>
      <c r="C44" s="25">
        <v>6</v>
      </c>
      <c r="D44" s="25">
        <f t="shared" si="4"/>
        <v>8.54</v>
      </c>
      <c r="E44" s="25">
        <f t="shared" si="5"/>
        <v>14.58</v>
      </c>
      <c r="F44" s="25">
        <f t="shared" si="7"/>
        <v>14.58</v>
      </c>
      <c r="G44" s="25">
        <f t="shared" si="8"/>
        <v>14.58</v>
      </c>
      <c r="H44" s="25">
        <f t="shared" si="6"/>
        <v>5.554285714285713</v>
      </c>
    </row>
    <row r="45" spans="1:8" ht="15.75" hidden="1">
      <c r="A45" s="23">
        <v>2264</v>
      </c>
      <c r="B45" s="32" t="s">
        <v>17</v>
      </c>
      <c r="C45" s="25">
        <v>0</v>
      </c>
      <c r="D45" s="25">
        <f t="shared" si="4"/>
        <v>0</v>
      </c>
      <c r="E45" s="25">
        <f t="shared" si="5"/>
        <v>0</v>
      </c>
      <c r="F45" s="25">
        <f t="shared" si="7"/>
        <v>0</v>
      </c>
      <c r="G45" s="25">
        <f t="shared" si="8"/>
        <v>0</v>
      </c>
      <c r="H45" s="25">
        <f t="shared" si="6"/>
        <v>0</v>
      </c>
    </row>
    <row r="46" spans="1:8" ht="15.75">
      <c r="A46" s="23">
        <v>2279</v>
      </c>
      <c r="B46" s="32" t="s">
        <v>18</v>
      </c>
      <c r="C46" s="25">
        <v>6</v>
      </c>
      <c r="D46" s="25">
        <f t="shared" si="4"/>
        <v>8.54</v>
      </c>
      <c r="E46" s="25">
        <f t="shared" si="5"/>
        <v>14.58</v>
      </c>
      <c r="F46" s="25">
        <f t="shared" si="7"/>
        <v>14.58</v>
      </c>
      <c r="G46" s="25">
        <f t="shared" si="8"/>
        <v>14.58</v>
      </c>
      <c r="H46" s="25">
        <f t="shared" si="6"/>
        <v>5.554285714285713</v>
      </c>
    </row>
    <row r="47" spans="1:8" ht="15.75" hidden="1">
      <c r="A47" s="23">
        <v>2311</v>
      </c>
      <c r="B47" s="32" t="s">
        <v>19</v>
      </c>
      <c r="C47" s="25">
        <v>0</v>
      </c>
      <c r="D47" s="25">
        <f t="shared" si="4"/>
        <v>0</v>
      </c>
      <c r="E47" s="25">
        <f t="shared" si="5"/>
        <v>0</v>
      </c>
      <c r="F47" s="25">
        <f t="shared" si="7"/>
        <v>0</v>
      </c>
      <c r="G47" s="25">
        <f t="shared" si="8"/>
        <v>0</v>
      </c>
      <c r="H47" s="25">
        <f t="shared" si="6"/>
        <v>0</v>
      </c>
    </row>
    <row r="48" spans="1:8" ht="15.75">
      <c r="A48" s="23">
        <v>2312</v>
      </c>
      <c r="B48" s="32" t="s">
        <v>20</v>
      </c>
      <c r="C48" s="25">
        <v>15</v>
      </c>
      <c r="D48" s="25">
        <f t="shared" si="4"/>
        <v>21.34</v>
      </c>
      <c r="E48" s="25">
        <f t="shared" si="5"/>
        <v>36.43</v>
      </c>
      <c r="F48" s="25">
        <f t="shared" si="7"/>
        <v>36.43</v>
      </c>
      <c r="G48" s="25">
        <f t="shared" si="8"/>
        <v>36.43</v>
      </c>
      <c r="H48" s="25">
        <f t="shared" si="6"/>
        <v>13.878095238095238</v>
      </c>
    </row>
    <row r="49" spans="1:8" ht="15.75">
      <c r="A49" s="23">
        <v>2321</v>
      </c>
      <c r="B49" s="32" t="s">
        <v>21</v>
      </c>
      <c r="C49" s="25">
        <v>2</v>
      </c>
      <c r="D49" s="25">
        <f t="shared" si="4"/>
        <v>2.85</v>
      </c>
      <c r="E49" s="25">
        <f t="shared" si="5"/>
        <v>4.87</v>
      </c>
      <c r="F49" s="25">
        <f t="shared" si="7"/>
        <v>4.87</v>
      </c>
      <c r="G49" s="25">
        <f t="shared" si="8"/>
        <v>4.87</v>
      </c>
      <c r="H49" s="25">
        <f t="shared" si="6"/>
        <v>1.8552380952380954</v>
      </c>
    </row>
    <row r="50" spans="1:8" ht="15.75">
      <c r="A50" s="23">
        <v>2322</v>
      </c>
      <c r="B50" s="32" t="s">
        <v>22</v>
      </c>
      <c r="C50" s="25">
        <v>2</v>
      </c>
      <c r="D50" s="25">
        <f t="shared" si="4"/>
        <v>2.85</v>
      </c>
      <c r="E50" s="25">
        <f t="shared" si="5"/>
        <v>4.87</v>
      </c>
      <c r="F50" s="25">
        <f t="shared" si="7"/>
        <v>4.87</v>
      </c>
      <c r="G50" s="25">
        <f t="shared" si="8"/>
        <v>4.87</v>
      </c>
      <c r="H50" s="25">
        <f t="shared" si="6"/>
        <v>1.8552380952380954</v>
      </c>
    </row>
    <row r="51" spans="1:8" ht="15.75" hidden="1">
      <c r="A51" s="23">
        <v>2341</v>
      </c>
      <c r="B51" s="32" t="s">
        <v>23</v>
      </c>
      <c r="C51" s="25">
        <v>0</v>
      </c>
      <c r="D51" s="25">
        <f t="shared" si="4"/>
        <v>0</v>
      </c>
      <c r="E51" s="25">
        <f t="shared" si="5"/>
        <v>0</v>
      </c>
      <c r="F51" s="25">
        <f t="shared" si="7"/>
        <v>0</v>
      </c>
      <c r="G51" s="25">
        <f t="shared" si="8"/>
        <v>0</v>
      </c>
      <c r="H51" s="25">
        <f t="shared" si="6"/>
        <v>0</v>
      </c>
    </row>
    <row r="52" spans="1:8" ht="15.75" hidden="1">
      <c r="A52" s="23">
        <v>2344</v>
      </c>
      <c r="B52" s="32" t="s">
        <v>24</v>
      </c>
      <c r="C52" s="25">
        <v>0</v>
      </c>
      <c r="D52" s="25">
        <f t="shared" si="4"/>
        <v>0</v>
      </c>
      <c r="E52" s="25">
        <f t="shared" si="5"/>
        <v>0</v>
      </c>
      <c r="F52" s="25">
        <f t="shared" si="7"/>
        <v>0</v>
      </c>
      <c r="G52" s="25">
        <f t="shared" si="8"/>
        <v>0</v>
      </c>
      <c r="H52" s="25">
        <f t="shared" si="6"/>
        <v>0</v>
      </c>
    </row>
    <row r="53" spans="1:8" ht="15.75">
      <c r="A53" s="23">
        <v>2350</v>
      </c>
      <c r="B53" s="32" t="s">
        <v>25</v>
      </c>
      <c r="C53" s="25">
        <v>7</v>
      </c>
      <c r="D53" s="25">
        <f t="shared" si="4"/>
        <v>9.96</v>
      </c>
      <c r="E53" s="25">
        <f t="shared" si="5"/>
        <v>17</v>
      </c>
      <c r="F53" s="25">
        <f t="shared" si="7"/>
        <v>17</v>
      </c>
      <c r="G53" s="25">
        <f t="shared" si="8"/>
        <v>17</v>
      </c>
      <c r="H53" s="25">
        <f t="shared" si="6"/>
        <v>6.476190476190476</v>
      </c>
    </row>
    <row r="54" spans="1:8" ht="15.75">
      <c r="A54" s="23">
        <v>2361</v>
      </c>
      <c r="B54" s="32" t="s">
        <v>26</v>
      </c>
      <c r="C54" s="25">
        <v>4</v>
      </c>
      <c r="D54" s="25">
        <f t="shared" si="4"/>
        <v>5.69</v>
      </c>
      <c r="E54" s="25">
        <f t="shared" si="5"/>
        <v>9.71</v>
      </c>
      <c r="F54" s="25">
        <f t="shared" si="7"/>
        <v>9.71</v>
      </c>
      <c r="G54" s="25">
        <f t="shared" si="8"/>
        <v>9.71</v>
      </c>
      <c r="H54" s="25">
        <f t="shared" si="6"/>
        <v>3.6990476190476196</v>
      </c>
    </row>
    <row r="55" spans="1:8" ht="15.75" hidden="1">
      <c r="A55" s="23">
        <v>2362</v>
      </c>
      <c r="B55" s="32" t="s">
        <v>27</v>
      </c>
      <c r="C55" s="25"/>
      <c r="D55" s="25">
        <f t="shared" si="4"/>
        <v>0</v>
      </c>
      <c r="E55" s="25">
        <f t="shared" si="5"/>
        <v>0</v>
      </c>
      <c r="F55" s="25">
        <f t="shared" si="7"/>
        <v>0</v>
      </c>
      <c r="G55" s="25">
        <f t="shared" si="8"/>
        <v>0</v>
      </c>
      <c r="H55" s="25">
        <f t="shared" si="6"/>
        <v>0</v>
      </c>
    </row>
    <row r="56" spans="1:8" ht="15.75" hidden="1">
      <c r="A56" s="23">
        <v>2363</v>
      </c>
      <c r="B56" s="32" t="s">
        <v>28</v>
      </c>
      <c r="C56" s="25"/>
      <c r="D56" s="25">
        <f t="shared" si="4"/>
        <v>0</v>
      </c>
      <c r="E56" s="25">
        <f t="shared" si="5"/>
        <v>0</v>
      </c>
      <c r="F56" s="25">
        <f t="shared" si="7"/>
        <v>0</v>
      </c>
      <c r="G56" s="25">
        <f t="shared" si="8"/>
        <v>0</v>
      </c>
      <c r="H56" s="25">
        <f t="shared" si="6"/>
        <v>0</v>
      </c>
    </row>
    <row r="57" spans="1:8" ht="15.75" hidden="1">
      <c r="A57" s="23">
        <v>2370</v>
      </c>
      <c r="B57" s="32" t="s">
        <v>29</v>
      </c>
      <c r="C57" s="25"/>
      <c r="D57" s="25">
        <f t="shared" si="4"/>
        <v>0</v>
      </c>
      <c r="E57" s="25">
        <f t="shared" si="5"/>
        <v>0</v>
      </c>
      <c r="F57" s="25">
        <f t="shared" si="7"/>
        <v>0</v>
      </c>
      <c r="G57" s="25">
        <f t="shared" si="8"/>
        <v>0</v>
      </c>
      <c r="H57" s="25">
        <f t="shared" si="6"/>
        <v>0</v>
      </c>
    </row>
    <row r="58" spans="1:8" ht="15.75" hidden="1">
      <c r="A58" s="23">
        <v>2400</v>
      </c>
      <c r="B58" s="32" t="s">
        <v>43</v>
      </c>
      <c r="C58" s="25">
        <v>0</v>
      </c>
      <c r="D58" s="25">
        <f t="shared" si="4"/>
        <v>0</v>
      </c>
      <c r="E58" s="25">
        <f t="shared" si="5"/>
        <v>0</v>
      </c>
      <c r="F58" s="25">
        <f t="shared" si="7"/>
        <v>0</v>
      </c>
      <c r="G58" s="25">
        <f t="shared" si="8"/>
        <v>0</v>
      </c>
      <c r="H58" s="25">
        <f t="shared" si="6"/>
        <v>0</v>
      </c>
    </row>
    <row r="59" spans="1:8" ht="15.75" hidden="1">
      <c r="A59" s="23">
        <v>2512</v>
      </c>
      <c r="B59" s="32" t="s">
        <v>30</v>
      </c>
      <c r="C59" s="25">
        <v>0</v>
      </c>
      <c r="D59" s="25">
        <f t="shared" si="4"/>
        <v>0</v>
      </c>
      <c r="E59" s="25">
        <f t="shared" si="5"/>
        <v>0</v>
      </c>
      <c r="F59" s="25">
        <f t="shared" si="7"/>
        <v>0</v>
      </c>
      <c r="G59" s="25">
        <f t="shared" si="8"/>
        <v>0</v>
      </c>
      <c r="H59" s="25">
        <f t="shared" si="6"/>
        <v>0</v>
      </c>
    </row>
    <row r="60" spans="1:8" ht="15.75">
      <c r="A60" s="23">
        <v>2513</v>
      </c>
      <c r="B60" s="32" t="s">
        <v>31</v>
      </c>
      <c r="C60" s="25">
        <v>4</v>
      </c>
      <c r="D60" s="25">
        <f t="shared" si="4"/>
        <v>5.69</v>
      </c>
      <c r="E60" s="25">
        <v>10.6</v>
      </c>
      <c r="F60" s="25">
        <v>11.5</v>
      </c>
      <c r="G60" s="25">
        <v>11.35</v>
      </c>
      <c r="H60" s="25">
        <f t="shared" si="6"/>
        <v>4.3238095238095235</v>
      </c>
    </row>
    <row r="61" spans="1:8" ht="15.75" hidden="1">
      <c r="A61" s="23">
        <v>2515</v>
      </c>
      <c r="B61" s="32" t="s">
        <v>78</v>
      </c>
      <c r="C61" s="25">
        <v>0</v>
      </c>
      <c r="D61" s="32"/>
      <c r="E61" s="25">
        <v>0</v>
      </c>
      <c r="F61" s="25">
        <f>E61/100*20</f>
        <v>0</v>
      </c>
      <c r="G61" s="25">
        <f aca="true" t="shared" si="9" ref="G61:G69">F61</f>
        <v>0</v>
      </c>
      <c r="H61" s="25">
        <f t="shared" si="6"/>
        <v>0</v>
      </c>
    </row>
    <row r="62" spans="1:8" ht="15.75" hidden="1">
      <c r="A62" s="23">
        <v>2519</v>
      </c>
      <c r="B62" s="32" t="s">
        <v>34</v>
      </c>
      <c r="C62" s="25">
        <v>0</v>
      </c>
      <c r="D62" s="32"/>
      <c r="E62" s="25">
        <v>0</v>
      </c>
      <c r="F62" s="25">
        <f>E62/100*20</f>
        <v>0</v>
      </c>
      <c r="G62" s="25">
        <f t="shared" si="9"/>
        <v>0</v>
      </c>
      <c r="H62" s="25">
        <f t="shared" si="6"/>
        <v>0</v>
      </c>
    </row>
    <row r="63" spans="1:8" ht="15.75" hidden="1">
      <c r="A63" s="23">
        <v>6240</v>
      </c>
      <c r="B63" s="32"/>
      <c r="C63" s="25"/>
      <c r="D63" s="32"/>
      <c r="E63" s="25"/>
      <c r="F63" s="25">
        <f>E63/200*50</f>
        <v>0</v>
      </c>
      <c r="G63" s="25">
        <f t="shared" si="9"/>
        <v>0</v>
      </c>
      <c r="H63" s="25">
        <f t="shared" si="6"/>
        <v>0</v>
      </c>
    </row>
    <row r="64" spans="1:8" ht="15.75" hidden="1">
      <c r="A64" s="23">
        <v>6290</v>
      </c>
      <c r="B64" s="32"/>
      <c r="C64" s="25"/>
      <c r="D64" s="32"/>
      <c r="E64" s="25"/>
      <c r="F64" s="25">
        <f>E64/200*50</f>
        <v>0</v>
      </c>
      <c r="G64" s="25">
        <f t="shared" si="9"/>
        <v>0</v>
      </c>
      <c r="H64" s="25">
        <f t="shared" si="6"/>
        <v>0</v>
      </c>
    </row>
    <row r="65" spans="1:8" ht="15.75" hidden="1">
      <c r="A65" s="23">
        <v>5121</v>
      </c>
      <c r="B65" s="32" t="s">
        <v>32</v>
      </c>
      <c r="C65" s="25">
        <v>0</v>
      </c>
      <c r="D65" s="32"/>
      <c r="E65" s="25">
        <v>0</v>
      </c>
      <c r="F65" s="25">
        <f>E65/200*50</f>
        <v>0</v>
      </c>
      <c r="G65" s="25">
        <f t="shared" si="9"/>
        <v>0</v>
      </c>
      <c r="H65" s="25">
        <f t="shared" si="6"/>
        <v>0</v>
      </c>
    </row>
    <row r="66" spans="1:8" ht="15.75" hidden="1">
      <c r="A66" s="23">
        <v>5232</v>
      </c>
      <c r="B66" s="32" t="s">
        <v>33</v>
      </c>
      <c r="C66" s="25">
        <v>0</v>
      </c>
      <c r="D66" s="32"/>
      <c r="E66" s="25">
        <v>0</v>
      </c>
      <c r="F66" s="25">
        <f>E66/830*50</f>
        <v>0</v>
      </c>
      <c r="G66" s="25">
        <f t="shared" si="9"/>
        <v>0</v>
      </c>
      <c r="H66" s="25">
        <f t="shared" si="6"/>
        <v>0</v>
      </c>
    </row>
    <row r="67" spans="1:8" ht="15.75" hidden="1">
      <c r="A67" s="23">
        <v>5238</v>
      </c>
      <c r="B67" s="32" t="s">
        <v>35</v>
      </c>
      <c r="C67" s="25">
        <v>0</v>
      </c>
      <c r="D67" s="32"/>
      <c r="E67" s="25">
        <v>0</v>
      </c>
      <c r="F67" s="25">
        <f>E67/830*50</f>
        <v>0</v>
      </c>
      <c r="G67" s="25">
        <f t="shared" si="9"/>
        <v>0</v>
      </c>
      <c r="H67" s="25">
        <f t="shared" si="6"/>
        <v>0</v>
      </c>
    </row>
    <row r="68" spans="1:8" ht="15.75" hidden="1">
      <c r="A68" s="23">
        <v>5240</v>
      </c>
      <c r="B68" s="32" t="s">
        <v>36</v>
      </c>
      <c r="C68" s="25">
        <v>0</v>
      </c>
      <c r="D68" s="32"/>
      <c r="E68" s="25">
        <v>0</v>
      </c>
      <c r="F68" s="25">
        <f>E68/830*50</f>
        <v>0</v>
      </c>
      <c r="G68" s="25">
        <f t="shared" si="9"/>
        <v>0</v>
      </c>
      <c r="H68" s="25">
        <f t="shared" si="6"/>
        <v>0</v>
      </c>
    </row>
    <row r="69" spans="1:8" ht="15.75" hidden="1">
      <c r="A69" s="23">
        <v>5250</v>
      </c>
      <c r="B69" s="32" t="s">
        <v>37</v>
      </c>
      <c r="C69" s="25"/>
      <c r="D69" s="32"/>
      <c r="E69" s="25"/>
      <c r="F69" s="25">
        <f>E69/830*50</f>
        <v>0</v>
      </c>
      <c r="G69" s="25">
        <f t="shared" si="9"/>
        <v>0</v>
      </c>
      <c r="H69" s="25">
        <f t="shared" si="6"/>
        <v>0</v>
      </c>
    </row>
    <row r="70" spans="1:8" ht="15.75">
      <c r="A70" s="23"/>
      <c r="B70" s="48" t="s">
        <v>79</v>
      </c>
      <c r="C70" s="28">
        <f aca="true" t="shared" si="10" ref="C70:H70">SUM(C26:C69)</f>
        <v>245.17000000000002</v>
      </c>
      <c r="D70" s="28">
        <f t="shared" si="10"/>
        <v>348.86</v>
      </c>
      <c r="E70" s="28">
        <f t="shared" si="10"/>
        <v>596.4900000000001</v>
      </c>
      <c r="F70" s="28">
        <f t="shared" si="10"/>
        <v>608.5400000000001</v>
      </c>
      <c r="G70" s="28">
        <f t="shared" si="10"/>
        <v>608.3900000000001</v>
      </c>
      <c r="H70" s="28">
        <f t="shared" si="10"/>
        <v>242.96761904761905</v>
      </c>
    </row>
    <row r="71" spans="1:8" ht="15.75">
      <c r="A71" s="29"/>
      <c r="B71" s="48" t="s">
        <v>80</v>
      </c>
      <c r="C71" s="28">
        <f aca="true" t="shared" si="11" ref="C71:H71">C70+C24</f>
        <v>708.48</v>
      </c>
      <c r="D71" s="28">
        <f t="shared" si="11"/>
        <v>1008.09</v>
      </c>
      <c r="E71" s="28">
        <f t="shared" si="11"/>
        <v>1722</v>
      </c>
      <c r="F71" s="28">
        <f t="shared" si="11"/>
        <v>1766.1</v>
      </c>
      <c r="G71" s="28">
        <f t="shared" si="11"/>
        <v>1995</v>
      </c>
      <c r="H71" s="28">
        <f t="shared" si="11"/>
        <v>804.0038095238097</v>
      </c>
    </row>
    <row r="72" spans="1:8" ht="15.75">
      <c r="A72" s="9"/>
      <c r="B72" s="14"/>
      <c r="C72" s="35"/>
      <c r="D72" s="35"/>
      <c r="E72" s="35"/>
      <c r="F72" s="35"/>
      <c r="G72" s="35"/>
      <c r="H72" s="35"/>
    </row>
    <row r="73" spans="1:8" ht="15.75">
      <c r="A73" s="212" t="s">
        <v>45</v>
      </c>
      <c r="B73" s="213"/>
      <c r="C73" s="36">
        <v>123</v>
      </c>
      <c r="D73" s="36">
        <v>123</v>
      </c>
      <c r="E73" s="42">
        <v>210</v>
      </c>
      <c r="F73" s="42">
        <v>210</v>
      </c>
      <c r="G73" s="42">
        <v>210</v>
      </c>
      <c r="H73" s="162">
        <v>80</v>
      </c>
    </row>
    <row r="74" spans="1:8" ht="15.75">
      <c r="A74" s="212" t="s">
        <v>91</v>
      </c>
      <c r="B74" s="213"/>
      <c r="C74" s="100">
        <f>C71/C73</f>
        <v>5.76</v>
      </c>
      <c r="D74" s="100">
        <f>ROUND(D71/D73,2)</f>
        <v>8.2</v>
      </c>
      <c r="E74" s="28">
        <f>ROUND(E71/E73,2)</f>
        <v>8.2</v>
      </c>
      <c r="F74" s="28">
        <f>ROUND(F71/F73,2)</f>
        <v>8.41</v>
      </c>
      <c r="G74" s="28">
        <f>ROUND(G71/G73,2)</f>
        <v>9.5</v>
      </c>
      <c r="H74" s="164">
        <f>ROUND(H71/H73,2)</f>
        <v>10.05</v>
      </c>
    </row>
    <row r="75" spans="1:8" ht="15.75">
      <c r="A75" s="14"/>
      <c r="B75" s="11"/>
      <c r="C75" s="11"/>
      <c r="D75" s="11"/>
      <c r="E75" s="11"/>
      <c r="F75" s="11"/>
      <c r="G75" s="11"/>
      <c r="H75" s="11"/>
    </row>
    <row r="76" spans="1:8" ht="15.75">
      <c r="A76" s="214" t="s">
        <v>46</v>
      </c>
      <c r="B76" s="215"/>
      <c r="C76" s="72"/>
      <c r="D76" s="72"/>
      <c r="E76" s="37"/>
      <c r="F76" s="37"/>
      <c r="G76" s="37"/>
      <c r="H76" s="37"/>
    </row>
    <row r="77" spans="1:8" ht="15.75">
      <c r="A77" s="214" t="s">
        <v>56</v>
      </c>
      <c r="B77" s="215"/>
      <c r="C77" s="72"/>
      <c r="D77" s="72"/>
      <c r="E77" s="37"/>
      <c r="F77" s="37"/>
      <c r="G77" s="37"/>
      <c r="H77" s="37"/>
    </row>
    <row r="78" spans="1:8" ht="15.75">
      <c r="A78" s="38"/>
      <c r="B78" s="38"/>
      <c r="C78" s="38"/>
      <c r="D78" s="38"/>
      <c r="E78" s="38"/>
      <c r="F78" s="38"/>
      <c r="G78" s="38"/>
      <c r="H78" s="38"/>
    </row>
    <row r="79" spans="1:8" ht="15.75">
      <c r="A79" s="38" t="s">
        <v>47</v>
      </c>
      <c r="B79" s="38"/>
      <c r="C79" s="38"/>
      <c r="D79" s="38"/>
      <c r="E79" s="38"/>
      <c r="F79" s="38"/>
      <c r="G79" s="38"/>
      <c r="H79" s="38"/>
    </row>
    <row r="80" spans="1:8" ht="15.75">
      <c r="A80" s="38"/>
      <c r="B80" s="38"/>
      <c r="C80" s="38"/>
      <c r="D80" s="38"/>
      <c r="E80" s="38"/>
      <c r="F80" s="38"/>
      <c r="G80" s="38"/>
      <c r="H80" s="38"/>
    </row>
    <row r="81" spans="1:8" ht="15.75">
      <c r="A81" s="38"/>
      <c r="B81" s="39"/>
      <c r="C81" s="39"/>
      <c r="D81" s="39"/>
      <c r="E81" s="39"/>
      <c r="F81" s="38"/>
      <c r="G81" s="38"/>
      <c r="H81" s="38"/>
    </row>
    <row r="82" spans="1:8" ht="15.75">
      <c r="A82" s="38"/>
      <c r="B82" s="101"/>
      <c r="C82" s="101"/>
      <c r="D82" s="101"/>
      <c r="E82" s="39"/>
      <c r="F82" s="38"/>
      <c r="G82" s="38"/>
      <c r="H82" s="38"/>
    </row>
    <row r="83" spans="2:5" ht="15">
      <c r="B83" s="232"/>
      <c r="C83" s="232"/>
      <c r="D83" s="232"/>
      <c r="E83" s="232"/>
    </row>
    <row r="84" spans="2:5" ht="15">
      <c r="B84" s="2"/>
      <c r="C84" s="2"/>
      <c r="D84" s="2"/>
      <c r="E84" s="2"/>
    </row>
  </sheetData>
  <sheetProtection/>
  <mergeCells count="12">
    <mergeCell ref="B83:E83"/>
    <mergeCell ref="B7:E7"/>
    <mergeCell ref="B8:E8"/>
    <mergeCell ref="B9:E9"/>
    <mergeCell ref="A73:B73"/>
    <mergeCell ref="A74:B74"/>
    <mergeCell ref="A76:B76"/>
    <mergeCell ref="A3:H3"/>
    <mergeCell ref="B4:E4"/>
    <mergeCell ref="A5:E5"/>
    <mergeCell ref="A6:E6"/>
    <mergeCell ref="A77:B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view="pageLayout" workbookViewId="0" topLeftCell="A1">
      <selection activeCell="A1" sqref="A1:IV3"/>
    </sheetView>
  </sheetViews>
  <sheetFormatPr defaultColWidth="9.140625" defaultRowHeight="12.75"/>
  <cols>
    <col min="1" max="1" width="15.7109375" style="7" customWidth="1"/>
    <col min="2" max="2" width="95.57421875" style="7" customWidth="1"/>
    <col min="3" max="3" width="19.00390625" style="7" hidden="1" customWidth="1"/>
    <col min="4" max="6" width="24.140625" style="15" hidden="1" customWidth="1"/>
    <col min="7" max="7" width="32.8515625" style="15" customWidth="1"/>
    <col min="8" max="8" width="28.7109375" style="0" customWidth="1"/>
  </cols>
  <sheetData>
    <row r="1" spans="1:7" ht="15.75">
      <c r="A1" s="15"/>
      <c r="B1" s="13"/>
      <c r="C1" s="77"/>
      <c r="G1" s="13"/>
    </row>
    <row r="2" spans="1:7" ht="15.75">
      <c r="A2" s="15"/>
      <c r="B2" s="12"/>
      <c r="C2" s="76"/>
      <c r="D2" s="76"/>
      <c r="E2" s="76"/>
      <c r="F2" s="76"/>
      <c r="G2" s="9"/>
    </row>
    <row r="3" spans="1:7" ht="15.75">
      <c r="A3" s="15"/>
      <c r="B3" s="15"/>
      <c r="C3" s="77"/>
      <c r="D3" s="14"/>
      <c r="E3" s="14"/>
      <c r="F3" s="14"/>
      <c r="G3" s="14"/>
    </row>
    <row r="4" spans="1:7" ht="15.75">
      <c r="A4" s="208" t="s">
        <v>6</v>
      </c>
      <c r="B4" s="208"/>
      <c r="C4" s="208"/>
      <c r="D4" s="208"/>
      <c r="E4" s="208"/>
      <c r="F4" s="208"/>
      <c r="G4" s="208"/>
    </row>
    <row r="5" spans="1:7" ht="15.75">
      <c r="A5" s="15"/>
      <c r="B5" s="209"/>
      <c r="C5" s="209"/>
      <c r="D5" s="14"/>
      <c r="E5" s="14"/>
      <c r="F5" s="14"/>
      <c r="G5" s="14"/>
    </row>
    <row r="6" spans="1:7" ht="15.75">
      <c r="A6" s="195" t="s">
        <v>1</v>
      </c>
      <c r="B6" s="195"/>
      <c r="C6" s="195"/>
      <c r="D6" s="14"/>
      <c r="E6" s="14"/>
      <c r="F6" s="14"/>
      <c r="G6" s="14"/>
    </row>
    <row r="7" spans="1:7" ht="15.75">
      <c r="A7" s="195" t="s">
        <v>0</v>
      </c>
      <c r="B7" s="195"/>
      <c r="C7" s="195"/>
      <c r="D7" s="14"/>
      <c r="E7" s="14"/>
      <c r="F7" s="14"/>
      <c r="G7" s="14"/>
    </row>
    <row r="8" spans="1:7" ht="15.75">
      <c r="A8" s="8"/>
      <c r="B8" s="195" t="s">
        <v>44</v>
      </c>
      <c r="C8" s="195"/>
      <c r="D8" s="14"/>
      <c r="E8" s="14"/>
      <c r="F8" s="14"/>
      <c r="G8" s="14"/>
    </row>
    <row r="9" spans="1:7" ht="15.75">
      <c r="A9" s="8"/>
      <c r="B9" s="195" t="s">
        <v>57</v>
      </c>
      <c r="C9" s="195"/>
      <c r="D9" s="14"/>
      <c r="E9" s="14"/>
      <c r="F9" s="14"/>
      <c r="G9" s="14"/>
    </row>
    <row r="10" spans="1:7" ht="15.75">
      <c r="A10" s="8"/>
      <c r="B10" s="195" t="s">
        <v>81</v>
      </c>
      <c r="C10" s="195"/>
      <c r="D10" s="14"/>
      <c r="E10" s="14"/>
      <c r="F10" s="14"/>
      <c r="G10" s="14"/>
    </row>
    <row r="11" spans="1:7" ht="15.75">
      <c r="A11" s="8"/>
      <c r="B11" s="195" t="s">
        <v>82</v>
      </c>
      <c r="C11" s="195"/>
      <c r="D11" s="14"/>
      <c r="E11" s="14"/>
      <c r="F11" s="14"/>
      <c r="G11" s="14"/>
    </row>
    <row r="12" spans="1:7" ht="15.75">
      <c r="A12" s="8" t="s">
        <v>2</v>
      </c>
      <c r="B12" s="8" t="s">
        <v>205</v>
      </c>
      <c r="C12" s="8"/>
      <c r="D12" s="14"/>
      <c r="E12" s="14"/>
      <c r="F12" s="14"/>
      <c r="G12" s="14"/>
    </row>
    <row r="13" spans="1:7" ht="15.75" hidden="1">
      <c r="A13" s="15"/>
      <c r="B13" s="16"/>
      <c r="C13" s="77"/>
      <c r="D13" s="14"/>
      <c r="E13" s="14"/>
      <c r="F13" s="14"/>
      <c r="G13" s="14"/>
    </row>
    <row r="14" spans="1:7" ht="47.25">
      <c r="A14" s="59" t="s">
        <v>3</v>
      </c>
      <c r="B14" s="59" t="s">
        <v>4</v>
      </c>
      <c r="C14" s="17"/>
      <c r="D14" s="17"/>
      <c r="E14" s="17"/>
      <c r="F14" s="17"/>
      <c r="G14" s="59" t="s">
        <v>5</v>
      </c>
    </row>
    <row r="15" spans="1:7" ht="15.75">
      <c r="A15" s="18">
        <v>1</v>
      </c>
      <c r="B15" s="19">
        <v>2</v>
      </c>
      <c r="C15" s="18">
        <v>3</v>
      </c>
      <c r="D15" s="19">
        <v>3</v>
      </c>
      <c r="E15" s="19"/>
      <c r="F15" s="19"/>
      <c r="G15" s="19">
        <v>3</v>
      </c>
    </row>
    <row r="16" spans="1:7" ht="15.75">
      <c r="A16" s="18"/>
      <c r="B16" s="21" t="s">
        <v>71</v>
      </c>
      <c r="C16" s="79"/>
      <c r="D16" s="22"/>
      <c r="E16" s="22"/>
      <c r="F16" s="22"/>
      <c r="G16" s="22"/>
    </row>
    <row r="17" spans="1:7" ht="15.75">
      <c r="A17" s="23">
        <v>1100</v>
      </c>
      <c r="B17" s="24" t="s">
        <v>72</v>
      </c>
      <c r="C17" s="80">
        <v>9825.75</v>
      </c>
      <c r="D17" s="25">
        <f>C17/2405*30</f>
        <v>122.56652806652808</v>
      </c>
      <c r="E17" s="68">
        <f>ROUND(D17/0.702804,2)</f>
        <v>174.4</v>
      </c>
      <c r="F17" s="68">
        <v>221.49</v>
      </c>
      <c r="G17" s="25">
        <f>F17/30*10+10*1.8</f>
        <v>91.83</v>
      </c>
    </row>
    <row r="18" spans="1:7" ht="15.75" customHeight="1">
      <c r="A18" s="23">
        <v>1200</v>
      </c>
      <c r="B18" s="26" t="s">
        <v>73</v>
      </c>
      <c r="C18" s="81">
        <v>2367.02</v>
      </c>
      <c r="D18" s="25">
        <f>C18/2405*30</f>
        <v>29.526237006237004</v>
      </c>
      <c r="E18" s="68">
        <f>ROUND(D18/0.702804,2)</f>
        <v>42.01</v>
      </c>
      <c r="F18" s="68">
        <v>53.36</v>
      </c>
      <c r="G18" s="25">
        <f>F18/30*10+10*0.43</f>
        <v>22.086666666666666</v>
      </c>
    </row>
    <row r="19" spans="1:7" ht="15.75">
      <c r="A19" s="31">
        <v>2341</v>
      </c>
      <c r="B19" s="26" t="s">
        <v>23</v>
      </c>
      <c r="C19" s="80">
        <v>34.53</v>
      </c>
      <c r="D19" s="25">
        <f>C19/2405*30</f>
        <v>0.43072765072765073</v>
      </c>
      <c r="E19" s="68">
        <f>ROUND(D19/0.702804,2)</f>
        <v>0.61</v>
      </c>
      <c r="F19" s="68">
        <f>E19</f>
        <v>0.61</v>
      </c>
      <c r="G19" s="25">
        <f>F19/30*10</f>
        <v>0.2033333333333333</v>
      </c>
    </row>
    <row r="20" spans="1:7" ht="15.75" hidden="1">
      <c r="A20" s="23">
        <v>2350</v>
      </c>
      <c r="B20" s="26" t="s">
        <v>25</v>
      </c>
      <c r="C20" s="93"/>
      <c r="D20" s="25">
        <f>C20/2550*20</f>
        <v>0</v>
      </c>
      <c r="E20" s="68">
        <f>ROUND(D20/0.702804,2)</f>
        <v>0</v>
      </c>
      <c r="F20" s="68">
        <f>E20</f>
        <v>0</v>
      </c>
      <c r="G20" s="25">
        <f>F20/30*10</f>
        <v>0</v>
      </c>
    </row>
    <row r="21" spans="1:7" ht="15.75" hidden="1">
      <c r="A21" s="23"/>
      <c r="B21" s="24"/>
      <c r="C21" s="80"/>
      <c r="D21" s="25">
        <f>C21/2550*20</f>
        <v>0</v>
      </c>
      <c r="E21" s="68">
        <f>ROUND(D21/0.702804,2)</f>
        <v>0</v>
      </c>
      <c r="F21" s="68">
        <f>E21</f>
        <v>0</v>
      </c>
      <c r="G21" s="25">
        <f>F21/30*10</f>
        <v>0</v>
      </c>
    </row>
    <row r="22" spans="1:7" ht="15.75">
      <c r="A22" s="23"/>
      <c r="B22" s="27" t="s">
        <v>74</v>
      </c>
      <c r="C22" s="82">
        <f>SUM(C17:C21)</f>
        <v>12227.300000000001</v>
      </c>
      <c r="D22" s="28">
        <f>SUM(D17:D21)</f>
        <v>152.52349272349272</v>
      </c>
      <c r="E22" s="28">
        <f>SUM(E17:E21)</f>
        <v>217.02</v>
      </c>
      <c r="F22" s="28">
        <f>SUM(F17:F21)</f>
        <v>275.46000000000004</v>
      </c>
      <c r="G22" s="28">
        <f>SUM(G17:G21)</f>
        <v>114.11999999999999</v>
      </c>
    </row>
    <row r="23" spans="1:7" ht="15.75">
      <c r="A23" s="29"/>
      <c r="B23" s="24" t="s">
        <v>75</v>
      </c>
      <c r="C23" s="80"/>
      <c r="D23" s="47"/>
      <c r="E23" s="47"/>
      <c r="F23" s="47"/>
      <c r="G23" s="47"/>
    </row>
    <row r="24" spans="1:7" ht="15.75">
      <c r="A24" s="23">
        <v>1100</v>
      </c>
      <c r="B24" s="24" t="s">
        <v>72</v>
      </c>
      <c r="C24" s="80">
        <v>2719.8</v>
      </c>
      <c r="D24" s="25">
        <f aca="true" t="shared" si="0" ref="D24:D66">C24/2405*30</f>
        <v>33.926819126819126</v>
      </c>
      <c r="E24" s="68">
        <f aca="true" t="shared" si="1" ref="E24:E67">ROUND(D24/0.702804,2)</f>
        <v>48.27</v>
      </c>
      <c r="F24" s="68">
        <f aca="true" t="shared" si="2" ref="F24:F66">E24</f>
        <v>48.27</v>
      </c>
      <c r="G24" s="25">
        <f aca="true" t="shared" si="3" ref="G24:G66">F24/30*10</f>
        <v>16.090000000000003</v>
      </c>
    </row>
    <row r="25" spans="1:7" ht="15.75" customHeight="1">
      <c r="A25" s="23">
        <v>1200</v>
      </c>
      <c r="B25" s="26" t="s">
        <v>73</v>
      </c>
      <c r="C25" s="81">
        <v>655.2</v>
      </c>
      <c r="D25" s="25">
        <f t="shared" si="0"/>
        <v>8.172972972972973</v>
      </c>
      <c r="E25" s="68">
        <f t="shared" si="1"/>
        <v>11.63</v>
      </c>
      <c r="F25" s="68">
        <f t="shared" si="2"/>
        <v>11.63</v>
      </c>
      <c r="G25" s="25">
        <f t="shared" si="3"/>
        <v>3.876666666666667</v>
      </c>
    </row>
    <row r="26" spans="1:7" ht="15.75" customHeight="1" hidden="1">
      <c r="A26" s="23">
        <v>2100</v>
      </c>
      <c r="B26" s="30" t="s">
        <v>42</v>
      </c>
      <c r="C26" s="80"/>
      <c r="D26" s="25">
        <f t="shared" si="0"/>
        <v>0</v>
      </c>
      <c r="E26" s="68">
        <f t="shared" si="1"/>
        <v>0</v>
      </c>
      <c r="F26" s="68">
        <f t="shared" si="2"/>
        <v>0</v>
      </c>
      <c r="G26" s="25">
        <f t="shared" si="3"/>
        <v>0</v>
      </c>
    </row>
    <row r="27" spans="1:7" ht="15.75">
      <c r="A27" s="31">
        <v>2210</v>
      </c>
      <c r="B27" s="26" t="s">
        <v>38</v>
      </c>
      <c r="C27" s="80">
        <v>12</v>
      </c>
      <c r="D27" s="25">
        <f t="shared" si="0"/>
        <v>0.1496881496881497</v>
      </c>
      <c r="E27" s="68">
        <f t="shared" si="1"/>
        <v>0.21</v>
      </c>
      <c r="F27" s="68">
        <f t="shared" si="2"/>
        <v>0.21</v>
      </c>
      <c r="G27" s="25">
        <f t="shared" si="3"/>
        <v>0.07</v>
      </c>
    </row>
    <row r="28" spans="1:7" ht="15.75">
      <c r="A28" s="23">
        <v>2222</v>
      </c>
      <c r="B28" s="26" t="s">
        <v>39</v>
      </c>
      <c r="C28" s="80">
        <v>55</v>
      </c>
      <c r="D28" s="25">
        <f t="shared" si="0"/>
        <v>0.6860706860706861</v>
      </c>
      <c r="E28" s="68">
        <f t="shared" si="1"/>
        <v>0.98</v>
      </c>
      <c r="F28" s="68">
        <f t="shared" si="2"/>
        <v>0.98</v>
      </c>
      <c r="G28" s="25">
        <f t="shared" si="3"/>
        <v>0.32666666666666666</v>
      </c>
    </row>
    <row r="29" spans="1:7" ht="15.75">
      <c r="A29" s="23">
        <v>2223</v>
      </c>
      <c r="B29" s="26" t="s">
        <v>40</v>
      </c>
      <c r="C29" s="80">
        <v>32</v>
      </c>
      <c r="D29" s="25">
        <f t="shared" si="0"/>
        <v>0.3991683991683992</v>
      </c>
      <c r="E29" s="68">
        <f t="shared" si="1"/>
        <v>0.57</v>
      </c>
      <c r="F29" s="68">
        <f t="shared" si="2"/>
        <v>0.57</v>
      </c>
      <c r="G29" s="25">
        <f t="shared" si="3"/>
        <v>0.19</v>
      </c>
    </row>
    <row r="30" spans="1:7" ht="15.75">
      <c r="A30" s="23">
        <v>2230</v>
      </c>
      <c r="B30" s="26" t="s">
        <v>41</v>
      </c>
      <c r="C30" s="80">
        <v>9</v>
      </c>
      <c r="D30" s="25">
        <f t="shared" si="0"/>
        <v>0.11226611226611227</v>
      </c>
      <c r="E30" s="68">
        <f t="shared" si="1"/>
        <v>0.16</v>
      </c>
      <c r="F30" s="68">
        <f t="shared" si="2"/>
        <v>0.16</v>
      </c>
      <c r="G30" s="25">
        <f t="shared" si="3"/>
        <v>0.05333333333333333</v>
      </c>
    </row>
    <row r="31" spans="1:7" ht="15.75" hidden="1">
      <c r="A31" s="23">
        <v>2241</v>
      </c>
      <c r="B31" s="26" t="s">
        <v>9</v>
      </c>
      <c r="C31" s="80"/>
      <c r="D31" s="25">
        <f t="shared" si="0"/>
        <v>0</v>
      </c>
      <c r="E31" s="68">
        <f t="shared" si="1"/>
        <v>0</v>
      </c>
      <c r="F31" s="68">
        <f t="shared" si="2"/>
        <v>0</v>
      </c>
      <c r="G31" s="25">
        <f t="shared" si="3"/>
        <v>0</v>
      </c>
    </row>
    <row r="32" spans="1:7" ht="15.75">
      <c r="A32" s="23">
        <v>2242</v>
      </c>
      <c r="B32" s="26" t="s">
        <v>10</v>
      </c>
      <c r="C32" s="80">
        <v>15</v>
      </c>
      <c r="D32" s="25">
        <f t="shared" si="0"/>
        <v>0.18711018711018712</v>
      </c>
      <c r="E32" s="68">
        <f t="shared" si="1"/>
        <v>0.27</v>
      </c>
      <c r="F32" s="68">
        <f t="shared" si="2"/>
        <v>0.27</v>
      </c>
      <c r="G32" s="25">
        <f t="shared" si="3"/>
        <v>0.09000000000000001</v>
      </c>
    </row>
    <row r="33" spans="1:7" ht="15.75">
      <c r="A33" s="23">
        <v>2243</v>
      </c>
      <c r="B33" s="26" t="s">
        <v>11</v>
      </c>
      <c r="C33" s="80">
        <v>52</v>
      </c>
      <c r="D33" s="25">
        <f t="shared" si="0"/>
        <v>0.6486486486486487</v>
      </c>
      <c r="E33" s="68">
        <f t="shared" si="1"/>
        <v>0.92</v>
      </c>
      <c r="F33" s="68">
        <f t="shared" si="2"/>
        <v>0.92</v>
      </c>
      <c r="G33" s="25">
        <f t="shared" si="3"/>
        <v>0.3066666666666667</v>
      </c>
    </row>
    <row r="34" spans="1:7" ht="15.75">
      <c r="A34" s="23">
        <v>2244</v>
      </c>
      <c r="B34" s="26" t="s">
        <v>12</v>
      </c>
      <c r="C34" s="80">
        <v>762.4</v>
      </c>
      <c r="D34" s="25">
        <f t="shared" si="0"/>
        <v>9.51018711018711</v>
      </c>
      <c r="E34" s="68">
        <f t="shared" si="1"/>
        <v>13.53</v>
      </c>
      <c r="F34" s="68">
        <f t="shared" si="2"/>
        <v>13.53</v>
      </c>
      <c r="G34" s="25">
        <f>F34/30*10+10*0.32</f>
        <v>7.71</v>
      </c>
    </row>
    <row r="35" spans="1:7" ht="15.75">
      <c r="A35" s="23">
        <v>2247</v>
      </c>
      <c r="B35" s="21" t="s">
        <v>76</v>
      </c>
      <c r="C35" s="80">
        <v>5</v>
      </c>
      <c r="D35" s="25">
        <f t="shared" si="0"/>
        <v>0.062370062370062374</v>
      </c>
      <c r="E35" s="68">
        <f t="shared" si="1"/>
        <v>0.09</v>
      </c>
      <c r="F35" s="68">
        <f t="shared" si="2"/>
        <v>0.09</v>
      </c>
      <c r="G35" s="25">
        <f t="shared" si="3"/>
        <v>0.03</v>
      </c>
    </row>
    <row r="36" spans="1:7" ht="15.75">
      <c r="A36" s="23">
        <v>2249</v>
      </c>
      <c r="B36" s="26" t="s">
        <v>13</v>
      </c>
      <c r="C36" s="80">
        <v>19</v>
      </c>
      <c r="D36" s="25">
        <f t="shared" si="0"/>
        <v>0.23700623700623702</v>
      </c>
      <c r="E36" s="68">
        <f t="shared" si="1"/>
        <v>0.34</v>
      </c>
      <c r="F36" s="68">
        <f t="shared" si="2"/>
        <v>0.34</v>
      </c>
      <c r="G36" s="25">
        <f t="shared" si="3"/>
        <v>0.11333333333333334</v>
      </c>
    </row>
    <row r="37" spans="1:7" ht="15.75">
      <c r="A37" s="23">
        <v>2251</v>
      </c>
      <c r="B37" s="26" t="s">
        <v>77</v>
      </c>
      <c r="C37" s="80">
        <v>57</v>
      </c>
      <c r="D37" s="25">
        <f t="shared" si="0"/>
        <v>0.7110187110187111</v>
      </c>
      <c r="E37" s="68">
        <f t="shared" si="1"/>
        <v>1.01</v>
      </c>
      <c r="F37" s="68">
        <f t="shared" si="2"/>
        <v>1.01</v>
      </c>
      <c r="G37" s="25">
        <f t="shared" si="3"/>
        <v>0.33666666666666667</v>
      </c>
    </row>
    <row r="38" spans="1:7" ht="15.75" hidden="1">
      <c r="A38" s="23">
        <v>2252</v>
      </c>
      <c r="B38" s="26" t="s">
        <v>7</v>
      </c>
      <c r="C38" s="80"/>
      <c r="D38" s="25">
        <f t="shared" si="0"/>
        <v>0</v>
      </c>
      <c r="E38" s="68">
        <f t="shared" si="1"/>
        <v>0</v>
      </c>
      <c r="F38" s="68">
        <f t="shared" si="2"/>
        <v>0</v>
      </c>
      <c r="G38" s="25">
        <f t="shared" si="3"/>
        <v>0</v>
      </c>
    </row>
    <row r="39" spans="1:7" ht="15.75" hidden="1">
      <c r="A39" s="23">
        <v>2259</v>
      </c>
      <c r="B39" s="26" t="s">
        <v>8</v>
      </c>
      <c r="C39" s="80"/>
      <c r="D39" s="25">
        <f t="shared" si="0"/>
        <v>0</v>
      </c>
      <c r="E39" s="68">
        <f t="shared" si="1"/>
        <v>0</v>
      </c>
      <c r="F39" s="68">
        <f t="shared" si="2"/>
        <v>0</v>
      </c>
      <c r="G39" s="25">
        <f t="shared" si="3"/>
        <v>0</v>
      </c>
    </row>
    <row r="40" spans="1:7" ht="15.75">
      <c r="A40" s="23">
        <v>2261</v>
      </c>
      <c r="B40" s="26" t="s">
        <v>14</v>
      </c>
      <c r="C40" s="80">
        <v>10</v>
      </c>
      <c r="D40" s="25">
        <f t="shared" si="0"/>
        <v>0.12474012474012475</v>
      </c>
      <c r="E40" s="68">
        <f t="shared" si="1"/>
        <v>0.18</v>
      </c>
      <c r="F40" s="68">
        <f t="shared" si="2"/>
        <v>0.18</v>
      </c>
      <c r="G40" s="25">
        <f t="shared" si="3"/>
        <v>0.06</v>
      </c>
    </row>
    <row r="41" spans="1:7" ht="15.75">
      <c r="A41" s="23">
        <v>2262</v>
      </c>
      <c r="B41" s="26" t="s">
        <v>15</v>
      </c>
      <c r="C41" s="80">
        <v>45</v>
      </c>
      <c r="D41" s="25">
        <f t="shared" si="0"/>
        <v>0.5613305613305614</v>
      </c>
      <c r="E41" s="68">
        <f t="shared" si="1"/>
        <v>0.8</v>
      </c>
      <c r="F41" s="68">
        <f t="shared" si="2"/>
        <v>0.8</v>
      </c>
      <c r="G41" s="25">
        <f t="shared" si="3"/>
        <v>0.26666666666666666</v>
      </c>
    </row>
    <row r="42" spans="1:7" ht="15.75">
      <c r="A42" s="23">
        <v>2263</v>
      </c>
      <c r="B42" s="26" t="s">
        <v>16</v>
      </c>
      <c r="C42" s="80">
        <v>167</v>
      </c>
      <c r="D42" s="25">
        <f t="shared" si="0"/>
        <v>2.083160083160083</v>
      </c>
      <c r="E42" s="68">
        <f t="shared" si="1"/>
        <v>2.96</v>
      </c>
      <c r="F42" s="68">
        <f t="shared" si="2"/>
        <v>2.96</v>
      </c>
      <c r="G42" s="25">
        <f t="shared" si="3"/>
        <v>0.9866666666666667</v>
      </c>
    </row>
    <row r="43" spans="1:7" ht="15.75">
      <c r="A43" s="23">
        <v>2264</v>
      </c>
      <c r="B43" s="26" t="s">
        <v>17</v>
      </c>
      <c r="C43" s="80">
        <v>1</v>
      </c>
      <c r="D43" s="25">
        <f t="shared" si="0"/>
        <v>0.012474012474012475</v>
      </c>
      <c r="E43" s="68">
        <f t="shared" si="1"/>
        <v>0.02</v>
      </c>
      <c r="F43" s="68">
        <f t="shared" si="2"/>
        <v>0.02</v>
      </c>
      <c r="G43" s="25">
        <f t="shared" si="3"/>
        <v>0.006666666666666666</v>
      </c>
    </row>
    <row r="44" spans="1:7" ht="15.75">
      <c r="A44" s="23">
        <v>2279</v>
      </c>
      <c r="B44" s="26" t="s">
        <v>18</v>
      </c>
      <c r="C44" s="80">
        <v>189</v>
      </c>
      <c r="D44" s="25">
        <f t="shared" si="0"/>
        <v>2.357588357588358</v>
      </c>
      <c r="E44" s="68">
        <f t="shared" si="1"/>
        <v>3.35</v>
      </c>
      <c r="F44" s="68">
        <f t="shared" si="2"/>
        <v>3.35</v>
      </c>
      <c r="G44" s="25">
        <f t="shared" si="3"/>
        <v>1.1166666666666667</v>
      </c>
    </row>
    <row r="45" spans="1:7" ht="15.75">
      <c r="A45" s="23">
        <v>2311</v>
      </c>
      <c r="B45" s="26" t="s">
        <v>19</v>
      </c>
      <c r="C45" s="80">
        <v>17</v>
      </c>
      <c r="D45" s="25">
        <f t="shared" si="0"/>
        <v>0.21205821205821207</v>
      </c>
      <c r="E45" s="68">
        <f t="shared" si="1"/>
        <v>0.3</v>
      </c>
      <c r="F45" s="68">
        <f t="shared" si="2"/>
        <v>0.3</v>
      </c>
      <c r="G45" s="25">
        <f t="shared" si="3"/>
        <v>0.1</v>
      </c>
    </row>
    <row r="46" spans="1:7" ht="15.75">
      <c r="A46" s="23">
        <v>2312</v>
      </c>
      <c r="B46" s="26" t="s">
        <v>20</v>
      </c>
      <c r="C46" s="80">
        <v>33</v>
      </c>
      <c r="D46" s="25">
        <f t="shared" si="0"/>
        <v>0.41164241164241167</v>
      </c>
      <c r="E46" s="68">
        <f t="shared" si="1"/>
        <v>0.59</v>
      </c>
      <c r="F46" s="68">
        <f t="shared" si="2"/>
        <v>0.59</v>
      </c>
      <c r="G46" s="25">
        <f t="shared" si="3"/>
        <v>0.19666666666666666</v>
      </c>
    </row>
    <row r="47" spans="1:7" ht="15.75">
      <c r="A47" s="23">
        <v>2321</v>
      </c>
      <c r="B47" s="26" t="s">
        <v>21</v>
      </c>
      <c r="C47" s="80">
        <v>102</v>
      </c>
      <c r="D47" s="25">
        <f t="shared" si="0"/>
        <v>1.2723492723492724</v>
      </c>
      <c r="E47" s="68">
        <f t="shared" si="1"/>
        <v>1.81</v>
      </c>
      <c r="F47" s="68">
        <f t="shared" si="2"/>
        <v>1.81</v>
      </c>
      <c r="G47" s="25">
        <f t="shared" si="3"/>
        <v>0.6033333333333334</v>
      </c>
    </row>
    <row r="48" spans="1:7" ht="15.75">
      <c r="A48" s="23">
        <v>2322</v>
      </c>
      <c r="B48" s="26" t="s">
        <v>22</v>
      </c>
      <c r="C48" s="80">
        <v>19</v>
      </c>
      <c r="D48" s="25">
        <f t="shared" si="0"/>
        <v>0.23700623700623702</v>
      </c>
      <c r="E48" s="68">
        <f t="shared" si="1"/>
        <v>0.34</v>
      </c>
      <c r="F48" s="68">
        <f t="shared" si="2"/>
        <v>0.34</v>
      </c>
      <c r="G48" s="25">
        <f t="shared" si="3"/>
        <v>0.11333333333333334</v>
      </c>
    </row>
    <row r="49" spans="1:7" ht="15.75">
      <c r="A49" s="23">
        <v>2341</v>
      </c>
      <c r="B49" s="26" t="s">
        <v>23</v>
      </c>
      <c r="C49" s="80">
        <v>24</v>
      </c>
      <c r="D49" s="25">
        <f t="shared" si="0"/>
        <v>0.2993762993762994</v>
      </c>
      <c r="E49" s="68">
        <f t="shared" si="1"/>
        <v>0.43</v>
      </c>
      <c r="F49" s="68">
        <f t="shared" si="2"/>
        <v>0.43</v>
      </c>
      <c r="G49" s="25">
        <f t="shared" si="3"/>
        <v>0.14333333333333334</v>
      </c>
    </row>
    <row r="50" spans="1:7" ht="15.75" hidden="1">
      <c r="A50" s="23">
        <v>2344</v>
      </c>
      <c r="B50" s="26" t="s">
        <v>24</v>
      </c>
      <c r="C50" s="80"/>
      <c r="D50" s="25">
        <f t="shared" si="0"/>
        <v>0</v>
      </c>
      <c r="E50" s="68">
        <f t="shared" si="1"/>
        <v>0</v>
      </c>
      <c r="F50" s="68">
        <f t="shared" si="2"/>
        <v>0</v>
      </c>
      <c r="G50" s="25">
        <f t="shared" si="3"/>
        <v>0</v>
      </c>
    </row>
    <row r="51" spans="1:7" ht="15.75">
      <c r="A51" s="23">
        <v>2350</v>
      </c>
      <c r="B51" s="26" t="s">
        <v>25</v>
      </c>
      <c r="C51" s="80">
        <v>148</v>
      </c>
      <c r="D51" s="25">
        <f t="shared" si="0"/>
        <v>1.8461538461538463</v>
      </c>
      <c r="E51" s="68">
        <f t="shared" si="1"/>
        <v>2.63</v>
      </c>
      <c r="F51" s="68">
        <f t="shared" si="2"/>
        <v>2.63</v>
      </c>
      <c r="G51" s="25">
        <f t="shared" si="3"/>
        <v>0.8766666666666666</v>
      </c>
    </row>
    <row r="52" spans="1:7" ht="15.75">
      <c r="A52" s="23">
        <v>2361</v>
      </c>
      <c r="B52" s="26" t="s">
        <v>26</v>
      </c>
      <c r="C52" s="80">
        <v>91</v>
      </c>
      <c r="D52" s="25">
        <f t="shared" si="0"/>
        <v>1.135135135135135</v>
      </c>
      <c r="E52" s="68">
        <f t="shared" si="1"/>
        <v>1.62</v>
      </c>
      <c r="F52" s="68">
        <f t="shared" si="2"/>
        <v>1.62</v>
      </c>
      <c r="G52" s="25">
        <f t="shared" si="3"/>
        <v>0.54</v>
      </c>
    </row>
    <row r="53" spans="1:7" ht="15.75" hidden="1">
      <c r="A53" s="23">
        <v>2362</v>
      </c>
      <c r="B53" s="26" t="s">
        <v>27</v>
      </c>
      <c r="C53" s="80"/>
      <c r="D53" s="25">
        <f t="shared" si="0"/>
        <v>0</v>
      </c>
      <c r="E53" s="68">
        <f t="shared" si="1"/>
        <v>0</v>
      </c>
      <c r="F53" s="68">
        <f t="shared" si="2"/>
        <v>0</v>
      </c>
      <c r="G53" s="25">
        <f t="shared" si="3"/>
        <v>0</v>
      </c>
    </row>
    <row r="54" spans="1:7" ht="15.75" hidden="1">
      <c r="A54" s="23">
        <v>2363</v>
      </c>
      <c r="B54" s="26" t="s">
        <v>28</v>
      </c>
      <c r="C54" s="80"/>
      <c r="D54" s="25">
        <f t="shared" si="0"/>
        <v>0</v>
      </c>
      <c r="E54" s="68">
        <f t="shared" si="1"/>
        <v>0</v>
      </c>
      <c r="F54" s="68">
        <f t="shared" si="2"/>
        <v>0</v>
      </c>
      <c r="G54" s="25">
        <f t="shared" si="3"/>
        <v>0</v>
      </c>
    </row>
    <row r="55" spans="1:7" ht="15.75" hidden="1">
      <c r="A55" s="23">
        <v>2370</v>
      </c>
      <c r="B55" s="26" t="s">
        <v>29</v>
      </c>
      <c r="C55" s="80"/>
      <c r="D55" s="25">
        <f t="shared" si="0"/>
        <v>0</v>
      </c>
      <c r="E55" s="68">
        <f t="shared" si="1"/>
        <v>0</v>
      </c>
      <c r="F55" s="68">
        <f t="shared" si="2"/>
        <v>0</v>
      </c>
      <c r="G55" s="25">
        <f t="shared" si="3"/>
        <v>0</v>
      </c>
    </row>
    <row r="56" spans="1:7" ht="15.75">
      <c r="A56" s="23">
        <v>2400</v>
      </c>
      <c r="B56" s="26" t="s">
        <v>43</v>
      </c>
      <c r="C56" s="80">
        <v>7</v>
      </c>
      <c r="D56" s="25">
        <f t="shared" si="0"/>
        <v>0.08731808731808732</v>
      </c>
      <c r="E56" s="68">
        <f t="shared" si="1"/>
        <v>0.12</v>
      </c>
      <c r="F56" s="68">
        <f t="shared" si="2"/>
        <v>0.12</v>
      </c>
      <c r="G56" s="25">
        <f t="shared" si="3"/>
        <v>0.04</v>
      </c>
    </row>
    <row r="57" spans="1:7" ht="15.75" hidden="1">
      <c r="A57" s="23">
        <v>2512</v>
      </c>
      <c r="B57" s="26" t="s">
        <v>30</v>
      </c>
      <c r="C57" s="80">
        <v>0</v>
      </c>
      <c r="D57" s="25">
        <f t="shared" si="0"/>
        <v>0</v>
      </c>
      <c r="E57" s="68">
        <f t="shared" si="1"/>
        <v>0</v>
      </c>
      <c r="F57" s="68">
        <f t="shared" si="2"/>
        <v>0</v>
      </c>
      <c r="G57" s="25">
        <f t="shared" si="3"/>
        <v>0</v>
      </c>
    </row>
    <row r="58" spans="1:7" ht="15.75" customHeight="1">
      <c r="A58" s="23">
        <v>2513</v>
      </c>
      <c r="B58" s="26" t="s">
        <v>31</v>
      </c>
      <c r="C58" s="80">
        <v>120</v>
      </c>
      <c r="D58" s="25">
        <f t="shared" si="0"/>
        <v>1.496881496881497</v>
      </c>
      <c r="E58" s="68">
        <f t="shared" si="1"/>
        <v>2.13</v>
      </c>
      <c r="F58" s="68">
        <f t="shared" si="2"/>
        <v>2.13</v>
      </c>
      <c r="G58" s="25">
        <f t="shared" si="3"/>
        <v>0.71</v>
      </c>
    </row>
    <row r="59" spans="1:7" ht="15.75">
      <c r="A59" s="23">
        <v>2515</v>
      </c>
      <c r="B59" s="26" t="s">
        <v>78</v>
      </c>
      <c r="C59" s="80">
        <v>5</v>
      </c>
      <c r="D59" s="25">
        <f t="shared" si="0"/>
        <v>0.062370062370062374</v>
      </c>
      <c r="E59" s="68">
        <f t="shared" si="1"/>
        <v>0.09</v>
      </c>
      <c r="F59" s="68">
        <f t="shared" si="2"/>
        <v>0.09</v>
      </c>
      <c r="G59" s="25">
        <f t="shared" si="3"/>
        <v>0.03</v>
      </c>
    </row>
    <row r="60" spans="1:7" ht="15.75">
      <c r="A60" s="23">
        <v>2519</v>
      </c>
      <c r="B60" s="26" t="s">
        <v>34</v>
      </c>
      <c r="C60" s="80">
        <v>29</v>
      </c>
      <c r="D60" s="25">
        <f t="shared" si="0"/>
        <v>0.36174636174636177</v>
      </c>
      <c r="E60" s="68">
        <f t="shared" si="1"/>
        <v>0.51</v>
      </c>
      <c r="F60" s="68">
        <f t="shared" si="2"/>
        <v>0.51</v>
      </c>
      <c r="G60" s="25">
        <f t="shared" si="3"/>
        <v>0.17</v>
      </c>
    </row>
    <row r="61" spans="1:7" ht="15.75" hidden="1">
      <c r="A61" s="23">
        <v>6240</v>
      </c>
      <c r="B61" s="26"/>
      <c r="C61" s="80"/>
      <c r="D61" s="25">
        <f t="shared" si="0"/>
        <v>0</v>
      </c>
      <c r="E61" s="68">
        <f t="shared" si="1"/>
        <v>0</v>
      </c>
      <c r="F61" s="68">
        <f t="shared" si="2"/>
        <v>0</v>
      </c>
      <c r="G61" s="25">
        <f t="shared" si="3"/>
        <v>0</v>
      </c>
    </row>
    <row r="62" spans="1:7" ht="15.75" hidden="1">
      <c r="A62" s="23">
        <v>6290</v>
      </c>
      <c r="B62" s="26"/>
      <c r="C62" s="80"/>
      <c r="D62" s="25">
        <f t="shared" si="0"/>
        <v>0</v>
      </c>
      <c r="E62" s="68">
        <f t="shared" si="1"/>
        <v>0</v>
      </c>
      <c r="F62" s="68">
        <f t="shared" si="2"/>
        <v>0</v>
      </c>
      <c r="G62" s="25">
        <f t="shared" si="3"/>
        <v>0</v>
      </c>
    </row>
    <row r="63" spans="1:7" ht="15.75">
      <c r="A63" s="23">
        <v>5121</v>
      </c>
      <c r="B63" s="26" t="s">
        <v>32</v>
      </c>
      <c r="C63" s="80">
        <v>21</v>
      </c>
      <c r="D63" s="25">
        <f t="shared" si="0"/>
        <v>0.26195426195426197</v>
      </c>
      <c r="E63" s="68">
        <v>0.25</v>
      </c>
      <c r="F63" s="68">
        <v>0.31</v>
      </c>
      <c r="G63" s="25">
        <f t="shared" si="3"/>
        <v>0.10333333333333333</v>
      </c>
    </row>
    <row r="64" spans="1:7" ht="15.75">
      <c r="A64" s="23">
        <v>5232</v>
      </c>
      <c r="B64" s="26" t="s">
        <v>33</v>
      </c>
      <c r="C64" s="80">
        <v>3</v>
      </c>
      <c r="D64" s="25">
        <f t="shared" si="0"/>
        <v>0.037422037422037424</v>
      </c>
      <c r="E64" s="68">
        <f t="shared" si="1"/>
        <v>0.05</v>
      </c>
      <c r="F64" s="68">
        <f t="shared" si="2"/>
        <v>0.05</v>
      </c>
      <c r="G64" s="25">
        <f t="shared" si="3"/>
        <v>0.016666666666666666</v>
      </c>
    </row>
    <row r="65" spans="1:7" ht="15.75" hidden="1">
      <c r="A65" s="23">
        <v>5238</v>
      </c>
      <c r="B65" s="26" t="s">
        <v>35</v>
      </c>
      <c r="C65" s="80">
        <v>0</v>
      </c>
      <c r="D65" s="25">
        <f t="shared" si="0"/>
        <v>0</v>
      </c>
      <c r="E65" s="68">
        <f t="shared" si="1"/>
        <v>0</v>
      </c>
      <c r="F65" s="68">
        <f t="shared" si="2"/>
        <v>0</v>
      </c>
      <c r="G65" s="25">
        <f t="shared" si="3"/>
        <v>0</v>
      </c>
    </row>
    <row r="66" spans="1:7" ht="15.75">
      <c r="A66" s="23">
        <v>5240</v>
      </c>
      <c r="B66" s="26" t="s">
        <v>36</v>
      </c>
      <c r="C66" s="80">
        <v>1</v>
      </c>
      <c r="D66" s="25">
        <f t="shared" si="0"/>
        <v>0.012474012474012475</v>
      </c>
      <c r="E66" s="68">
        <f t="shared" si="1"/>
        <v>0.02</v>
      </c>
      <c r="F66" s="68">
        <f t="shared" si="2"/>
        <v>0.02</v>
      </c>
      <c r="G66" s="25">
        <f t="shared" si="3"/>
        <v>0.006666666666666666</v>
      </c>
    </row>
    <row r="67" spans="1:7" ht="15.75" hidden="1">
      <c r="A67" s="23">
        <v>5250</v>
      </c>
      <c r="B67" s="26" t="s">
        <v>37</v>
      </c>
      <c r="C67" s="80"/>
      <c r="D67" s="25">
        <f>C67/2550*20</f>
        <v>0</v>
      </c>
      <c r="E67" s="68">
        <f t="shared" si="1"/>
        <v>0</v>
      </c>
      <c r="F67" s="68">
        <f>E67</f>
        <v>0</v>
      </c>
      <c r="G67" s="25">
        <f>F67/30*10</f>
        <v>0</v>
      </c>
    </row>
    <row r="68" spans="1:7" ht="15.75">
      <c r="A68" s="29"/>
      <c r="B68" s="34" t="s">
        <v>79</v>
      </c>
      <c r="C68" s="82">
        <f>SUM(C24:C67)</f>
        <v>5425.4</v>
      </c>
      <c r="D68" s="28">
        <f>SUM(D24:D67)</f>
        <v>67.67650727650725</v>
      </c>
      <c r="E68" s="28">
        <f>SUM(E24:E67)</f>
        <v>96.18000000000002</v>
      </c>
      <c r="F68" s="28">
        <f>SUM(F24:F67)</f>
        <v>96.24000000000002</v>
      </c>
      <c r="G68" s="28">
        <f>SUM(G24:G67)</f>
        <v>35.28000000000001</v>
      </c>
    </row>
    <row r="69" spans="1:7" ht="15.75">
      <c r="A69" s="29"/>
      <c r="B69" s="34" t="s">
        <v>80</v>
      </c>
      <c r="C69" s="82">
        <f>C68+C22</f>
        <v>17652.7</v>
      </c>
      <c r="D69" s="28">
        <f>D68+D22</f>
        <v>220.2</v>
      </c>
      <c r="E69" s="28">
        <f>E68+E22</f>
        <v>313.20000000000005</v>
      </c>
      <c r="F69" s="28">
        <f>F68+F22</f>
        <v>371.70000000000005</v>
      </c>
      <c r="G69" s="28">
        <f>G68+G22</f>
        <v>149.4</v>
      </c>
    </row>
    <row r="70" spans="1:7" ht="15.75">
      <c r="A70" s="49"/>
      <c r="B70" s="14"/>
      <c r="C70" s="35"/>
      <c r="D70" s="41"/>
      <c r="E70" s="41"/>
      <c r="F70" s="41"/>
      <c r="G70" s="41"/>
    </row>
    <row r="71" spans="1:7" ht="15.75" customHeight="1">
      <c r="A71" s="212" t="s">
        <v>45</v>
      </c>
      <c r="B71" s="213"/>
      <c r="C71" s="36">
        <v>2405</v>
      </c>
      <c r="D71" s="42">
        <v>30</v>
      </c>
      <c r="E71" s="42">
        <v>30</v>
      </c>
      <c r="F71" s="42">
        <v>30</v>
      </c>
      <c r="G71" s="162">
        <v>10</v>
      </c>
    </row>
    <row r="72" spans="1:7" ht="15.75" customHeight="1">
      <c r="A72" s="212" t="s">
        <v>54</v>
      </c>
      <c r="B72" s="213"/>
      <c r="C72" s="90">
        <f>C69/C71</f>
        <v>7.340000000000001</v>
      </c>
      <c r="D72" s="82">
        <f>D69/D71</f>
        <v>7.34</v>
      </c>
      <c r="E72" s="82">
        <f>E69/E71</f>
        <v>10.440000000000001</v>
      </c>
      <c r="F72" s="82">
        <f>F69/F71</f>
        <v>12.390000000000002</v>
      </c>
      <c r="G72" s="161">
        <f>G69/G71</f>
        <v>14.940000000000001</v>
      </c>
    </row>
    <row r="73" spans="1:7" ht="15.75">
      <c r="A73" s="86"/>
      <c r="B73" s="87"/>
      <c r="C73" s="11"/>
      <c r="G73" s="94"/>
    </row>
    <row r="74" spans="1:7" ht="15.75" customHeight="1">
      <c r="A74" s="214" t="s">
        <v>46</v>
      </c>
      <c r="B74" s="215"/>
      <c r="C74" s="37"/>
      <c r="D74" s="37"/>
      <c r="E74" s="37"/>
      <c r="F74" s="37"/>
      <c r="G74" s="37"/>
    </row>
    <row r="75" spans="1:7" ht="15.75" customHeight="1">
      <c r="A75" s="214" t="s">
        <v>56</v>
      </c>
      <c r="B75" s="215"/>
      <c r="C75" s="37"/>
      <c r="D75" s="37"/>
      <c r="E75" s="37"/>
      <c r="F75" s="37"/>
      <c r="G75" s="37"/>
    </row>
    <row r="76" spans="1:7" ht="15.75">
      <c r="A76" s="38"/>
      <c r="B76" s="38"/>
      <c r="C76" s="38"/>
      <c r="D76" s="38"/>
      <c r="E76" s="38"/>
      <c r="F76" s="38"/>
      <c r="G76" s="38"/>
    </row>
    <row r="77" spans="1:7" ht="15.75">
      <c r="A77" s="38" t="s">
        <v>47</v>
      </c>
      <c r="B77" s="38"/>
      <c r="C77" s="38"/>
      <c r="D77" s="38"/>
      <c r="E77" s="38"/>
      <c r="F77" s="38"/>
      <c r="G77" s="38"/>
    </row>
    <row r="78" spans="1:7" ht="15.75">
      <c r="A78" s="38"/>
      <c r="B78" s="38"/>
      <c r="C78" s="38"/>
      <c r="D78" s="38"/>
      <c r="E78" s="38"/>
      <c r="F78" s="38"/>
      <c r="G78" s="38"/>
    </row>
    <row r="79" spans="1:7" ht="15.75">
      <c r="A79" s="38"/>
      <c r="B79" s="39"/>
      <c r="C79" s="38"/>
      <c r="D79" s="38"/>
      <c r="E79" s="38"/>
      <c r="F79" s="38"/>
      <c r="G79" s="38"/>
    </row>
    <row r="80" spans="1:7" ht="15.75">
      <c r="A80" s="38"/>
      <c r="B80" s="40"/>
      <c r="C80" s="38"/>
      <c r="D80" s="38"/>
      <c r="E80" s="38"/>
      <c r="F80" s="38"/>
      <c r="G80" s="38"/>
    </row>
  </sheetData>
  <sheetProtection/>
  <mergeCells count="12">
    <mergeCell ref="A75:B75"/>
    <mergeCell ref="B9:C9"/>
    <mergeCell ref="B10:C10"/>
    <mergeCell ref="B11:C11"/>
    <mergeCell ref="A71:B71"/>
    <mergeCell ref="A72:B72"/>
    <mergeCell ref="A74:B74"/>
    <mergeCell ref="A4:G4"/>
    <mergeCell ref="B5:C5"/>
    <mergeCell ref="A6:C6"/>
    <mergeCell ref="A7:C7"/>
    <mergeCell ref="B8:C8"/>
  </mergeCells>
  <printOptions/>
  <pageMargins left="0.7" right="0.7" top="0.75" bottom="0.75" header="0.3" footer="0.3"/>
  <pageSetup horizontalDpi="600" verticalDpi="600" orientation="portrait" paperSize="9" scale="60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5.7109375" style="15" customWidth="1"/>
    <col min="2" max="2" width="95.00390625" style="15" customWidth="1"/>
    <col min="3" max="3" width="20.8515625" style="15" hidden="1" customWidth="1"/>
    <col min="4" max="6" width="18.28125" style="15" hidden="1" customWidth="1"/>
    <col min="7" max="7" width="31.28125" style="15" customWidth="1"/>
  </cols>
  <sheetData>
    <row r="1" spans="2:7" ht="15.75">
      <c r="B1" s="12"/>
      <c r="C1" s="76"/>
      <c r="D1" s="76"/>
      <c r="E1" s="76"/>
      <c r="F1" s="76"/>
      <c r="G1" s="9"/>
    </row>
    <row r="2" ht="15.75">
      <c r="C2" s="77"/>
    </row>
    <row r="3" spans="1:7" ht="15.75">
      <c r="A3" s="208" t="s">
        <v>6</v>
      </c>
      <c r="B3" s="208"/>
      <c r="C3" s="208"/>
      <c r="D3" s="208"/>
      <c r="E3" s="208"/>
      <c r="F3" s="208"/>
      <c r="G3" s="208"/>
    </row>
    <row r="4" spans="2:3" ht="15.75">
      <c r="B4" s="209"/>
      <c r="C4" s="209"/>
    </row>
    <row r="5" spans="1:3" ht="15.75">
      <c r="A5" s="195" t="s">
        <v>1</v>
      </c>
      <c r="B5" s="195"/>
      <c r="C5" s="195"/>
    </row>
    <row r="6" spans="1:7" ht="15.75">
      <c r="A6" s="195" t="s">
        <v>0</v>
      </c>
      <c r="B6" s="195"/>
      <c r="C6" s="195"/>
      <c r="G6" s="14"/>
    </row>
    <row r="7" spans="1:7" ht="15.75">
      <c r="A7" s="8"/>
      <c r="B7" s="195" t="s">
        <v>44</v>
      </c>
      <c r="C7" s="195"/>
      <c r="G7" s="14"/>
    </row>
    <row r="8" spans="1:3" ht="15.75">
      <c r="A8" s="8"/>
      <c r="B8" s="195" t="s">
        <v>100</v>
      </c>
      <c r="C8" s="195"/>
    </row>
    <row r="9" spans="1:3" ht="15.75">
      <c r="A9" s="8"/>
      <c r="B9" s="195" t="s">
        <v>121</v>
      </c>
      <c r="C9" s="195"/>
    </row>
    <row r="10" spans="1:3" ht="15.75">
      <c r="A10" s="8" t="s">
        <v>2</v>
      </c>
      <c r="B10" s="8" t="s">
        <v>205</v>
      </c>
      <c r="C10" s="8"/>
    </row>
    <row r="11" spans="2:3" ht="15.75" hidden="1">
      <c r="B11" s="16"/>
      <c r="C11" s="77"/>
    </row>
    <row r="12" spans="1:7" ht="67.5" customHeight="1">
      <c r="A12" s="59" t="s">
        <v>3</v>
      </c>
      <c r="B12" s="59" t="s">
        <v>4</v>
      </c>
      <c r="C12" s="17"/>
      <c r="D12" s="17"/>
      <c r="E12" s="17"/>
      <c r="F12" s="17"/>
      <c r="G12" s="59" t="s">
        <v>5</v>
      </c>
    </row>
    <row r="13" spans="1:7" ht="15.75">
      <c r="A13" s="18">
        <v>1</v>
      </c>
      <c r="B13" s="19">
        <v>2</v>
      </c>
      <c r="C13" s="18">
        <v>3</v>
      </c>
      <c r="D13" s="19">
        <v>3</v>
      </c>
      <c r="E13" s="19"/>
      <c r="F13" s="19"/>
      <c r="G13" s="19">
        <v>3</v>
      </c>
    </row>
    <row r="14" spans="1:7" ht="15.75">
      <c r="A14" s="20"/>
      <c r="B14" s="45" t="s">
        <v>71</v>
      </c>
      <c r="C14" s="97"/>
      <c r="D14" s="23"/>
      <c r="E14" s="23"/>
      <c r="F14" s="23"/>
      <c r="G14" s="23"/>
    </row>
    <row r="15" spans="1:7" ht="15.75">
      <c r="A15" s="23">
        <v>1100</v>
      </c>
      <c r="B15" s="23" t="s">
        <v>72</v>
      </c>
      <c r="C15" s="25">
        <v>145.41</v>
      </c>
      <c r="D15" s="25">
        <f>C15/35*20</f>
        <v>83.09142857142858</v>
      </c>
      <c r="E15" s="25">
        <f aca="true" t="shared" si="0" ref="E15:E23">ROUND(D15/0.702804,2)</f>
        <v>118.23</v>
      </c>
      <c r="F15" s="25">
        <v>150.15</v>
      </c>
      <c r="G15" s="25">
        <f>F15/20*20+20*1.27</f>
        <v>175.55</v>
      </c>
    </row>
    <row r="16" spans="1:7" ht="15.75" customHeight="1">
      <c r="A16" s="23">
        <v>1200</v>
      </c>
      <c r="B16" s="32" t="s">
        <v>73</v>
      </c>
      <c r="C16" s="47">
        <v>35.03</v>
      </c>
      <c r="D16" s="25">
        <f aca="true" t="shared" si="1" ref="D16:D23">C16/35*20</f>
        <v>20.017142857142858</v>
      </c>
      <c r="E16" s="25">
        <f t="shared" si="0"/>
        <v>28.48</v>
      </c>
      <c r="F16" s="25">
        <v>36.17</v>
      </c>
      <c r="G16" s="25">
        <f>F16/20*20+20*0.31</f>
        <v>42.370000000000005</v>
      </c>
    </row>
    <row r="17" spans="1:7" ht="15.75" hidden="1">
      <c r="A17" s="23">
        <v>2222</v>
      </c>
      <c r="B17" s="32" t="s">
        <v>39</v>
      </c>
      <c r="C17" s="25"/>
      <c r="D17" s="25">
        <f t="shared" si="1"/>
        <v>0</v>
      </c>
      <c r="E17" s="25">
        <f t="shared" si="0"/>
        <v>0</v>
      </c>
      <c r="F17" s="25">
        <f>E17</f>
        <v>0</v>
      </c>
      <c r="G17" s="25">
        <f aca="true" t="shared" si="2" ref="G17:G23">F17/20*20</f>
        <v>0</v>
      </c>
    </row>
    <row r="18" spans="1:7" ht="15.75" hidden="1">
      <c r="A18" s="23">
        <v>2243</v>
      </c>
      <c r="B18" s="109" t="s">
        <v>103</v>
      </c>
      <c r="C18" s="25"/>
      <c r="D18" s="25">
        <f t="shared" si="1"/>
        <v>0</v>
      </c>
      <c r="E18" s="25">
        <f t="shared" si="0"/>
        <v>0</v>
      </c>
      <c r="F18" s="25">
        <f aca="true" t="shared" si="3" ref="F18:F23">E18</f>
        <v>0</v>
      </c>
      <c r="G18" s="25">
        <f t="shared" si="2"/>
        <v>0</v>
      </c>
    </row>
    <row r="19" spans="1:7" ht="15.75" hidden="1">
      <c r="A19" s="23">
        <v>2341</v>
      </c>
      <c r="B19" s="32" t="s">
        <v>23</v>
      </c>
      <c r="C19" s="25">
        <v>0</v>
      </c>
      <c r="D19" s="25">
        <f t="shared" si="1"/>
        <v>0</v>
      </c>
      <c r="E19" s="25">
        <f t="shared" si="0"/>
        <v>0</v>
      </c>
      <c r="F19" s="25">
        <f t="shared" si="3"/>
        <v>0</v>
      </c>
      <c r="G19" s="25">
        <f t="shared" si="2"/>
        <v>0</v>
      </c>
    </row>
    <row r="20" spans="1:7" ht="15.75" hidden="1">
      <c r="A20" s="23">
        <v>2350</v>
      </c>
      <c r="B20" s="32" t="s">
        <v>25</v>
      </c>
      <c r="C20" s="105"/>
      <c r="D20" s="25">
        <f t="shared" si="1"/>
        <v>0</v>
      </c>
      <c r="E20" s="25">
        <f t="shared" si="0"/>
        <v>0</v>
      </c>
      <c r="F20" s="25">
        <f t="shared" si="3"/>
        <v>0</v>
      </c>
      <c r="G20" s="25">
        <f t="shared" si="2"/>
        <v>0</v>
      </c>
    </row>
    <row r="21" spans="1:7" ht="15.75" hidden="1">
      <c r="A21" s="23"/>
      <c r="B21" s="32"/>
      <c r="C21" s="105"/>
      <c r="D21" s="25">
        <f t="shared" si="1"/>
        <v>0</v>
      </c>
      <c r="E21" s="25">
        <f t="shared" si="0"/>
        <v>0</v>
      </c>
      <c r="F21" s="25">
        <f t="shared" si="3"/>
        <v>0</v>
      </c>
      <c r="G21" s="25">
        <f t="shared" si="2"/>
        <v>0</v>
      </c>
    </row>
    <row r="22" spans="1:7" ht="15.75" hidden="1">
      <c r="A22" s="23"/>
      <c r="B22" s="32"/>
      <c r="C22" s="105"/>
      <c r="D22" s="25">
        <f t="shared" si="1"/>
        <v>0</v>
      </c>
      <c r="E22" s="25">
        <f t="shared" si="0"/>
        <v>0</v>
      </c>
      <c r="F22" s="25">
        <f t="shared" si="3"/>
        <v>0</v>
      </c>
      <c r="G22" s="25">
        <f t="shared" si="2"/>
        <v>0</v>
      </c>
    </row>
    <row r="23" spans="1:7" ht="15.75" hidden="1">
      <c r="A23" s="23"/>
      <c r="B23" s="23"/>
      <c r="C23" s="25"/>
      <c r="D23" s="25">
        <f t="shared" si="1"/>
        <v>0</v>
      </c>
      <c r="E23" s="25">
        <f t="shared" si="0"/>
        <v>0</v>
      </c>
      <c r="F23" s="25">
        <f t="shared" si="3"/>
        <v>0</v>
      </c>
      <c r="G23" s="25">
        <f t="shared" si="2"/>
        <v>0</v>
      </c>
    </row>
    <row r="24" spans="1:7" ht="15.75">
      <c r="A24" s="23"/>
      <c r="B24" s="46" t="s">
        <v>74</v>
      </c>
      <c r="C24" s="28">
        <f>SUM(C15:C23)</f>
        <v>180.44</v>
      </c>
      <c r="D24" s="28">
        <f>SUM(D15:D23)</f>
        <v>103.10857142857144</v>
      </c>
      <c r="E24" s="28">
        <f>SUM(E15:E23)</f>
        <v>146.71</v>
      </c>
      <c r="F24" s="28">
        <f>SUM(F15:F23)</f>
        <v>186.32</v>
      </c>
      <c r="G24" s="28">
        <f>SUM(G15:G23)</f>
        <v>217.92000000000002</v>
      </c>
    </row>
    <row r="25" spans="1:7" ht="15.75">
      <c r="A25" s="29"/>
      <c r="B25" s="23" t="s">
        <v>75</v>
      </c>
      <c r="C25" s="25"/>
      <c r="D25" s="28"/>
      <c r="E25" s="28"/>
      <c r="F25" s="28"/>
      <c r="G25" s="28"/>
    </row>
    <row r="26" spans="1:7" ht="15.75">
      <c r="A26" s="23">
        <v>1100</v>
      </c>
      <c r="B26" s="23" t="s">
        <v>72</v>
      </c>
      <c r="C26" s="25">
        <v>34.65</v>
      </c>
      <c r="D26" s="25">
        <f aca="true" t="shared" si="4" ref="D26:D60">C26/35*20</f>
        <v>19.8</v>
      </c>
      <c r="E26" s="25">
        <f aca="true" t="shared" si="5" ref="E26:E69">ROUND(D26/0.702804,2)</f>
        <v>28.17</v>
      </c>
      <c r="F26" s="25">
        <f aca="true" t="shared" si="6" ref="F26:F69">E26</f>
        <v>28.17</v>
      </c>
      <c r="G26" s="25">
        <f aca="true" t="shared" si="7" ref="G26:G69">F26/20*20</f>
        <v>28.17</v>
      </c>
    </row>
    <row r="27" spans="1:7" ht="15.75" customHeight="1">
      <c r="A27" s="23">
        <v>1200</v>
      </c>
      <c r="B27" s="32" t="s">
        <v>73</v>
      </c>
      <c r="C27" s="47">
        <v>8.35</v>
      </c>
      <c r="D27" s="25">
        <f t="shared" si="4"/>
        <v>4.771428571428571</v>
      </c>
      <c r="E27" s="25">
        <f t="shared" si="5"/>
        <v>6.79</v>
      </c>
      <c r="F27" s="25">
        <f t="shared" si="6"/>
        <v>6.79</v>
      </c>
      <c r="G27" s="25">
        <f t="shared" si="7"/>
        <v>6.790000000000001</v>
      </c>
    </row>
    <row r="28" spans="1:7" ht="15.75" hidden="1">
      <c r="A28" s="23">
        <v>2100</v>
      </c>
      <c r="B28" s="30" t="s">
        <v>42</v>
      </c>
      <c r="C28" s="25"/>
      <c r="D28" s="25">
        <f t="shared" si="4"/>
        <v>0</v>
      </c>
      <c r="E28" s="25">
        <f t="shared" si="5"/>
        <v>0</v>
      </c>
      <c r="F28" s="25">
        <f t="shared" si="6"/>
        <v>0</v>
      </c>
      <c r="G28" s="25">
        <f t="shared" si="7"/>
        <v>0</v>
      </c>
    </row>
    <row r="29" spans="1:7" ht="15.75" hidden="1">
      <c r="A29" s="31">
        <v>2210</v>
      </c>
      <c r="B29" s="32" t="s">
        <v>38</v>
      </c>
      <c r="C29" s="25">
        <v>0</v>
      </c>
      <c r="D29" s="25">
        <f t="shared" si="4"/>
        <v>0</v>
      </c>
      <c r="E29" s="25">
        <f t="shared" si="5"/>
        <v>0</v>
      </c>
      <c r="F29" s="25">
        <f t="shared" si="6"/>
        <v>0</v>
      </c>
      <c r="G29" s="25">
        <f t="shared" si="7"/>
        <v>0</v>
      </c>
    </row>
    <row r="30" spans="1:7" ht="15.75">
      <c r="A30" s="23">
        <v>2222</v>
      </c>
      <c r="B30" s="32" t="s">
        <v>39</v>
      </c>
      <c r="C30" s="25">
        <v>1</v>
      </c>
      <c r="D30" s="25">
        <f t="shared" si="4"/>
        <v>0.5714285714285714</v>
      </c>
      <c r="E30" s="25">
        <f t="shared" si="5"/>
        <v>0.81</v>
      </c>
      <c r="F30" s="25">
        <f t="shared" si="6"/>
        <v>0.81</v>
      </c>
      <c r="G30" s="25">
        <f t="shared" si="7"/>
        <v>0.81</v>
      </c>
    </row>
    <row r="31" spans="1:7" ht="15.75">
      <c r="A31" s="23">
        <v>2223</v>
      </c>
      <c r="B31" s="32" t="s">
        <v>40</v>
      </c>
      <c r="C31" s="25">
        <v>1</v>
      </c>
      <c r="D31" s="25">
        <f t="shared" si="4"/>
        <v>0.5714285714285714</v>
      </c>
      <c r="E31" s="25">
        <f t="shared" si="5"/>
        <v>0.81</v>
      </c>
      <c r="F31" s="25">
        <f t="shared" si="6"/>
        <v>0.81</v>
      </c>
      <c r="G31" s="25">
        <f t="shared" si="7"/>
        <v>0.81</v>
      </c>
    </row>
    <row r="32" spans="1:7" ht="15.75" hidden="1">
      <c r="A32" s="23">
        <v>2230</v>
      </c>
      <c r="B32" s="32" t="s">
        <v>41</v>
      </c>
      <c r="C32" s="25">
        <v>0</v>
      </c>
      <c r="D32" s="25">
        <f t="shared" si="4"/>
        <v>0</v>
      </c>
      <c r="E32" s="25">
        <f t="shared" si="5"/>
        <v>0</v>
      </c>
      <c r="F32" s="25">
        <f t="shared" si="6"/>
        <v>0</v>
      </c>
      <c r="G32" s="25">
        <f t="shared" si="7"/>
        <v>0</v>
      </c>
    </row>
    <row r="33" spans="1:7" ht="15.75" hidden="1">
      <c r="A33" s="23">
        <v>2241</v>
      </c>
      <c r="B33" s="32" t="s">
        <v>9</v>
      </c>
      <c r="C33" s="25"/>
      <c r="D33" s="25">
        <f t="shared" si="4"/>
        <v>0</v>
      </c>
      <c r="E33" s="25">
        <f t="shared" si="5"/>
        <v>0</v>
      </c>
      <c r="F33" s="25">
        <f t="shared" si="6"/>
        <v>0</v>
      </c>
      <c r="G33" s="25">
        <f t="shared" si="7"/>
        <v>0</v>
      </c>
    </row>
    <row r="34" spans="1:7" ht="15.75" hidden="1">
      <c r="A34" s="23">
        <v>2242</v>
      </c>
      <c r="B34" s="32" t="s">
        <v>10</v>
      </c>
      <c r="C34" s="25">
        <v>0</v>
      </c>
      <c r="D34" s="25">
        <f t="shared" si="4"/>
        <v>0</v>
      </c>
      <c r="E34" s="25">
        <f t="shared" si="5"/>
        <v>0</v>
      </c>
      <c r="F34" s="25">
        <f t="shared" si="6"/>
        <v>0</v>
      </c>
      <c r="G34" s="25">
        <f t="shared" si="7"/>
        <v>0</v>
      </c>
    </row>
    <row r="35" spans="1:7" ht="15.75" customHeight="1">
      <c r="A35" s="23">
        <v>2243</v>
      </c>
      <c r="B35" s="32" t="s">
        <v>11</v>
      </c>
      <c r="C35" s="25">
        <v>1</v>
      </c>
      <c r="D35" s="25">
        <f t="shared" si="4"/>
        <v>0.5714285714285714</v>
      </c>
      <c r="E35" s="25">
        <f t="shared" si="5"/>
        <v>0.81</v>
      </c>
      <c r="F35" s="25">
        <f t="shared" si="6"/>
        <v>0.81</v>
      </c>
      <c r="G35" s="25">
        <f t="shared" si="7"/>
        <v>0.81</v>
      </c>
    </row>
    <row r="36" spans="1:7" ht="15.75">
      <c r="A36" s="23">
        <v>2244</v>
      </c>
      <c r="B36" s="32" t="s">
        <v>12</v>
      </c>
      <c r="C36" s="25">
        <v>10.16</v>
      </c>
      <c r="D36" s="25">
        <f t="shared" si="4"/>
        <v>5.805714285714286</v>
      </c>
      <c r="E36" s="25">
        <f t="shared" si="5"/>
        <v>8.26</v>
      </c>
      <c r="F36" s="25">
        <f t="shared" si="6"/>
        <v>8.26</v>
      </c>
      <c r="G36" s="25">
        <f>F36/20*20+20*0.09</f>
        <v>10.059999999999999</v>
      </c>
    </row>
    <row r="37" spans="1:7" ht="15.75" hidden="1">
      <c r="A37" s="23">
        <v>2247</v>
      </c>
      <c r="B37" s="45" t="s">
        <v>76</v>
      </c>
      <c r="C37" s="25">
        <v>0</v>
      </c>
      <c r="D37" s="25">
        <f t="shared" si="4"/>
        <v>0</v>
      </c>
      <c r="E37" s="25">
        <f t="shared" si="5"/>
        <v>0</v>
      </c>
      <c r="F37" s="25">
        <f t="shared" si="6"/>
        <v>0</v>
      </c>
      <c r="G37" s="25">
        <f t="shared" si="7"/>
        <v>0</v>
      </c>
    </row>
    <row r="38" spans="1:7" ht="15.75" hidden="1">
      <c r="A38" s="23">
        <v>2249</v>
      </c>
      <c r="B38" s="32" t="s">
        <v>13</v>
      </c>
      <c r="C38" s="25">
        <v>0</v>
      </c>
      <c r="D38" s="25">
        <f t="shared" si="4"/>
        <v>0</v>
      </c>
      <c r="E38" s="25">
        <f t="shared" si="5"/>
        <v>0</v>
      </c>
      <c r="F38" s="25">
        <f t="shared" si="6"/>
        <v>0</v>
      </c>
      <c r="G38" s="25">
        <f t="shared" si="7"/>
        <v>0</v>
      </c>
    </row>
    <row r="39" spans="1:7" ht="15.75">
      <c r="A39" s="23">
        <v>2251</v>
      </c>
      <c r="B39" s="32" t="s">
        <v>77</v>
      </c>
      <c r="C39" s="25">
        <v>1</v>
      </c>
      <c r="D39" s="25">
        <f t="shared" si="4"/>
        <v>0.5714285714285714</v>
      </c>
      <c r="E39" s="25">
        <f t="shared" si="5"/>
        <v>0.81</v>
      </c>
      <c r="F39" s="25">
        <f t="shared" si="6"/>
        <v>0.81</v>
      </c>
      <c r="G39" s="25">
        <f t="shared" si="7"/>
        <v>0.81</v>
      </c>
    </row>
    <row r="40" spans="1:7" ht="15.75" hidden="1">
      <c r="A40" s="23">
        <v>2252</v>
      </c>
      <c r="B40" s="32" t="s">
        <v>7</v>
      </c>
      <c r="C40" s="25"/>
      <c r="D40" s="25">
        <f t="shared" si="4"/>
        <v>0</v>
      </c>
      <c r="E40" s="25">
        <f t="shared" si="5"/>
        <v>0</v>
      </c>
      <c r="F40" s="25">
        <f t="shared" si="6"/>
        <v>0</v>
      </c>
      <c r="G40" s="25">
        <f t="shared" si="7"/>
        <v>0</v>
      </c>
    </row>
    <row r="41" spans="1:7" ht="15.75" hidden="1">
      <c r="A41" s="23">
        <v>2259</v>
      </c>
      <c r="B41" s="32" t="s">
        <v>8</v>
      </c>
      <c r="C41" s="25"/>
      <c r="D41" s="25">
        <f t="shared" si="4"/>
        <v>0</v>
      </c>
      <c r="E41" s="25">
        <f t="shared" si="5"/>
        <v>0</v>
      </c>
      <c r="F41" s="25">
        <f t="shared" si="6"/>
        <v>0</v>
      </c>
      <c r="G41" s="25">
        <f t="shared" si="7"/>
        <v>0</v>
      </c>
    </row>
    <row r="42" spans="1:7" ht="15.75" hidden="1">
      <c r="A42" s="23">
        <v>2261</v>
      </c>
      <c r="B42" s="32" t="s">
        <v>14</v>
      </c>
      <c r="C42" s="25">
        <v>0</v>
      </c>
      <c r="D42" s="25">
        <f t="shared" si="4"/>
        <v>0</v>
      </c>
      <c r="E42" s="25">
        <f t="shared" si="5"/>
        <v>0</v>
      </c>
      <c r="F42" s="25">
        <f t="shared" si="6"/>
        <v>0</v>
      </c>
      <c r="G42" s="25">
        <f t="shared" si="7"/>
        <v>0</v>
      </c>
    </row>
    <row r="43" spans="1:7" ht="15.75">
      <c r="A43" s="23">
        <v>2262</v>
      </c>
      <c r="B43" s="32" t="s">
        <v>15</v>
      </c>
      <c r="C43" s="25">
        <v>1</v>
      </c>
      <c r="D43" s="25">
        <f t="shared" si="4"/>
        <v>0.5714285714285714</v>
      </c>
      <c r="E43" s="25">
        <f t="shared" si="5"/>
        <v>0.81</v>
      </c>
      <c r="F43" s="25">
        <f t="shared" si="6"/>
        <v>0.81</v>
      </c>
      <c r="G43" s="25">
        <f t="shared" si="7"/>
        <v>0.81</v>
      </c>
    </row>
    <row r="44" spans="1:7" ht="15.75">
      <c r="A44" s="23">
        <v>2263</v>
      </c>
      <c r="B44" s="32" t="s">
        <v>16</v>
      </c>
      <c r="C44" s="25">
        <v>2</v>
      </c>
      <c r="D44" s="25">
        <f t="shared" si="4"/>
        <v>1.1428571428571428</v>
      </c>
      <c r="E44" s="25">
        <f t="shared" si="5"/>
        <v>1.63</v>
      </c>
      <c r="F44" s="25">
        <f t="shared" si="6"/>
        <v>1.63</v>
      </c>
      <c r="G44" s="25">
        <f t="shared" si="7"/>
        <v>1.63</v>
      </c>
    </row>
    <row r="45" spans="1:7" ht="15.75" hidden="1">
      <c r="A45" s="23">
        <v>2264</v>
      </c>
      <c r="B45" s="32" t="s">
        <v>17</v>
      </c>
      <c r="C45" s="25">
        <v>0</v>
      </c>
      <c r="D45" s="25">
        <f t="shared" si="4"/>
        <v>0</v>
      </c>
      <c r="E45" s="25">
        <f t="shared" si="5"/>
        <v>0</v>
      </c>
      <c r="F45" s="25">
        <f t="shared" si="6"/>
        <v>0</v>
      </c>
      <c r="G45" s="25">
        <f t="shared" si="7"/>
        <v>0</v>
      </c>
    </row>
    <row r="46" spans="1:7" ht="15.75">
      <c r="A46" s="23">
        <v>2279</v>
      </c>
      <c r="B46" s="32" t="s">
        <v>18</v>
      </c>
      <c r="C46" s="25">
        <v>2</v>
      </c>
      <c r="D46" s="25">
        <f t="shared" si="4"/>
        <v>1.1428571428571428</v>
      </c>
      <c r="E46" s="25">
        <f t="shared" si="5"/>
        <v>1.63</v>
      </c>
      <c r="F46" s="25">
        <f t="shared" si="6"/>
        <v>1.63</v>
      </c>
      <c r="G46" s="25">
        <f t="shared" si="7"/>
        <v>1.63</v>
      </c>
    </row>
    <row r="47" spans="1:7" ht="15.75" hidden="1">
      <c r="A47" s="23">
        <v>2311</v>
      </c>
      <c r="B47" s="32" t="s">
        <v>19</v>
      </c>
      <c r="C47" s="25">
        <v>0</v>
      </c>
      <c r="D47" s="25">
        <f t="shared" si="4"/>
        <v>0</v>
      </c>
      <c r="E47" s="25">
        <f t="shared" si="5"/>
        <v>0</v>
      </c>
      <c r="F47" s="25">
        <f t="shared" si="6"/>
        <v>0</v>
      </c>
      <c r="G47" s="25">
        <f t="shared" si="7"/>
        <v>0</v>
      </c>
    </row>
    <row r="48" spans="1:7" ht="15.75" hidden="1">
      <c r="A48" s="23">
        <v>2312</v>
      </c>
      <c r="B48" s="32" t="s">
        <v>20</v>
      </c>
      <c r="C48" s="25">
        <v>0</v>
      </c>
      <c r="D48" s="25">
        <f t="shared" si="4"/>
        <v>0</v>
      </c>
      <c r="E48" s="25">
        <f t="shared" si="5"/>
        <v>0</v>
      </c>
      <c r="F48" s="25">
        <f t="shared" si="6"/>
        <v>0</v>
      </c>
      <c r="G48" s="25">
        <f t="shared" si="7"/>
        <v>0</v>
      </c>
    </row>
    <row r="49" spans="1:7" ht="15.75">
      <c r="A49" s="23">
        <v>2321</v>
      </c>
      <c r="B49" s="32" t="s">
        <v>21</v>
      </c>
      <c r="C49" s="25">
        <v>1</v>
      </c>
      <c r="D49" s="25">
        <f t="shared" si="4"/>
        <v>0.5714285714285714</v>
      </c>
      <c r="E49" s="25">
        <f t="shared" si="5"/>
        <v>0.81</v>
      </c>
      <c r="F49" s="25">
        <f t="shared" si="6"/>
        <v>0.81</v>
      </c>
      <c r="G49" s="25">
        <f t="shared" si="7"/>
        <v>0.81</v>
      </c>
    </row>
    <row r="50" spans="1:7" ht="15.75">
      <c r="A50" s="23">
        <v>2322</v>
      </c>
      <c r="B50" s="32" t="s">
        <v>22</v>
      </c>
      <c r="C50" s="25">
        <v>1</v>
      </c>
      <c r="D50" s="25">
        <f t="shared" si="4"/>
        <v>0.5714285714285714</v>
      </c>
      <c r="E50" s="25">
        <f t="shared" si="5"/>
        <v>0.81</v>
      </c>
      <c r="F50" s="25">
        <f t="shared" si="6"/>
        <v>0.81</v>
      </c>
      <c r="G50" s="25">
        <f t="shared" si="7"/>
        <v>0.81</v>
      </c>
    </row>
    <row r="51" spans="1:7" ht="15.75" hidden="1">
      <c r="A51" s="23">
        <v>2341</v>
      </c>
      <c r="B51" s="32" t="s">
        <v>23</v>
      </c>
      <c r="C51" s="25">
        <v>0</v>
      </c>
      <c r="D51" s="25">
        <f t="shared" si="4"/>
        <v>0</v>
      </c>
      <c r="E51" s="25">
        <f t="shared" si="5"/>
        <v>0</v>
      </c>
      <c r="F51" s="25">
        <f t="shared" si="6"/>
        <v>0</v>
      </c>
      <c r="G51" s="25">
        <f t="shared" si="7"/>
        <v>0</v>
      </c>
    </row>
    <row r="52" spans="1:7" ht="15.75" hidden="1">
      <c r="A52" s="23">
        <v>2344</v>
      </c>
      <c r="B52" s="32" t="s">
        <v>24</v>
      </c>
      <c r="C52" s="25">
        <v>0</v>
      </c>
      <c r="D52" s="25">
        <f t="shared" si="4"/>
        <v>0</v>
      </c>
      <c r="E52" s="25">
        <f t="shared" si="5"/>
        <v>0</v>
      </c>
      <c r="F52" s="25">
        <f t="shared" si="6"/>
        <v>0</v>
      </c>
      <c r="G52" s="25">
        <f t="shared" si="7"/>
        <v>0</v>
      </c>
    </row>
    <row r="53" spans="1:7" ht="15.75">
      <c r="A53" s="23">
        <v>2350</v>
      </c>
      <c r="B53" s="32" t="s">
        <v>25</v>
      </c>
      <c r="C53" s="25">
        <v>3</v>
      </c>
      <c r="D53" s="25">
        <f t="shared" si="4"/>
        <v>1.7142857142857144</v>
      </c>
      <c r="E53" s="25">
        <f t="shared" si="5"/>
        <v>2.44</v>
      </c>
      <c r="F53" s="25">
        <f t="shared" si="6"/>
        <v>2.44</v>
      </c>
      <c r="G53" s="25">
        <f t="shared" si="7"/>
        <v>2.44</v>
      </c>
    </row>
    <row r="54" spans="1:7" ht="15.75">
      <c r="A54" s="23">
        <v>2361</v>
      </c>
      <c r="B54" s="32" t="s">
        <v>26</v>
      </c>
      <c r="C54" s="25">
        <v>1</v>
      </c>
      <c r="D54" s="25">
        <f t="shared" si="4"/>
        <v>0.5714285714285714</v>
      </c>
      <c r="E54" s="25">
        <v>0.41</v>
      </c>
      <c r="F54" s="25">
        <f t="shared" si="6"/>
        <v>0.41</v>
      </c>
      <c r="G54" s="25">
        <f t="shared" si="7"/>
        <v>0.4099999999999999</v>
      </c>
    </row>
    <row r="55" spans="1:7" ht="15.75" hidden="1">
      <c r="A55" s="23">
        <v>2362</v>
      </c>
      <c r="B55" s="32" t="s">
        <v>27</v>
      </c>
      <c r="C55" s="25"/>
      <c r="D55" s="25">
        <f t="shared" si="4"/>
        <v>0</v>
      </c>
      <c r="E55" s="25">
        <f t="shared" si="5"/>
        <v>0</v>
      </c>
      <c r="F55" s="25">
        <f t="shared" si="6"/>
        <v>0</v>
      </c>
      <c r="G55" s="25">
        <f t="shared" si="7"/>
        <v>0</v>
      </c>
    </row>
    <row r="56" spans="1:7" ht="15.75" hidden="1">
      <c r="A56" s="23">
        <v>2363</v>
      </c>
      <c r="B56" s="32" t="s">
        <v>28</v>
      </c>
      <c r="C56" s="25"/>
      <c r="D56" s="25">
        <f t="shared" si="4"/>
        <v>0</v>
      </c>
      <c r="E56" s="25">
        <f t="shared" si="5"/>
        <v>0</v>
      </c>
      <c r="F56" s="25">
        <f t="shared" si="6"/>
        <v>0</v>
      </c>
      <c r="G56" s="25">
        <f t="shared" si="7"/>
        <v>0</v>
      </c>
    </row>
    <row r="57" spans="1:7" ht="15.75" hidden="1">
      <c r="A57" s="23">
        <v>2370</v>
      </c>
      <c r="B57" s="32" t="s">
        <v>29</v>
      </c>
      <c r="C57" s="25"/>
      <c r="D57" s="25">
        <f t="shared" si="4"/>
        <v>0</v>
      </c>
      <c r="E57" s="25">
        <f t="shared" si="5"/>
        <v>0</v>
      </c>
      <c r="F57" s="25">
        <f t="shared" si="6"/>
        <v>0</v>
      </c>
      <c r="G57" s="25">
        <f t="shared" si="7"/>
        <v>0</v>
      </c>
    </row>
    <row r="58" spans="1:7" ht="15.75" hidden="1">
      <c r="A58" s="23">
        <v>2400</v>
      </c>
      <c r="B58" s="32" t="s">
        <v>43</v>
      </c>
      <c r="C58" s="25">
        <v>0</v>
      </c>
      <c r="D58" s="25">
        <f t="shared" si="4"/>
        <v>0</v>
      </c>
      <c r="E58" s="25">
        <f t="shared" si="5"/>
        <v>0</v>
      </c>
      <c r="F58" s="25">
        <f t="shared" si="6"/>
        <v>0</v>
      </c>
      <c r="G58" s="25">
        <f t="shared" si="7"/>
        <v>0</v>
      </c>
    </row>
    <row r="59" spans="1:7" ht="15.75" hidden="1">
      <c r="A59" s="23">
        <v>2512</v>
      </c>
      <c r="B59" s="32" t="s">
        <v>30</v>
      </c>
      <c r="C59" s="25">
        <v>0</v>
      </c>
      <c r="D59" s="25">
        <f t="shared" si="4"/>
        <v>0</v>
      </c>
      <c r="E59" s="25">
        <f t="shared" si="5"/>
        <v>0</v>
      </c>
      <c r="F59" s="25">
        <f t="shared" si="6"/>
        <v>0</v>
      </c>
      <c r="G59" s="25">
        <f t="shared" si="7"/>
        <v>0</v>
      </c>
    </row>
    <row r="60" spans="1:7" ht="15.75">
      <c r="A60" s="23">
        <v>2513</v>
      </c>
      <c r="B60" s="32" t="s">
        <v>31</v>
      </c>
      <c r="C60" s="25">
        <v>2</v>
      </c>
      <c r="D60" s="25">
        <f t="shared" si="4"/>
        <v>1.1428571428571428</v>
      </c>
      <c r="E60" s="25">
        <f t="shared" si="5"/>
        <v>1.63</v>
      </c>
      <c r="F60" s="25">
        <f t="shared" si="6"/>
        <v>1.63</v>
      </c>
      <c r="G60" s="25">
        <f t="shared" si="7"/>
        <v>1.63</v>
      </c>
    </row>
    <row r="61" spans="1:7" ht="15.75" hidden="1">
      <c r="A61" s="22">
        <v>2515</v>
      </c>
      <c r="B61" s="26" t="s">
        <v>78</v>
      </c>
      <c r="C61" s="80">
        <v>0</v>
      </c>
      <c r="D61" s="80">
        <f>C61/123*200</f>
        <v>0</v>
      </c>
      <c r="E61" s="25">
        <f t="shared" si="5"/>
        <v>0</v>
      </c>
      <c r="F61" s="25">
        <f t="shared" si="6"/>
        <v>0</v>
      </c>
      <c r="G61" s="25">
        <f t="shared" si="7"/>
        <v>0</v>
      </c>
    </row>
    <row r="62" spans="1:7" ht="15.75" hidden="1">
      <c r="A62" s="22">
        <v>2519</v>
      </c>
      <c r="B62" s="26" t="s">
        <v>34</v>
      </c>
      <c r="C62" s="80">
        <v>0</v>
      </c>
      <c r="D62" s="80">
        <f>C62/123*200</f>
        <v>0</v>
      </c>
      <c r="E62" s="25">
        <f t="shared" si="5"/>
        <v>0</v>
      </c>
      <c r="F62" s="25">
        <f t="shared" si="6"/>
        <v>0</v>
      </c>
      <c r="G62" s="25">
        <f t="shared" si="7"/>
        <v>0</v>
      </c>
    </row>
    <row r="63" spans="1:7" ht="15.75" hidden="1">
      <c r="A63" s="22">
        <v>6240</v>
      </c>
      <c r="B63" s="26"/>
      <c r="C63" s="80"/>
      <c r="D63" s="80">
        <f>C63/100*20</f>
        <v>0</v>
      </c>
      <c r="E63" s="25">
        <f t="shared" si="5"/>
        <v>0</v>
      </c>
      <c r="F63" s="25">
        <f t="shared" si="6"/>
        <v>0</v>
      </c>
      <c r="G63" s="25">
        <f t="shared" si="7"/>
        <v>0</v>
      </c>
    </row>
    <row r="64" spans="1:7" ht="15.75" hidden="1">
      <c r="A64" s="22">
        <v>6290</v>
      </c>
      <c r="B64" s="26"/>
      <c r="C64" s="80"/>
      <c r="D64" s="80">
        <f>C64/100*20</f>
        <v>0</v>
      </c>
      <c r="E64" s="25">
        <f t="shared" si="5"/>
        <v>0</v>
      </c>
      <c r="F64" s="25">
        <f t="shared" si="6"/>
        <v>0</v>
      </c>
      <c r="G64" s="25">
        <f t="shared" si="7"/>
        <v>0</v>
      </c>
    </row>
    <row r="65" spans="1:7" ht="15.75" hidden="1">
      <c r="A65" s="22">
        <v>5121</v>
      </c>
      <c r="B65" s="26" t="s">
        <v>32</v>
      </c>
      <c r="C65" s="80">
        <v>0</v>
      </c>
      <c r="D65" s="80">
        <f>C65/200*50</f>
        <v>0</v>
      </c>
      <c r="E65" s="25">
        <f t="shared" si="5"/>
        <v>0</v>
      </c>
      <c r="F65" s="25">
        <f t="shared" si="6"/>
        <v>0</v>
      </c>
      <c r="G65" s="25">
        <f t="shared" si="7"/>
        <v>0</v>
      </c>
    </row>
    <row r="66" spans="1:7" ht="15.75">
      <c r="A66" s="22">
        <v>5232</v>
      </c>
      <c r="B66" s="26" t="s">
        <v>33</v>
      </c>
      <c r="C66" s="80">
        <v>0</v>
      </c>
      <c r="D66" s="80">
        <f>C66/200*50</f>
        <v>0</v>
      </c>
      <c r="E66" s="25">
        <v>0.46</v>
      </c>
      <c r="F66" s="25">
        <v>0.45</v>
      </c>
      <c r="G66" s="25">
        <f t="shared" si="7"/>
        <v>0.44999999999999996</v>
      </c>
    </row>
    <row r="67" spans="1:7" ht="15.75" hidden="1">
      <c r="A67" s="22">
        <v>5238</v>
      </c>
      <c r="B67" s="26" t="s">
        <v>35</v>
      </c>
      <c r="C67" s="80">
        <v>0</v>
      </c>
      <c r="D67" s="80">
        <f>C67/200*50</f>
        <v>0</v>
      </c>
      <c r="E67" s="25">
        <f t="shared" si="5"/>
        <v>0</v>
      </c>
      <c r="F67" s="25">
        <f t="shared" si="6"/>
        <v>0</v>
      </c>
      <c r="G67" s="25">
        <f t="shared" si="7"/>
        <v>0</v>
      </c>
    </row>
    <row r="68" spans="1:7" ht="15.75" hidden="1">
      <c r="A68" s="22">
        <v>5240</v>
      </c>
      <c r="B68" s="26" t="s">
        <v>36</v>
      </c>
      <c r="C68" s="80">
        <v>0</v>
      </c>
      <c r="D68" s="80">
        <f>C68/830*50</f>
        <v>0</v>
      </c>
      <c r="E68" s="25">
        <f t="shared" si="5"/>
        <v>0</v>
      </c>
      <c r="F68" s="25">
        <f t="shared" si="6"/>
        <v>0</v>
      </c>
      <c r="G68" s="25">
        <f t="shared" si="7"/>
        <v>0</v>
      </c>
    </row>
    <row r="69" spans="1:7" ht="15.75" hidden="1">
      <c r="A69" s="22">
        <v>5250</v>
      </c>
      <c r="B69" s="26" t="s">
        <v>37</v>
      </c>
      <c r="C69" s="80"/>
      <c r="D69" s="80">
        <f>C69/830*50</f>
        <v>0</v>
      </c>
      <c r="E69" s="25">
        <f t="shared" si="5"/>
        <v>0</v>
      </c>
      <c r="F69" s="25">
        <f t="shared" si="6"/>
        <v>0</v>
      </c>
      <c r="G69" s="25">
        <f t="shared" si="7"/>
        <v>0</v>
      </c>
    </row>
    <row r="70" spans="1:7" ht="15.75">
      <c r="A70" s="33"/>
      <c r="B70" s="34" t="s">
        <v>79</v>
      </c>
      <c r="C70" s="82">
        <f>SUM(C26:C69)</f>
        <v>70.16</v>
      </c>
      <c r="D70" s="82">
        <f>SUM(D26:D69)</f>
        <v>40.09142857142858</v>
      </c>
      <c r="E70" s="82">
        <f>SUM(E26:E69)</f>
        <v>57.09000000000002</v>
      </c>
      <c r="F70" s="82">
        <f>SUM(F26:F69)</f>
        <v>57.08000000000002</v>
      </c>
      <c r="G70" s="82">
        <f>SUM(G26:G69)</f>
        <v>58.88000000000002</v>
      </c>
    </row>
    <row r="71" spans="1:7" ht="15.75">
      <c r="A71" s="33"/>
      <c r="B71" s="34" t="s">
        <v>80</v>
      </c>
      <c r="C71" s="82">
        <f>C70+C24</f>
        <v>250.6</v>
      </c>
      <c r="D71" s="82">
        <f>D70+D24</f>
        <v>143.20000000000002</v>
      </c>
      <c r="E71" s="82">
        <f>E70+E24</f>
        <v>203.8</v>
      </c>
      <c r="F71" s="82">
        <f>F70+F24</f>
        <v>243.4</v>
      </c>
      <c r="G71" s="82">
        <f>G70+G24</f>
        <v>276.8</v>
      </c>
    </row>
    <row r="72" spans="1:7" ht="15.75">
      <c r="A72" s="9"/>
      <c r="B72" s="14"/>
      <c r="C72" s="35"/>
      <c r="D72" s="35"/>
      <c r="E72" s="35"/>
      <c r="F72" s="35"/>
      <c r="G72" s="35"/>
    </row>
    <row r="73" spans="1:7" ht="15.75" customHeight="1">
      <c r="A73" s="212" t="s">
        <v>45</v>
      </c>
      <c r="B73" s="213"/>
      <c r="C73" s="36">
        <v>35</v>
      </c>
      <c r="D73" s="17">
        <v>20</v>
      </c>
      <c r="E73" s="17">
        <v>20</v>
      </c>
      <c r="F73" s="17">
        <v>20</v>
      </c>
      <c r="G73" s="160">
        <v>20</v>
      </c>
    </row>
    <row r="74" spans="1:7" ht="15.75" customHeight="1">
      <c r="A74" s="212" t="s">
        <v>91</v>
      </c>
      <c r="B74" s="213"/>
      <c r="C74" s="100">
        <f>C71/C73</f>
        <v>7.16</v>
      </c>
      <c r="D74" s="82">
        <f>D71/D73</f>
        <v>7.160000000000001</v>
      </c>
      <c r="E74" s="82">
        <f>E71/E73</f>
        <v>10.190000000000001</v>
      </c>
      <c r="F74" s="82">
        <f>F71/F73</f>
        <v>12.17</v>
      </c>
      <c r="G74" s="161">
        <f>G71/G73</f>
        <v>13.84</v>
      </c>
    </row>
    <row r="75" spans="1:7" ht="15.75">
      <c r="A75" s="14"/>
      <c r="B75" s="11"/>
      <c r="C75" s="11"/>
      <c r="D75" s="11"/>
      <c r="E75" s="11"/>
      <c r="F75" s="11"/>
      <c r="G75" s="11"/>
    </row>
    <row r="76" spans="1:7" ht="15.75" customHeight="1">
      <c r="A76" s="214" t="s">
        <v>46</v>
      </c>
      <c r="B76" s="215"/>
      <c r="C76" s="37"/>
      <c r="D76" s="37"/>
      <c r="E76" s="37"/>
      <c r="F76" s="37"/>
      <c r="G76" s="37"/>
    </row>
    <row r="77" spans="1:7" ht="15.75" customHeight="1">
      <c r="A77" s="214" t="s">
        <v>56</v>
      </c>
      <c r="B77" s="215"/>
      <c r="C77" s="37"/>
      <c r="D77" s="37"/>
      <c r="E77" s="37"/>
      <c r="F77" s="37"/>
      <c r="G77" s="37"/>
    </row>
    <row r="78" spans="1:7" ht="15.75">
      <c r="A78" s="38"/>
      <c r="B78" s="38"/>
      <c r="C78" s="38"/>
      <c r="D78" s="38"/>
      <c r="E78" s="38"/>
      <c r="F78" s="38"/>
      <c r="G78" s="38"/>
    </row>
    <row r="79" spans="1:7" ht="15.75">
      <c r="A79" s="38" t="s">
        <v>47</v>
      </c>
      <c r="B79" s="38"/>
      <c r="C79" s="38"/>
      <c r="D79" s="38"/>
      <c r="E79" s="38"/>
      <c r="F79" s="38"/>
      <c r="G79" s="38"/>
    </row>
    <row r="80" spans="1:7" ht="15.75">
      <c r="A80" s="38"/>
      <c r="B80" s="38"/>
      <c r="C80" s="38"/>
      <c r="D80" s="38"/>
      <c r="E80" s="38"/>
      <c r="F80" s="38"/>
      <c r="G80" s="38"/>
    </row>
    <row r="81" spans="1:7" ht="15.75">
      <c r="A81" s="38"/>
      <c r="B81" s="39"/>
      <c r="C81" s="38"/>
      <c r="D81" s="38"/>
      <c r="E81" s="38"/>
      <c r="F81" s="38"/>
      <c r="G81" s="38"/>
    </row>
    <row r="82" spans="1:7" ht="15.75">
      <c r="A82" s="38"/>
      <c r="B82" s="40"/>
      <c r="C82" s="38"/>
      <c r="D82" s="38"/>
      <c r="E82" s="38"/>
      <c r="F82" s="38"/>
      <c r="G82" s="38"/>
    </row>
    <row r="83" spans="2:3" ht="15.75">
      <c r="B83" s="206"/>
      <c r="C83" s="206"/>
    </row>
  </sheetData>
  <sheetProtection/>
  <mergeCells count="12">
    <mergeCell ref="A3:G3"/>
    <mergeCell ref="B4:C4"/>
    <mergeCell ref="A5:C5"/>
    <mergeCell ref="A6:C6"/>
    <mergeCell ref="B7:C7"/>
    <mergeCell ref="B83:C83"/>
    <mergeCell ref="B8:C8"/>
    <mergeCell ref="B9:C9"/>
    <mergeCell ref="A73:B73"/>
    <mergeCell ref="A74:B74"/>
    <mergeCell ref="A76:B76"/>
    <mergeCell ref="A77:B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2.7109375" style="4" customWidth="1"/>
    <col min="2" max="2" width="93.7109375" style="4" customWidth="1"/>
    <col min="3" max="3" width="14.57421875" style="4" hidden="1" customWidth="1"/>
    <col min="4" max="4" width="22.8515625" style="4" hidden="1" customWidth="1"/>
    <col min="5" max="7" width="21.57421875" style="4" hidden="1" customWidth="1"/>
    <col min="8" max="8" width="31.57421875" style="4" customWidth="1"/>
  </cols>
  <sheetData>
    <row r="1" spans="2:8" ht="15.75">
      <c r="B1" s="12"/>
      <c r="C1" s="12"/>
      <c r="D1" s="12"/>
      <c r="E1" s="76"/>
      <c r="F1" s="76"/>
      <c r="G1" s="76"/>
      <c r="H1" s="9"/>
    </row>
    <row r="2" ht="15">
      <c r="E2" s="64"/>
    </row>
    <row r="3" spans="1:8" ht="18.75">
      <c r="A3" s="193" t="s">
        <v>6</v>
      </c>
      <c r="B3" s="193"/>
      <c r="C3" s="193"/>
      <c r="D3" s="193"/>
      <c r="E3" s="193"/>
      <c r="F3" s="193"/>
      <c r="G3" s="193"/>
      <c r="H3" s="193"/>
    </row>
    <row r="4" spans="2:5" ht="15">
      <c r="B4" s="218"/>
      <c r="C4" s="218"/>
      <c r="D4" s="218"/>
      <c r="E4" s="218"/>
    </row>
    <row r="5" spans="1:8" ht="15.75">
      <c r="A5" s="195" t="s">
        <v>1</v>
      </c>
      <c r="B5" s="195"/>
      <c r="C5" s="195"/>
      <c r="D5" s="195"/>
      <c r="E5" s="195"/>
      <c r="F5" s="15"/>
      <c r="G5" s="15"/>
      <c r="H5" s="15"/>
    </row>
    <row r="6" spans="1:8" ht="15.75">
      <c r="A6" s="195" t="s">
        <v>0</v>
      </c>
      <c r="B6" s="195"/>
      <c r="C6" s="195"/>
      <c r="D6" s="195"/>
      <c r="E6" s="195"/>
      <c r="F6" s="15"/>
      <c r="G6" s="15"/>
      <c r="H6" s="14"/>
    </row>
    <row r="7" spans="1:8" ht="15.75">
      <c r="A7" s="8"/>
      <c r="B7" s="195" t="s">
        <v>44</v>
      </c>
      <c r="C7" s="195"/>
      <c r="D7" s="195"/>
      <c r="E7" s="195"/>
      <c r="F7" s="15"/>
      <c r="G7" s="15"/>
      <c r="H7" s="14"/>
    </row>
    <row r="8" spans="1:8" ht="15.75">
      <c r="A8" s="8"/>
      <c r="B8" s="195" t="s">
        <v>100</v>
      </c>
      <c r="C8" s="195"/>
      <c r="D8" s="195"/>
      <c r="E8" s="195"/>
      <c r="F8" s="15"/>
      <c r="G8" s="15"/>
      <c r="H8" s="15"/>
    </row>
    <row r="9" spans="1:8" ht="15.75">
      <c r="A9" s="8"/>
      <c r="B9" s="223" t="s">
        <v>104</v>
      </c>
      <c r="C9" s="223"/>
      <c r="D9" s="223"/>
      <c r="E9" s="223"/>
      <c r="F9" s="223"/>
      <c r="G9" s="223"/>
      <c r="H9" s="223"/>
    </row>
    <row r="10" spans="1:8" ht="15.75">
      <c r="A10" s="8" t="s">
        <v>2</v>
      </c>
      <c r="B10" s="8" t="s">
        <v>205</v>
      </c>
      <c r="C10" s="8"/>
      <c r="D10" s="8"/>
      <c r="E10" s="8"/>
      <c r="F10" s="15"/>
      <c r="G10" s="15"/>
      <c r="H10" s="15"/>
    </row>
    <row r="11" spans="1:8" ht="15.75" hidden="1">
      <c r="A11" s="15"/>
      <c r="B11" s="16"/>
      <c r="C11" s="16"/>
      <c r="D11" s="16"/>
      <c r="E11" s="77"/>
      <c r="F11" s="15"/>
      <c r="G11" s="15"/>
      <c r="H11" s="15"/>
    </row>
    <row r="12" spans="1:8" ht="49.5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</row>
    <row r="13" spans="1:8" ht="15.75">
      <c r="A13" s="18">
        <v>1</v>
      </c>
      <c r="B13" s="19">
        <v>2</v>
      </c>
      <c r="C13" s="18"/>
      <c r="D13" s="19"/>
      <c r="E13" s="18"/>
      <c r="F13" s="19"/>
      <c r="G13" s="19"/>
      <c r="H13" s="19">
        <v>3</v>
      </c>
    </row>
    <row r="14" spans="1:8" ht="15.75">
      <c r="A14" s="20"/>
      <c r="B14" s="45" t="s">
        <v>71</v>
      </c>
      <c r="C14" s="97"/>
      <c r="D14" s="45"/>
      <c r="E14" s="97"/>
      <c r="F14" s="23"/>
      <c r="G14" s="23"/>
      <c r="H14" s="23"/>
    </row>
    <row r="15" spans="1:8" ht="15.75">
      <c r="A15" s="23">
        <v>1100</v>
      </c>
      <c r="B15" s="23" t="s">
        <v>72</v>
      </c>
      <c r="C15" s="25">
        <v>695.15</v>
      </c>
      <c r="D15" s="25">
        <f>ROUND(C15/0.702804,2)</f>
        <v>989.11</v>
      </c>
      <c r="E15" s="25">
        <f>ROUND(D15/560*280,2)</f>
        <v>494.56</v>
      </c>
      <c r="F15" s="25">
        <v>525.13</v>
      </c>
      <c r="G15" s="25">
        <v>666.92</v>
      </c>
      <c r="H15" s="25">
        <f>G15/280*50+50*2.04</f>
        <v>221.09285714285713</v>
      </c>
    </row>
    <row r="16" spans="1:8" ht="15" customHeight="1">
      <c r="A16" s="23">
        <v>1200</v>
      </c>
      <c r="B16" s="32" t="s">
        <v>73</v>
      </c>
      <c r="C16" s="47">
        <v>163.98</v>
      </c>
      <c r="D16" s="25">
        <f>ROUND(C16/0.702804,2)</f>
        <v>233.32</v>
      </c>
      <c r="E16" s="25">
        <f>ROUND(D16/560*280,2)</f>
        <v>116.66</v>
      </c>
      <c r="F16" s="25">
        <v>123.88</v>
      </c>
      <c r="G16" s="25">
        <v>160.66</v>
      </c>
      <c r="H16" s="25">
        <f>G16/280*50+50*0.49</f>
        <v>53.18928571428572</v>
      </c>
    </row>
    <row r="17" spans="1:8" ht="15.75">
      <c r="A17" s="23">
        <v>2222</v>
      </c>
      <c r="B17" s="32" t="s">
        <v>39</v>
      </c>
      <c r="C17" s="25">
        <v>369.6</v>
      </c>
      <c r="D17" s="25">
        <f>ROUND(C17/0.702804,2)</f>
        <v>525.89</v>
      </c>
      <c r="E17" s="25">
        <f>ROUND(D17/560*280,2)</f>
        <v>262.95</v>
      </c>
      <c r="F17" s="25">
        <f>E17</f>
        <v>262.95</v>
      </c>
      <c r="G17" s="25">
        <f>F17</f>
        <v>262.95</v>
      </c>
      <c r="H17" s="25">
        <f aca="true" t="shared" si="0" ref="H17:H22">G17/280*50</f>
        <v>46.95535714285714</v>
      </c>
    </row>
    <row r="18" spans="1:8" ht="15.75">
      <c r="A18" s="23">
        <v>2243</v>
      </c>
      <c r="B18" s="32" t="s">
        <v>11</v>
      </c>
      <c r="C18" s="25">
        <v>60.75</v>
      </c>
      <c r="D18" s="25">
        <f>ROUND(C18/0.702804,2)</f>
        <v>86.44</v>
      </c>
      <c r="E18" s="25">
        <f>ROUND(D18/560*280,2)</f>
        <v>43.22</v>
      </c>
      <c r="F18" s="25">
        <f>E18</f>
        <v>43.22</v>
      </c>
      <c r="G18" s="25">
        <f>F18</f>
        <v>43.22</v>
      </c>
      <c r="H18" s="25">
        <f t="shared" si="0"/>
        <v>7.717857142857143</v>
      </c>
    </row>
    <row r="19" spans="1:8" ht="15.75" hidden="1">
      <c r="A19" s="23">
        <v>2350</v>
      </c>
      <c r="B19" s="32" t="s">
        <v>25</v>
      </c>
      <c r="C19" s="25"/>
      <c r="D19" s="32"/>
      <c r="E19" s="25"/>
      <c r="F19" s="25">
        <f>E19/35*20</f>
        <v>0</v>
      </c>
      <c r="G19" s="25">
        <f>F19</f>
        <v>0</v>
      </c>
      <c r="H19" s="25">
        <f t="shared" si="0"/>
        <v>0</v>
      </c>
    </row>
    <row r="20" spans="1:8" ht="15.75" hidden="1">
      <c r="A20" s="31">
        <v>2341</v>
      </c>
      <c r="B20" s="32" t="s">
        <v>23</v>
      </c>
      <c r="C20" s="25"/>
      <c r="D20" s="32"/>
      <c r="E20" s="25"/>
      <c r="F20" s="25">
        <f>E20/35*20</f>
        <v>0</v>
      </c>
      <c r="G20" s="25">
        <f>F20</f>
        <v>0</v>
      </c>
      <c r="H20" s="25">
        <f t="shared" si="0"/>
        <v>0</v>
      </c>
    </row>
    <row r="21" spans="1:8" ht="15.75" hidden="1">
      <c r="A21" s="23">
        <v>2249</v>
      </c>
      <c r="B21" s="32" t="s">
        <v>13</v>
      </c>
      <c r="C21" s="25"/>
      <c r="D21" s="32"/>
      <c r="E21" s="25"/>
      <c r="F21" s="25">
        <f>E21/35*20</f>
        <v>0</v>
      </c>
      <c r="G21" s="25">
        <f>F21</f>
        <v>0</v>
      </c>
      <c r="H21" s="25">
        <f t="shared" si="0"/>
        <v>0</v>
      </c>
    </row>
    <row r="22" spans="1:8" ht="15.75" hidden="1">
      <c r="A22" s="23"/>
      <c r="B22" s="23"/>
      <c r="C22" s="25"/>
      <c r="D22" s="23"/>
      <c r="E22" s="25"/>
      <c r="F22" s="25">
        <f>E22/35*20</f>
        <v>0</v>
      </c>
      <c r="G22" s="25">
        <f>F22</f>
        <v>0</v>
      </c>
      <c r="H22" s="25">
        <f t="shared" si="0"/>
        <v>0</v>
      </c>
    </row>
    <row r="23" spans="1:8" ht="15.75">
      <c r="A23" s="23"/>
      <c r="B23" s="46" t="s">
        <v>74</v>
      </c>
      <c r="C23" s="28">
        <f aca="true" t="shared" si="1" ref="C23:H23">SUM(C15:C22)</f>
        <v>1289.48</v>
      </c>
      <c r="D23" s="28">
        <f t="shared" si="1"/>
        <v>1834.7600000000002</v>
      </c>
      <c r="E23" s="28">
        <f t="shared" si="1"/>
        <v>917.3900000000001</v>
      </c>
      <c r="F23" s="28">
        <f t="shared" si="1"/>
        <v>955.1800000000001</v>
      </c>
      <c r="G23" s="28">
        <f t="shared" si="1"/>
        <v>1133.75</v>
      </c>
      <c r="H23" s="28">
        <f t="shared" si="1"/>
        <v>328.9553571428571</v>
      </c>
    </row>
    <row r="24" spans="1:8" ht="15.75">
      <c r="A24" s="29"/>
      <c r="B24" s="23" t="s">
        <v>75</v>
      </c>
      <c r="C24" s="25"/>
      <c r="D24" s="23"/>
      <c r="E24" s="25"/>
      <c r="F24" s="25"/>
      <c r="G24" s="25"/>
      <c r="H24" s="25"/>
    </row>
    <row r="25" spans="1:8" ht="15.75">
      <c r="A25" s="23">
        <v>1100</v>
      </c>
      <c r="B25" s="23" t="s">
        <v>72</v>
      </c>
      <c r="C25" s="25">
        <v>160.21</v>
      </c>
      <c r="D25" s="25">
        <f aca="true" t="shared" si="2" ref="D25:D66">ROUND(C25/0.702804,2)</f>
        <v>227.96</v>
      </c>
      <c r="E25" s="25">
        <f aca="true" t="shared" si="3" ref="E25:E66">ROUND(D25/560*280,2)</f>
        <v>113.98</v>
      </c>
      <c r="F25" s="25">
        <v>117.4</v>
      </c>
      <c r="G25" s="25">
        <v>116.92</v>
      </c>
      <c r="H25" s="25">
        <f aca="true" t="shared" si="4" ref="H25:H68">G25/280*50</f>
        <v>20.87857142857143</v>
      </c>
    </row>
    <row r="26" spans="1:8" ht="15.75" customHeight="1">
      <c r="A26" s="23">
        <v>1200</v>
      </c>
      <c r="B26" s="32" t="s">
        <v>73</v>
      </c>
      <c r="C26" s="47">
        <v>37.79</v>
      </c>
      <c r="D26" s="25">
        <f t="shared" si="2"/>
        <v>53.77</v>
      </c>
      <c r="E26" s="25">
        <f t="shared" si="3"/>
        <v>26.89</v>
      </c>
      <c r="F26" s="25">
        <v>27.69</v>
      </c>
      <c r="G26" s="25">
        <v>28.17</v>
      </c>
      <c r="H26" s="25">
        <f t="shared" si="4"/>
        <v>5.030357142857143</v>
      </c>
    </row>
    <row r="27" spans="1:8" ht="15.75" hidden="1">
      <c r="A27" s="23">
        <v>2100</v>
      </c>
      <c r="B27" s="30" t="s">
        <v>42</v>
      </c>
      <c r="C27" s="25"/>
      <c r="D27" s="25">
        <f t="shared" si="2"/>
        <v>0</v>
      </c>
      <c r="E27" s="25">
        <f t="shared" si="3"/>
        <v>0</v>
      </c>
      <c r="F27" s="25">
        <f aca="true" t="shared" si="5" ref="F27:F67">E27</f>
        <v>0</v>
      </c>
      <c r="G27" s="25">
        <f>F27</f>
        <v>0</v>
      </c>
      <c r="H27" s="25">
        <f t="shared" si="4"/>
        <v>0</v>
      </c>
    </row>
    <row r="28" spans="1:8" ht="15.75">
      <c r="A28" s="31">
        <v>2210</v>
      </c>
      <c r="B28" s="32" t="s">
        <v>38</v>
      </c>
      <c r="C28" s="25">
        <v>5</v>
      </c>
      <c r="D28" s="25">
        <f t="shared" si="2"/>
        <v>7.11</v>
      </c>
      <c r="E28" s="25">
        <f t="shared" si="3"/>
        <v>3.56</v>
      </c>
      <c r="F28" s="25">
        <f t="shared" si="5"/>
        <v>3.56</v>
      </c>
      <c r="G28" s="25">
        <f aca="true" t="shared" si="6" ref="G28:G68">F28</f>
        <v>3.56</v>
      </c>
      <c r="H28" s="25">
        <f t="shared" si="4"/>
        <v>0.6357142857142857</v>
      </c>
    </row>
    <row r="29" spans="1:8" ht="15.75">
      <c r="A29" s="23">
        <v>2222</v>
      </c>
      <c r="B29" s="32" t="s">
        <v>39</v>
      </c>
      <c r="C29" s="25">
        <v>11</v>
      </c>
      <c r="D29" s="25">
        <f t="shared" si="2"/>
        <v>15.65</v>
      </c>
      <c r="E29" s="25">
        <f t="shared" si="3"/>
        <v>7.83</v>
      </c>
      <c r="F29" s="25">
        <f t="shared" si="5"/>
        <v>7.83</v>
      </c>
      <c r="G29" s="25">
        <f t="shared" si="6"/>
        <v>7.83</v>
      </c>
      <c r="H29" s="25">
        <f t="shared" si="4"/>
        <v>1.3982142857142859</v>
      </c>
    </row>
    <row r="30" spans="1:8" ht="15.75">
      <c r="A30" s="23">
        <v>2223</v>
      </c>
      <c r="B30" s="32" t="s">
        <v>40</v>
      </c>
      <c r="C30" s="25">
        <v>151</v>
      </c>
      <c r="D30" s="25">
        <f t="shared" si="2"/>
        <v>214.85</v>
      </c>
      <c r="E30" s="25">
        <f t="shared" si="3"/>
        <v>107.43</v>
      </c>
      <c r="F30" s="25">
        <f t="shared" si="5"/>
        <v>107.43</v>
      </c>
      <c r="G30" s="25">
        <f t="shared" si="6"/>
        <v>107.43</v>
      </c>
      <c r="H30" s="25">
        <f t="shared" si="4"/>
        <v>19.183928571428574</v>
      </c>
    </row>
    <row r="31" spans="1:8" ht="15.75">
      <c r="A31" s="23">
        <v>2230</v>
      </c>
      <c r="B31" s="32" t="s">
        <v>41</v>
      </c>
      <c r="C31" s="25">
        <v>3</v>
      </c>
      <c r="D31" s="25">
        <f t="shared" si="2"/>
        <v>4.27</v>
      </c>
      <c r="E31" s="25">
        <f t="shared" si="3"/>
        <v>2.14</v>
      </c>
      <c r="F31" s="25">
        <f t="shared" si="5"/>
        <v>2.14</v>
      </c>
      <c r="G31" s="25">
        <f t="shared" si="6"/>
        <v>2.14</v>
      </c>
      <c r="H31" s="25">
        <f t="shared" si="4"/>
        <v>0.3821428571428572</v>
      </c>
    </row>
    <row r="32" spans="1:8" ht="15.75" hidden="1">
      <c r="A32" s="23">
        <v>2241</v>
      </c>
      <c r="B32" s="32" t="s">
        <v>9</v>
      </c>
      <c r="C32" s="25"/>
      <c r="D32" s="25">
        <f t="shared" si="2"/>
        <v>0</v>
      </c>
      <c r="E32" s="25">
        <f t="shared" si="3"/>
        <v>0</v>
      </c>
      <c r="F32" s="25">
        <f t="shared" si="5"/>
        <v>0</v>
      </c>
      <c r="G32" s="25">
        <f t="shared" si="6"/>
        <v>0</v>
      </c>
      <c r="H32" s="25">
        <f t="shared" si="4"/>
        <v>0</v>
      </c>
    </row>
    <row r="33" spans="1:8" ht="15.75">
      <c r="A33" s="23">
        <v>2242</v>
      </c>
      <c r="B33" s="32" t="s">
        <v>10</v>
      </c>
      <c r="C33" s="25">
        <v>1</v>
      </c>
      <c r="D33" s="25">
        <f t="shared" si="2"/>
        <v>1.42</v>
      </c>
      <c r="E33" s="25">
        <f t="shared" si="3"/>
        <v>0.71</v>
      </c>
      <c r="F33" s="25">
        <f t="shared" si="5"/>
        <v>0.71</v>
      </c>
      <c r="G33" s="25">
        <f t="shared" si="6"/>
        <v>0.71</v>
      </c>
      <c r="H33" s="25">
        <f t="shared" si="4"/>
        <v>0.12678571428571428</v>
      </c>
    </row>
    <row r="34" spans="1:8" ht="15.75">
      <c r="A34" s="23">
        <v>2243</v>
      </c>
      <c r="B34" s="32" t="s">
        <v>11</v>
      </c>
      <c r="C34" s="25">
        <v>3.5</v>
      </c>
      <c r="D34" s="25">
        <f t="shared" si="2"/>
        <v>4.98</v>
      </c>
      <c r="E34" s="25">
        <f t="shared" si="3"/>
        <v>2.49</v>
      </c>
      <c r="F34" s="25">
        <f t="shared" si="5"/>
        <v>2.49</v>
      </c>
      <c r="G34" s="25">
        <f t="shared" si="6"/>
        <v>2.49</v>
      </c>
      <c r="H34" s="25">
        <f t="shared" si="4"/>
        <v>0.4446428571428572</v>
      </c>
    </row>
    <row r="35" spans="1:8" ht="15.75">
      <c r="A35" s="23">
        <v>2244</v>
      </c>
      <c r="B35" s="32" t="s">
        <v>12</v>
      </c>
      <c r="C35" s="25">
        <v>53.82</v>
      </c>
      <c r="D35" s="25">
        <f t="shared" si="2"/>
        <v>76.58</v>
      </c>
      <c r="E35" s="25">
        <f t="shared" si="3"/>
        <v>38.29</v>
      </c>
      <c r="F35" s="25">
        <f t="shared" si="5"/>
        <v>38.29</v>
      </c>
      <c r="G35" s="25">
        <f t="shared" si="6"/>
        <v>38.29</v>
      </c>
      <c r="H35" s="25">
        <f>G35/280*50+50*0.15</f>
        <v>14.3375</v>
      </c>
    </row>
    <row r="36" spans="1:8" ht="15.75">
      <c r="A36" s="23">
        <v>2247</v>
      </c>
      <c r="B36" s="45" t="s">
        <v>76</v>
      </c>
      <c r="C36" s="25">
        <v>0.5</v>
      </c>
      <c r="D36" s="25">
        <f t="shared" si="2"/>
        <v>0.71</v>
      </c>
      <c r="E36" s="25">
        <f t="shared" si="3"/>
        <v>0.36</v>
      </c>
      <c r="F36" s="25">
        <f t="shared" si="5"/>
        <v>0.36</v>
      </c>
      <c r="G36" s="25">
        <f t="shared" si="6"/>
        <v>0.36</v>
      </c>
      <c r="H36" s="25">
        <f t="shared" si="4"/>
        <v>0.06428571428571428</v>
      </c>
    </row>
    <row r="37" spans="1:8" ht="15.75">
      <c r="A37" s="23">
        <v>2249</v>
      </c>
      <c r="B37" s="32" t="s">
        <v>13</v>
      </c>
      <c r="C37" s="25">
        <v>1</v>
      </c>
      <c r="D37" s="25">
        <f t="shared" si="2"/>
        <v>1.42</v>
      </c>
      <c r="E37" s="25">
        <f t="shared" si="3"/>
        <v>0.71</v>
      </c>
      <c r="F37" s="25">
        <f t="shared" si="5"/>
        <v>0.71</v>
      </c>
      <c r="G37" s="25">
        <f t="shared" si="6"/>
        <v>0.71</v>
      </c>
      <c r="H37" s="25">
        <f t="shared" si="4"/>
        <v>0.12678571428571428</v>
      </c>
    </row>
    <row r="38" spans="1:8" ht="15.75">
      <c r="A38" s="23">
        <v>2251</v>
      </c>
      <c r="B38" s="32" t="s">
        <v>77</v>
      </c>
      <c r="C38" s="25">
        <v>0.5</v>
      </c>
      <c r="D38" s="25">
        <f t="shared" si="2"/>
        <v>0.71</v>
      </c>
      <c r="E38" s="25">
        <f t="shared" si="3"/>
        <v>0.36</v>
      </c>
      <c r="F38" s="25">
        <f t="shared" si="5"/>
        <v>0.36</v>
      </c>
      <c r="G38" s="25">
        <f t="shared" si="6"/>
        <v>0.36</v>
      </c>
      <c r="H38" s="25">
        <f t="shared" si="4"/>
        <v>0.06428571428571428</v>
      </c>
    </row>
    <row r="39" spans="1:8" ht="15.75" hidden="1">
      <c r="A39" s="23">
        <v>2252</v>
      </c>
      <c r="B39" s="32" t="s">
        <v>7</v>
      </c>
      <c r="C39" s="25"/>
      <c r="D39" s="25">
        <f t="shared" si="2"/>
        <v>0</v>
      </c>
      <c r="E39" s="25">
        <f t="shared" si="3"/>
        <v>0</v>
      </c>
      <c r="F39" s="25">
        <f t="shared" si="5"/>
        <v>0</v>
      </c>
      <c r="G39" s="25">
        <f t="shared" si="6"/>
        <v>0</v>
      </c>
      <c r="H39" s="25">
        <f t="shared" si="4"/>
        <v>0</v>
      </c>
    </row>
    <row r="40" spans="1:8" ht="15.75" hidden="1">
      <c r="A40" s="23">
        <v>2259</v>
      </c>
      <c r="B40" s="32" t="s">
        <v>8</v>
      </c>
      <c r="C40" s="25"/>
      <c r="D40" s="25">
        <f t="shared" si="2"/>
        <v>0</v>
      </c>
      <c r="E40" s="25">
        <f t="shared" si="3"/>
        <v>0</v>
      </c>
      <c r="F40" s="25">
        <f t="shared" si="5"/>
        <v>0</v>
      </c>
      <c r="G40" s="25">
        <f t="shared" si="6"/>
        <v>0</v>
      </c>
      <c r="H40" s="25">
        <f t="shared" si="4"/>
        <v>0</v>
      </c>
    </row>
    <row r="41" spans="1:8" ht="15.75">
      <c r="A41" s="23">
        <v>2261</v>
      </c>
      <c r="B41" s="32" t="s">
        <v>14</v>
      </c>
      <c r="C41" s="25">
        <v>0.5</v>
      </c>
      <c r="D41" s="25">
        <f t="shared" si="2"/>
        <v>0.71</v>
      </c>
      <c r="E41" s="25">
        <f t="shared" si="3"/>
        <v>0.36</v>
      </c>
      <c r="F41" s="25">
        <f t="shared" si="5"/>
        <v>0.36</v>
      </c>
      <c r="G41" s="25">
        <f t="shared" si="6"/>
        <v>0.36</v>
      </c>
      <c r="H41" s="25">
        <f t="shared" si="4"/>
        <v>0.06428571428571428</v>
      </c>
    </row>
    <row r="42" spans="1:8" ht="15.75">
      <c r="A42" s="23">
        <v>2262</v>
      </c>
      <c r="B42" s="32" t="s">
        <v>15</v>
      </c>
      <c r="C42" s="25">
        <v>3</v>
      </c>
      <c r="D42" s="25">
        <f t="shared" si="2"/>
        <v>4.27</v>
      </c>
      <c r="E42" s="25">
        <f t="shared" si="3"/>
        <v>2.14</v>
      </c>
      <c r="F42" s="25">
        <f t="shared" si="5"/>
        <v>2.14</v>
      </c>
      <c r="G42" s="25">
        <f t="shared" si="6"/>
        <v>2.14</v>
      </c>
      <c r="H42" s="25">
        <f t="shared" si="4"/>
        <v>0.3821428571428572</v>
      </c>
    </row>
    <row r="43" spans="1:8" ht="15.75">
      <c r="A43" s="23">
        <v>2263</v>
      </c>
      <c r="B43" s="32" t="s">
        <v>16</v>
      </c>
      <c r="C43" s="25">
        <v>12</v>
      </c>
      <c r="D43" s="25">
        <f t="shared" si="2"/>
        <v>17.07</v>
      </c>
      <c r="E43" s="25">
        <f t="shared" si="3"/>
        <v>8.54</v>
      </c>
      <c r="F43" s="25">
        <f t="shared" si="5"/>
        <v>8.54</v>
      </c>
      <c r="G43" s="25">
        <f t="shared" si="6"/>
        <v>8.54</v>
      </c>
      <c r="H43" s="25">
        <f t="shared" si="4"/>
        <v>1.5249999999999997</v>
      </c>
    </row>
    <row r="44" spans="1:8" ht="15.75" hidden="1">
      <c r="A44" s="23">
        <v>2264</v>
      </c>
      <c r="B44" s="32" t="s">
        <v>17</v>
      </c>
      <c r="C44" s="25">
        <v>0</v>
      </c>
      <c r="D44" s="25">
        <f t="shared" si="2"/>
        <v>0</v>
      </c>
      <c r="E44" s="25">
        <f t="shared" si="3"/>
        <v>0</v>
      </c>
      <c r="F44" s="25">
        <f t="shared" si="5"/>
        <v>0</v>
      </c>
      <c r="G44" s="25">
        <f t="shared" si="6"/>
        <v>0</v>
      </c>
      <c r="H44" s="25">
        <f t="shared" si="4"/>
        <v>0</v>
      </c>
    </row>
    <row r="45" spans="1:8" ht="15.75">
      <c r="A45" s="23">
        <v>2279</v>
      </c>
      <c r="B45" s="32" t="s">
        <v>18</v>
      </c>
      <c r="C45" s="25">
        <v>13.5</v>
      </c>
      <c r="D45" s="25">
        <f t="shared" si="2"/>
        <v>19.21</v>
      </c>
      <c r="E45" s="25">
        <f t="shared" si="3"/>
        <v>9.61</v>
      </c>
      <c r="F45" s="25">
        <f t="shared" si="5"/>
        <v>9.61</v>
      </c>
      <c r="G45" s="25">
        <f t="shared" si="6"/>
        <v>9.61</v>
      </c>
      <c r="H45" s="25">
        <f t="shared" si="4"/>
        <v>1.7160714285714287</v>
      </c>
    </row>
    <row r="46" spans="1:8" ht="15.75">
      <c r="A46" s="23">
        <v>2311</v>
      </c>
      <c r="B46" s="32" t="s">
        <v>19</v>
      </c>
      <c r="C46" s="25">
        <v>1</v>
      </c>
      <c r="D46" s="25">
        <f t="shared" si="2"/>
        <v>1.42</v>
      </c>
      <c r="E46" s="25">
        <f t="shared" si="3"/>
        <v>0.71</v>
      </c>
      <c r="F46" s="25">
        <f t="shared" si="5"/>
        <v>0.71</v>
      </c>
      <c r="G46" s="25">
        <f t="shared" si="6"/>
        <v>0.71</v>
      </c>
      <c r="H46" s="25">
        <f t="shared" si="4"/>
        <v>0.12678571428571428</v>
      </c>
    </row>
    <row r="47" spans="1:8" ht="15.75">
      <c r="A47" s="23">
        <v>2312</v>
      </c>
      <c r="B47" s="32" t="s">
        <v>20</v>
      </c>
      <c r="C47" s="25">
        <v>3.5</v>
      </c>
      <c r="D47" s="25">
        <f t="shared" si="2"/>
        <v>4.98</v>
      </c>
      <c r="E47" s="25">
        <f t="shared" si="3"/>
        <v>2.49</v>
      </c>
      <c r="F47" s="25">
        <f t="shared" si="5"/>
        <v>2.49</v>
      </c>
      <c r="G47" s="25">
        <f t="shared" si="6"/>
        <v>2.49</v>
      </c>
      <c r="H47" s="25">
        <f t="shared" si="4"/>
        <v>0.4446428571428572</v>
      </c>
    </row>
    <row r="48" spans="1:8" ht="15.75">
      <c r="A48" s="23">
        <v>2321</v>
      </c>
      <c r="B48" s="32" t="s">
        <v>21</v>
      </c>
      <c r="C48" s="25">
        <v>246.5</v>
      </c>
      <c r="D48" s="25">
        <f t="shared" si="2"/>
        <v>350.74</v>
      </c>
      <c r="E48" s="25">
        <f t="shared" si="3"/>
        <v>175.37</v>
      </c>
      <c r="F48" s="25">
        <f t="shared" si="5"/>
        <v>175.37</v>
      </c>
      <c r="G48" s="25">
        <f t="shared" si="6"/>
        <v>175.37</v>
      </c>
      <c r="H48" s="25">
        <f t="shared" si="4"/>
        <v>31.31607142857143</v>
      </c>
    </row>
    <row r="49" spans="1:8" ht="15.75">
      <c r="A49" s="23">
        <v>2322</v>
      </c>
      <c r="B49" s="32" t="s">
        <v>22</v>
      </c>
      <c r="C49" s="25">
        <v>9</v>
      </c>
      <c r="D49" s="25">
        <f t="shared" si="2"/>
        <v>12.81</v>
      </c>
      <c r="E49" s="25">
        <f t="shared" si="3"/>
        <v>6.41</v>
      </c>
      <c r="F49" s="25">
        <v>6.4</v>
      </c>
      <c r="G49" s="25">
        <f t="shared" si="6"/>
        <v>6.4</v>
      </c>
      <c r="H49" s="25">
        <f t="shared" si="4"/>
        <v>1.1428571428571428</v>
      </c>
    </row>
    <row r="50" spans="1:8" ht="15.75" hidden="1">
      <c r="A50" s="23">
        <v>2341</v>
      </c>
      <c r="B50" s="32" t="s">
        <v>23</v>
      </c>
      <c r="C50" s="25">
        <v>0</v>
      </c>
      <c r="D50" s="25">
        <f t="shared" si="2"/>
        <v>0</v>
      </c>
      <c r="E50" s="25">
        <f t="shared" si="3"/>
        <v>0</v>
      </c>
      <c r="F50" s="25">
        <f t="shared" si="5"/>
        <v>0</v>
      </c>
      <c r="G50" s="25">
        <f t="shared" si="6"/>
        <v>0</v>
      </c>
      <c r="H50" s="25">
        <f t="shared" si="4"/>
        <v>0</v>
      </c>
    </row>
    <row r="51" spans="1:8" ht="15.75" hidden="1">
      <c r="A51" s="23">
        <v>2344</v>
      </c>
      <c r="B51" s="32" t="s">
        <v>24</v>
      </c>
      <c r="C51" s="25">
        <v>0</v>
      </c>
      <c r="D51" s="25">
        <f t="shared" si="2"/>
        <v>0</v>
      </c>
      <c r="E51" s="25">
        <f t="shared" si="3"/>
        <v>0</v>
      </c>
      <c r="F51" s="25">
        <f t="shared" si="5"/>
        <v>0</v>
      </c>
      <c r="G51" s="25">
        <f t="shared" si="6"/>
        <v>0</v>
      </c>
      <c r="H51" s="25">
        <f t="shared" si="4"/>
        <v>0</v>
      </c>
    </row>
    <row r="52" spans="1:8" ht="15.75">
      <c r="A52" s="23">
        <v>2350</v>
      </c>
      <c r="B52" s="32" t="s">
        <v>25</v>
      </c>
      <c r="C52" s="25">
        <v>11</v>
      </c>
      <c r="D52" s="25">
        <f t="shared" si="2"/>
        <v>15.65</v>
      </c>
      <c r="E52" s="25">
        <f t="shared" si="3"/>
        <v>7.83</v>
      </c>
      <c r="F52" s="25">
        <f t="shared" si="5"/>
        <v>7.83</v>
      </c>
      <c r="G52" s="25">
        <f t="shared" si="6"/>
        <v>7.83</v>
      </c>
      <c r="H52" s="25">
        <f t="shared" si="4"/>
        <v>1.3982142857142859</v>
      </c>
    </row>
    <row r="53" spans="1:8" ht="15.75">
      <c r="A53" s="23">
        <v>2361</v>
      </c>
      <c r="B53" s="32" t="s">
        <v>26</v>
      </c>
      <c r="C53" s="25">
        <v>0.5</v>
      </c>
      <c r="D53" s="25">
        <f t="shared" si="2"/>
        <v>0.71</v>
      </c>
      <c r="E53" s="25">
        <f t="shared" si="3"/>
        <v>0.36</v>
      </c>
      <c r="F53" s="25">
        <f t="shared" si="5"/>
        <v>0.36</v>
      </c>
      <c r="G53" s="25">
        <f t="shared" si="6"/>
        <v>0.36</v>
      </c>
      <c r="H53" s="25">
        <f t="shared" si="4"/>
        <v>0.06428571428571428</v>
      </c>
    </row>
    <row r="54" spans="1:8" ht="15.75" hidden="1">
      <c r="A54" s="23">
        <v>2362</v>
      </c>
      <c r="B54" s="32" t="s">
        <v>27</v>
      </c>
      <c r="C54" s="25"/>
      <c r="D54" s="25">
        <f t="shared" si="2"/>
        <v>0</v>
      </c>
      <c r="E54" s="25">
        <f t="shared" si="3"/>
        <v>0</v>
      </c>
      <c r="F54" s="25">
        <f t="shared" si="5"/>
        <v>0</v>
      </c>
      <c r="G54" s="25">
        <f t="shared" si="6"/>
        <v>0</v>
      </c>
      <c r="H54" s="25">
        <f t="shared" si="4"/>
        <v>0</v>
      </c>
    </row>
    <row r="55" spans="1:8" ht="15.75" hidden="1">
      <c r="A55" s="23">
        <v>2363</v>
      </c>
      <c r="B55" s="32" t="s">
        <v>28</v>
      </c>
      <c r="C55" s="25"/>
      <c r="D55" s="25">
        <f t="shared" si="2"/>
        <v>0</v>
      </c>
      <c r="E55" s="25">
        <f t="shared" si="3"/>
        <v>0</v>
      </c>
      <c r="F55" s="25">
        <f t="shared" si="5"/>
        <v>0</v>
      </c>
      <c r="G55" s="25">
        <f t="shared" si="6"/>
        <v>0</v>
      </c>
      <c r="H55" s="25">
        <f t="shared" si="4"/>
        <v>0</v>
      </c>
    </row>
    <row r="56" spans="1:8" ht="15.75" hidden="1">
      <c r="A56" s="23">
        <v>2370</v>
      </c>
      <c r="B56" s="32" t="s">
        <v>29</v>
      </c>
      <c r="C56" s="25"/>
      <c r="D56" s="25">
        <f t="shared" si="2"/>
        <v>0</v>
      </c>
      <c r="E56" s="25">
        <f t="shared" si="3"/>
        <v>0</v>
      </c>
      <c r="F56" s="25">
        <f t="shared" si="5"/>
        <v>0</v>
      </c>
      <c r="G56" s="25">
        <f t="shared" si="6"/>
        <v>0</v>
      </c>
      <c r="H56" s="25">
        <f t="shared" si="4"/>
        <v>0</v>
      </c>
    </row>
    <row r="57" spans="1:8" ht="15.75">
      <c r="A57" s="23">
        <v>2400</v>
      </c>
      <c r="B57" s="32" t="s">
        <v>43</v>
      </c>
      <c r="C57" s="25">
        <v>0.5</v>
      </c>
      <c r="D57" s="25">
        <f t="shared" si="2"/>
        <v>0.71</v>
      </c>
      <c r="E57" s="25">
        <f t="shared" si="3"/>
        <v>0.36</v>
      </c>
      <c r="F57" s="25">
        <f t="shared" si="5"/>
        <v>0.36</v>
      </c>
      <c r="G57" s="25">
        <f t="shared" si="6"/>
        <v>0.36</v>
      </c>
      <c r="H57" s="25">
        <f t="shared" si="4"/>
        <v>0.06428571428571428</v>
      </c>
    </row>
    <row r="58" spans="1:8" ht="15.75" hidden="1">
      <c r="A58" s="23">
        <v>2512</v>
      </c>
      <c r="B58" s="32" t="s">
        <v>30</v>
      </c>
      <c r="C58" s="25">
        <v>0</v>
      </c>
      <c r="D58" s="25">
        <f t="shared" si="2"/>
        <v>0</v>
      </c>
      <c r="E58" s="25">
        <f t="shared" si="3"/>
        <v>0</v>
      </c>
      <c r="F58" s="25">
        <f t="shared" si="5"/>
        <v>0</v>
      </c>
      <c r="G58" s="25">
        <f t="shared" si="6"/>
        <v>0</v>
      </c>
      <c r="H58" s="25">
        <f t="shared" si="4"/>
        <v>0</v>
      </c>
    </row>
    <row r="59" spans="1:8" ht="15.75">
      <c r="A59" s="23">
        <v>2513</v>
      </c>
      <c r="B59" s="32" t="s">
        <v>31</v>
      </c>
      <c r="C59" s="25">
        <v>6</v>
      </c>
      <c r="D59" s="25">
        <f t="shared" si="2"/>
        <v>8.54</v>
      </c>
      <c r="E59" s="25">
        <f t="shared" si="3"/>
        <v>4.27</v>
      </c>
      <c r="F59" s="25">
        <f t="shared" si="5"/>
        <v>4.27</v>
      </c>
      <c r="G59" s="25">
        <f t="shared" si="6"/>
        <v>4.27</v>
      </c>
      <c r="H59" s="25">
        <f t="shared" si="4"/>
        <v>0.7624999999999998</v>
      </c>
    </row>
    <row r="60" spans="1:8" ht="15.75">
      <c r="A60" s="23">
        <v>2515</v>
      </c>
      <c r="B60" s="32" t="s">
        <v>78</v>
      </c>
      <c r="C60" s="25">
        <v>0.5</v>
      </c>
      <c r="D60" s="25">
        <f t="shared" si="2"/>
        <v>0.71</v>
      </c>
      <c r="E60" s="25">
        <f t="shared" si="3"/>
        <v>0.36</v>
      </c>
      <c r="F60" s="25">
        <f t="shared" si="5"/>
        <v>0.36</v>
      </c>
      <c r="G60" s="25">
        <f t="shared" si="6"/>
        <v>0.36</v>
      </c>
      <c r="H60" s="25">
        <f t="shared" si="4"/>
        <v>0.06428571428571428</v>
      </c>
    </row>
    <row r="61" spans="1:8" ht="15.75">
      <c r="A61" s="23">
        <v>2519</v>
      </c>
      <c r="B61" s="32" t="s">
        <v>34</v>
      </c>
      <c r="C61" s="25">
        <v>5</v>
      </c>
      <c r="D61" s="25">
        <f t="shared" si="2"/>
        <v>7.11</v>
      </c>
      <c r="E61" s="25">
        <f t="shared" si="3"/>
        <v>3.56</v>
      </c>
      <c r="F61" s="25">
        <f t="shared" si="5"/>
        <v>3.56</v>
      </c>
      <c r="G61" s="25">
        <f t="shared" si="6"/>
        <v>3.56</v>
      </c>
      <c r="H61" s="25">
        <f t="shared" si="4"/>
        <v>0.6357142857142857</v>
      </c>
    </row>
    <row r="62" spans="1:8" ht="15.75" hidden="1">
      <c r="A62" s="23">
        <v>6240</v>
      </c>
      <c r="B62" s="32"/>
      <c r="C62" s="25"/>
      <c r="D62" s="25">
        <f t="shared" si="2"/>
        <v>0</v>
      </c>
      <c r="E62" s="25">
        <f t="shared" si="3"/>
        <v>0</v>
      </c>
      <c r="F62" s="25">
        <f t="shared" si="5"/>
        <v>0</v>
      </c>
      <c r="G62" s="25">
        <f t="shared" si="6"/>
        <v>0</v>
      </c>
      <c r="H62" s="25">
        <f t="shared" si="4"/>
        <v>0</v>
      </c>
    </row>
    <row r="63" spans="1:8" ht="15.75" hidden="1">
      <c r="A63" s="23">
        <v>6290</v>
      </c>
      <c r="B63" s="32"/>
      <c r="C63" s="25"/>
      <c r="D63" s="25">
        <f t="shared" si="2"/>
        <v>0</v>
      </c>
      <c r="E63" s="25">
        <f t="shared" si="3"/>
        <v>0</v>
      </c>
      <c r="F63" s="25">
        <f t="shared" si="5"/>
        <v>0</v>
      </c>
      <c r="G63" s="25">
        <f t="shared" si="6"/>
        <v>0</v>
      </c>
      <c r="H63" s="25">
        <f t="shared" si="4"/>
        <v>0</v>
      </c>
    </row>
    <row r="64" spans="1:8" ht="15.75">
      <c r="A64" s="23">
        <v>5121</v>
      </c>
      <c r="B64" s="32" t="s">
        <v>32</v>
      </c>
      <c r="C64" s="25">
        <v>2</v>
      </c>
      <c r="D64" s="25">
        <f t="shared" si="2"/>
        <v>2.85</v>
      </c>
      <c r="E64" s="25">
        <f t="shared" si="3"/>
        <v>1.43</v>
      </c>
      <c r="F64" s="25">
        <f t="shared" si="5"/>
        <v>1.43</v>
      </c>
      <c r="G64" s="25">
        <f t="shared" si="6"/>
        <v>1.43</v>
      </c>
      <c r="H64" s="25">
        <f t="shared" si="4"/>
        <v>0.25535714285714284</v>
      </c>
    </row>
    <row r="65" spans="1:8" ht="15.75">
      <c r="A65" s="23">
        <v>5232</v>
      </c>
      <c r="B65" s="32" t="s">
        <v>33</v>
      </c>
      <c r="C65" s="25">
        <v>0</v>
      </c>
      <c r="D65" s="25">
        <f t="shared" si="2"/>
        <v>0</v>
      </c>
      <c r="E65" s="25">
        <f t="shared" si="3"/>
        <v>0</v>
      </c>
      <c r="F65" s="25">
        <f t="shared" si="5"/>
        <v>0</v>
      </c>
      <c r="G65" s="25">
        <v>0.63</v>
      </c>
      <c r="H65" s="25">
        <f t="shared" si="4"/>
        <v>0.11249999999999999</v>
      </c>
    </row>
    <row r="66" spans="1:8" ht="15.75" hidden="1">
      <c r="A66" s="23">
        <v>5238</v>
      </c>
      <c r="B66" s="32" t="s">
        <v>35</v>
      </c>
      <c r="C66" s="25">
        <v>0</v>
      </c>
      <c r="D66" s="25">
        <f t="shared" si="2"/>
        <v>0</v>
      </c>
      <c r="E66" s="25">
        <f t="shared" si="3"/>
        <v>0</v>
      </c>
      <c r="F66" s="25">
        <f t="shared" si="5"/>
        <v>0</v>
      </c>
      <c r="G66" s="25">
        <f t="shared" si="6"/>
        <v>0</v>
      </c>
      <c r="H66" s="25">
        <f t="shared" si="4"/>
        <v>0</v>
      </c>
    </row>
    <row r="67" spans="1:8" ht="15.75">
      <c r="A67" s="23">
        <v>5240</v>
      </c>
      <c r="B67" s="32" t="s">
        <v>36</v>
      </c>
      <c r="C67" s="25">
        <v>0.5</v>
      </c>
      <c r="D67" s="25">
        <v>3.52</v>
      </c>
      <c r="E67" s="25">
        <v>1.66</v>
      </c>
      <c r="F67" s="25">
        <f t="shared" si="5"/>
        <v>1.66</v>
      </c>
      <c r="G67" s="25">
        <f t="shared" si="6"/>
        <v>1.66</v>
      </c>
      <c r="H67" s="25">
        <f t="shared" si="4"/>
        <v>0.2964285714285714</v>
      </c>
    </row>
    <row r="68" spans="1:8" ht="15.75" hidden="1">
      <c r="A68" s="23">
        <v>5250</v>
      </c>
      <c r="B68" s="32" t="s">
        <v>37</v>
      </c>
      <c r="C68" s="25">
        <v>0</v>
      </c>
      <c r="D68" s="32"/>
      <c r="E68" s="25">
        <v>0</v>
      </c>
      <c r="F68" s="25">
        <f>E68/560*200</f>
        <v>0</v>
      </c>
      <c r="G68" s="25">
        <f t="shared" si="6"/>
        <v>0</v>
      </c>
      <c r="H68" s="25">
        <f t="shared" si="4"/>
        <v>0</v>
      </c>
    </row>
    <row r="69" spans="1:8" ht="15.75">
      <c r="A69" s="29"/>
      <c r="B69" s="48" t="s">
        <v>79</v>
      </c>
      <c r="C69" s="28">
        <f aca="true" t="shared" si="7" ref="C69:H69">SUM(C25:C68)</f>
        <v>743.3199999999999</v>
      </c>
      <c r="D69" s="28">
        <f t="shared" si="7"/>
        <v>1060.44</v>
      </c>
      <c r="E69" s="28">
        <f t="shared" si="7"/>
        <v>530.21</v>
      </c>
      <c r="F69" s="28">
        <f t="shared" si="7"/>
        <v>534.42</v>
      </c>
      <c r="G69" s="28">
        <f t="shared" si="7"/>
        <v>535.05</v>
      </c>
      <c r="H69" s="28">
        <f t="shared" si="7"/>
        <v>103.04464285714289</v>
      </c>
    </row>
    <row r="70" spans="1:8" ht="15.75">
      <c r="A70" s="29"/>
      <c r="B70" s="48" t="s">
        <v>80</v>
      </c>
      <c r="C70" s="28">
        <f aca="true" t="shared" si="8" ref="C70:H70">C69+C23</f>
        <v>2032.8</v>
      </c>
      <c r="D70" s="28">
        <f t="shared" si="8"/>
        <v>2895.2000000000003</v>
      </c>
      <c r="E70" s="28">
        <f t="shared" si="8"/>
        <v>1447.6000000000001</v>
      </c>
      <c r="F70" s="28">
        <f t="shared" si="8"/>
        <v>1489.6</v>
      </c>
      <c r="G70" s="28">
        <f t="shared" si="8"/>
        <v>1668.8</v>
      </c>
      <c r="H70" s="28">
        <f t="shared" si="8"/>
        <v>432</v>
      </c>
    </row>
    <row r="71" spans="1:8" ht="15.75">
      <c r="A71" s="49"/>
      <c r="B71" s="50"/>
      <c r="C71" s="41"/>
      <c r="D71" s="41"/>
      <c r="E71" s="41"/>
      <c r="F71" s="41"/>
      <c r="G71" s="41"/>
      <c r="H71" s="41"/>
    </row>
    <row r="72" spans="1:8" ht="15.75">
      <c r="A72" s="214" t="s">
        <v>45</v>
      </c>
      <c r="B72" s="215"/>
      <c r="C72" s="69">
        <v>560</v>
      </c>
      <c r="D72" s="69">
        <v>560</v>
      </c>
      <c r="E72" s="42">
        <v>280</v>
      </c>
      <c r="F72" s="42">
        <v>280</v>
      </c>
      <c r="G72" s="42">
        <v>280</v>
      </c>
      <c r="H72" s="162">
        <v>50</v>
      </c>
    </row>
    <row r="73" spans="1:8" ht="15.75">
      <c r="A73" s="212" t="s">
        <v>54</v>
      </c>
      <c r="B73" s="213"/>
      <c r="C73" s="102">
        <f>C70/C72</f>
        <v>3.63</v>
      </c>
      <c r="D73" s="100">
        <f>ROUND(D70/D72,2)</f>
        <v>5.17</v>
      </c>
      <c r="E73" s="82">
        <f>ROUND(E70/E72,2)</f>
        <v>5.17</v>
      </c>
      <c r="F73" s="82">
        <f>ROUND(F70/F72,2)</f>
        <v>5.32</v>
      </c>
      <c r="G73" s="82">
        <f>ROUND(G70/G72,2)</f>
        <v>5.96</v>
      </c>
      <c r="H73" s="161">
        <f>ROUND(H70/H72,2)</f>
        <v>8.64</v>
      </c>
    </row>
    <row r="74" spans="1:8" ht="15.75">
      <c r="A74" s="14"/>
      <c r="B74" s="11"/>
      <c r="C74" s="11"/>
      <c r="D74" s="11"/>
      <c r="E74" s="11"/>
      <c r="F74" s="11"/>
      <c r="G74" s="11"/>
      <c r="H74" s="11"/>
    </row>
    <row r="75" spans="1:8" ht="15.75">
      <c r="A75" s="212" t="s">
        <v>46</v>
      </c>
      <c r="B75" s="213"/>
      <c r="C75" s="72"/>
      <c r="D75" s="72"/>
      <c r="E75" s="37"/>
      <c r="F75" s="37"/>
      <c r="G75" s="37"/>
      <c r="H75" s="37"/>
    </row>
    <row r="76" spans="1:8" ht="15.75">
      <c r="A76" s="212" t="s">
        <v>56</v>
      </c>
      <c r="B76" s="213"/>
      <c r="C76" s="72"/>
      <c r="D76" s="72"/>
      <c r="E76" s="37"/>
      <c r="F76" s="37"/>
      <c r="G76" s="37"/>
      <c r="H76" s="37"/>
    </row>
    <row r="77" spans="1:8" ht="15.75">
      <c r="A77" s="38"/>
      <c r="B77" s="38"/>
      <c r="C77" s="38"/>
      <c r="D77" s="38"/>
      <c r="E77" s="38"/>
      <c r="F77" s="38"/>
      <c r="G77" s="38"/>
      <c r="H77" s="38"/>
    </row>
    <row r="78" spans="1:8" ht="15.75">
      <c r="A78" s="38" t="s">
        <v>47</v>
      </c>
      <c r="B78" s="38"/>
      <c r="C78" s="38"/>
      <c r="D78" s="38"/>
      <c r="E78" s="38"/>
      <c r="F78" s="38"/>
      <c r="G78" s="38"/>
      <c r="H78" s="38"/>
    </row>
    <row r="79" spans="1:8" ht="15.75">
      <c r="A79" s="38"/>
      <c r="B79" s="38"/>
      <c r="C79" s="38"/>
      <c r="D79" s="38"/>
      <c r="E79" s="38"/>
      <c r="F79" s="38"/>
      <c r="G79" s="38"/>
      <c r="H79" s="38"/>
    </row>
    <row r="80" spans="1:8" ht="15.75">
      <c r="A80" s="38"/>
      <c r="B80" s="39"/>
      <c r="C80" s="39"/>
      <c r="D80" s="39"/>
      <c r="E80" s="39"/>
      <c r="F80" s="38"/>
      <c r="G80" s="38"/>
      <c r="H80" s="38"/>
    </row>
    <row r="81" spans="1:8" ht="15.75">
      <c r="A81" s="38"/>
      <c r="B81" s="101"/>
      <c r="C81" s="101"/>
      <c r="D81" s="101"/>
      <c r="E81" s="39"/>
      <c r="F81" s="38"/>
      <c r="G81" s="38"/>
      <c r="H81" s="38"/>
    </row>
    <row r="82" spans="2:5" ht="15">
      <c r="B82" s="232"/>
      <c r="C82" s="232"/>
      <c r="D82" s="232"/>
      <c r="E82" s="232"/>
    </row>
  </sheetData>
  <sheetProtection/>
  <mergeCells count="12">
    <mergeCell ref="A72:B72"/>
    <mergeCell ref="A73:B73"/>
    <mergeCell ref="A75:B75"/>
    <mergeCell ref="B7:E7"/>
    <mergeCell ref="A76:B76"/>
    <mergeCell ref="B82:E82"/>
    <mergeCell ref="B9:H9"/>
    <mergeCell ref="A3:H3"/>
    <mergeCell ref="B4:E4"/>
    <mergeCell ref="A5:E5"/>
    <mergeCell ref="A6:E6"/>
    <mergeCell ref="B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view="pageLayout" workbookViewId="0" topLeftCell="A1">
      <selection activeCell="A1" sqref="A1:IV5"/>
    </sheetView>
  </sheetViews>
  <sheetFormatPr defaultColWidth="9.140625" defaultRowHeight="12.75"/>
  <cols>
    <col min="1" max="1" width="12.00390625" style="7" customWidth="1"/>
    <col min="2" max="2" width="95.00390625" style="7" customWidth="1"/>
    <col min="3" max="3" width="31.421875" style="15" customWidth="1"/>
  </cols>
  <sheetData>
    <row r="1" spans="1:3" ht="15.75">
      <c r="A1" s="15"/>
      <c r="B1" s="15"/>
      <c r="C1" s="14"/>
    </row>
    <row r="2" spans="1:3" ht="15.75">
      <c r="A2" s="208" t="s">
        <v>6</v>
      </c>
      <c r="B2" s="208"/>
      <c r="C2" s="208"/>
    </row>
    <row r="3" spans="1:3" ht="15.75">
      <c r="A3" s="15"/>
      <c r="B3" s="78"/>
      <c r="C3" s="14"/>
    </row>
    <row r="4" spans="1:3" ht="15.75">
      <c r="A4" s="195" t="s">
        <v>1</v>
      </c>
      <c r="B4" s="195"/>
      <c r="C4" s="14"/>
    </row>
    <row r="5" spans="1:3" ht="15.75">
      <c r="A5" s="195" t="s">
        <v>0</v>
      </c>
      <c r="B5" s="195"/>
      <c r="C5" s="14"/>
    </row>
    <row r="6" spans="1:3" ht="15.75">
      <c r="A6" s="8"/>
      <c r="B6" s="8" t="s">
        <v>44</v>
      </c>
      <c r="C6" s="14"/>
    </row>
    <row r="7" spans="1:3" ht="15.75">
      <c r="A7" s="8"/>
      <c r="B7" s="8" t="s">
        <v>100</v>
      </c>
      <c r="C7" s="14"/>
    </row>
    <row r="8" spans="1:3" ht="15.75">
      <c r="A8" s="8"/>
      <c r="B8" s="8" t="s">
        <v>246</v>
      </c>
      <c r="C8" s="14"/>
    </row>
    <row r="9" spans="1:3" ht="15.75">
      <c r="A9" s="8" t="s">
        <v>2</v>
      </c>
      <c r="B9" s="8" t="s">
        <v>205</v>
      </c>
      <c r="C9" s="14"/>
    </row>
    <row r="10" spans="1:3" ht="15.75" hidden="1">
      <c r="A10" s="15"/>
      <c r="B10" s="16"/>
      <c r="C10" s="14"/>
    </row>
    <row r="11" spans="1:3" ht="47.25">
      <c r="A11" s="59" t="s">
        <v>3</v>
      </c>
      <c r="B11" s="59" t="s">
        <v>4</v>
      </c>
      <c r="C11" s="59" t="s">
        <v>5</v>
      </c>
    </row>
    <row r="12" spans="1:3" ht="15.75">
      <c r="A12" s="18">
        <v>1</v>
      </c>
      <c r="B12" s="19">
        <v>2</v>
      </c>
      <c r="C12" s="19">
        <v>3</v>
      </c>
    </row>
    <row r="13" spans="1:3" ht="15.75">
      <c r="A13" s="18"/>
      <c r="B13" s="21" t="s">
        <v>68</v>
      </c>
      <c r="C13" s="173"/>
    </row>
    <row r="14" spans="1:3" ht="15.75">
      <c r="A14" s="23">
        <v>1100</v>
      </c>
      <c r="B14" s="24" t="s">
        <v>59</v>
      </c>
      <c r="C14" s="25">
        <f>66.83+50*0.765</f>
        <v>105.08</v>
      </c>
    </row>
    <row r="15" spans="1:3" ht="15.75" customHeight="1">
      <c r="A15" s="23">
        <v>1200</v>
      </c>
      <c r="B15" s="26" t="s">
        <v>60</v>
      </c>
      <c r="C15" s="25">
        <f>16.1+0.185*50</f>
        <v>25.35</v>
      </c>
    </row>
    <row r="16" spans="1:3" ht="15.75">
      <c r="A16" s="23">
        <v>2222</v>
      </c>
      <c r="B16" s="26" t="s">
        <v>39</v>
      </c>
      <c r="C16" s="25">
        <v>1.95</v>
      </c>
    </row>
    <row r="17" spans="1:3" ht="15.75">
      <c r="A17" s="31">
        <v>2341</v>
      </c>
      <c r="B17" s="26" t="s">
        <v>23</v>
      </c>
      <c r="C17" s="25">
        <v>4</v>
      </c>
    </row>
    <row r="18" spans="1:3" ht="15.75">
      <c r="A18" s="23">
        <v>2223</v>
      </c>
      <c r="B18" s="26" t="s">
        <v>40</v>
      </c>
      <c r="C18" s="25">
        <v>1.75</v>
      </c>
    </row>
    <row r="19" spans="1:3" ht="15.75">
      <c r="A19" s="23">
        <v>2321</v>
      </c>
      <c r="B19" s="26" t="s">
        <v>21</v>
      </c>
      <c r="C19" s="25">
        <v>2.13</v>
      </c>
    </row>
    <row r="20" spans="1:3" ht="15.75" hidden="1">
      <c r="A20" s="23">
        <v>2243</v>
      </c>
      <c r="B20" s="26" t="s">
        <v>11</v>
      </c>
      <c r="C20" s="25">
        <v>0</v>
      </c>
    </row>
    <row r="21" spans="1:3" ht="15.75">
      <c r="A21" s="23">
        <v>5232</v>
      </c>
      <c r="B21" s="26" t="s">
        <v>33</v>
      </c>
      <c r="C21" s="25">
        <v>5.71</v>
      </c>
    </row>
    <row r="22" spans="1:3" ht="15.75">
      <c r="A22" s="23">
        <v>2312</v>
      </c>
      <c r="B22" s="26" t="s">
        <v>20</v>
      </c>
      <c r="C22" s="25">
        <v>11.6</v>
      </c>
    </row>
    <row r="23" spans="1:3" ht="15.75">
      <c r="A23" s="23">
        <v>2311</v>
      </c>
      <c r="B23" s="26" t="s">
        <v>19</v>
      </c>
      <c r="C23" s="25">
        <v>15.5</v>
      </c>
    </row>
    <row r="24" spans="1:3" ht="15.75" hidden="1">
      <c r="A24" s="23">
        <v>2361</v>
      </c>
      <c r="B24" s="26" t="s">
        <v>96</v>
      </c>
      <c r="C24" s="25">
        <v>0</v>
      </c>
    </row>
    <row r="25" spans="1:3" ht="15.75">
      <c r="A25" s="181"/>
      <c r="B25" s="27" t="s">
        <v>67</v>
      </c>
      <c r="C25" s="28">
        <f>SUM(C14:C24)</f>
        <v>173.07</v>
      </c>
    </row>
    <row r="26" spans="1:3" ht="15.75">
      <c r="A26" s="180"/>
      <c r="B26" s="24" t="s">
        <v>61</v>
      </c>
      <c r="C26" s="179"/>
    </row>
    <row r="27" spans="1:3" ht="15.75">
      <c r="A27" s="23">
        <v>1100</v>
      </c>
      <c r="B27" s="24" t="s">
        <v>59</v>
      </c>
      <c r="C27" s="25">
        <v>18.03</v>
      </c>
    </row>
    <row r="28" spans="1:3" ht="15.75" customHeight="1">
      <c r="A28" s="23">
        <v>1200</v>
      </c>
      <c r="B28" s="26" t="s">
        <v>60</v>
      </c>
      <c r="C28" s="25">
        <v>4.34</v>
      </c>
    </row>
    <row r="29" spans="1:3" ht="15.75">
      <c r="A29" s="31">
        <v>2210</v>
      </c>
      <c r="B29" s="26" t="s">
        <v>38</v>
      </c>
      <c r="C29" s="25">
        <v>0.7</v>
      </c>
    </row>
    <row r="30" spans="1:3" ht="15.75">
      <c r="A30" s="23">
        <v>2222</v>
      </c>
      <c r="B30" s="26" t="s">
        <v>39</v>
      </c>
      <c r="C30" s="25">
        <v>1.39</v>
      </c>
    </row>
    <row r="31" spans="1:3" ht="15.75">
      <c r="A31" s="23">
        <v>2223</v>
      </c>
      <c r="B31" s="26" t="s">
        <v>40</v>
      </c>
      <c r="C31" s="25">
        <v>2.05</v>
      </c>
    </row>
    <row r="32" spans="1:3" ht="15.75">
      <c r="A32" s="23">
        <v>2230</v>
      </c>
      <c r="B32" s="26" t="s">
        <v>41</v>
      </c>
      <c r="C32" s="25">
        <v>0.86</v>
      </c>
    </row>
    <row r="33" spans="1:3" ht="15.75">
      <c r="A33" s="23">
        <v>2241</v>
      </c>
      <c r="B33" s="26" t="s">
        <v>9</v>
      </c>
      <c r="C33" s="25">
        <v>1.55</v>
      </c>
    </row>
    <row r="34" spans="1:3" ht="15.75">
      <c r="A34" s="23">
        <v>2242</v>
      </c>
      <c r="B34" s="26" t="s">
        <v>10</v>
      </c>
      <c r="C34" s="25">
        <v>0.64</v>
      </c>
    </row>
    <row r="35" spans="1:3" ht="15.75">
      <c r="A35" s="23">
        <v>2243</v>
      </c>
      <c r="B35" s="26" t="s">
        <v>11</v>
      </c>
      <c r="C35" s="25">
        <v>1.59</v>
      </c>
    </row>
    <row r="36" spans="1:3" ht="15.75">
      <c r="A36" s="22">
        <v>2244</v>
      </c>
      <c r="B36" s="26" t="s">
        <v>12</v>
      </c>
      <c r="C36" s="25">
        <f>2.73+0.03*50</f>
        <v>4.23</v>
      </c>
    </row>
    <row r="37" spans="1:3" ht="15.75">
      <c r="A37" s="22">
        <v>2247</v>
      </c>
      <c r="B37" s="21" t="s">
        <v>62</v>
      </c>
      <c r="C37" s="25">
        <v>0.6</v>
      </c>
    </row>
    <row r="38" spans="1:3" ht="15.75">
      <c r="A38" s="22">
        <v>2249</v>
      </c>
      <c r="B38" s="26" t="s">
        <v>13</v>
      </c>
      <c r="C38" s="25">
        <v>1.39</v>
      </c>
    </row>
    <row r="39" spans="1:3" ht="15.75">
      <c r="A39" s="22">
        <v>2251</v>
      </c>
      <c r="B39" s="26" t="s">
        <v>63</v>
      </c>
      <c r="C39" s="25">
        <v>0.93</v>
      </c>
    </row>
    <row r="40" spans="1:3" ht="15.75" hidden="1">
      <c r="A40" s="22">
        <v>2252</v>
      </c>
      <c r="B40" s="26" t="s">
        <v>7</v>
      </c>
      <c r="C40" s="25"/>
    </row>
    <row r="41" spans="1:3" ht="15.75" hidden="1">
      <c r="A41" s="22">
        <v>2259</v>
      </c>
      <c r="B41" s="26" t="s">
        <v>8</v>
      </c>
      <c r="C41" s="25"/>
    </row>
    <row r="42" spans="1:3" ht="15.75">
      <c r="A42" s="22">
        <v>2261</v>
      </c>
      <c r="B42" s="26" t="s">
        <v>14</v>
      </c>
      <c r="C42" s="25">
        <v>0.65</v>
      </c>
    </row>
    <row r="43" spans="1:3" ht="15.75">
      <c r="A43" s="22">
        <v>2262</v>
      </c>
      <c r="B43" s="26" t="s">
        <v>15</v>
      </c>
      <c r="C43" s="25">
        <v>0.66</v>
      </c>
    </row>
    <row r="44" spans="1:3" ht="15.75">
      <c r="A44" s="22">
        <v>2263</v>
      </c>
      <c r="B44" s="26" t="s">
        <v>16</v>
      </c>
      <c r="C44" s="25">
        <v>1.08</v>
      </c>
    </row>
    <row r="45" spans="1:3" ht="15.75" hidden="1">
      <c r="A45" s="23">
        <v>2264</v>
      </c>
      <c r="B45" s="26" t="s">
        <v>17</v>
      </c>
      <c r="C45" s="25"/>
    </row>
    <row r="46" spans="1:3" ht="15.75">
      <c r="A46" s="23">
        <v>2279</v>
      </c>
      <c r="B46" s="26" t="s">
        <v>18</v>
      </c>
      <c r="C46" s="25">
        <v>0.64</v>
      </c>
    </row>
    <row r="47" spans="1:3" ht="15.75">
      <c r="A47" s="23">
        <v>2311</v>
      </c>
      <c r="B47" s="26" t="s">
        <v>19</v>
      </c>
      <c r="C47" s="25">
        <v>0.37</v>
      </c>
    </row>
    <row r="48" spans="1:3" ht="15.75">
      <c r="A48" s="23">
        <v>2312</v>
      </c>
      <c r="B48" s="26" t="s">
        <v>20</v>
      </c>
      <c r="C48" s="25">
        <v>0.65</v>
      </c>
    </row>
    <row r="49" spans="1:3" ht="15.75">
      <c r="A49" s="23">
        <v>2321</v>
      </c>
      <c r="B49" s="26" t="s">
        <v>21</v>
      </c>
      <c r="C49" s="25">
        <v>1.8</v>
      </c>
    </row>
    <row r="50" spans="1:3" ht="15.75">
      <c r="A50" s="23">
        <v>2322</v>
      </c>
      <c r="B50" s="26" t="s">
        <v>22</v>
      </c>
      <c r="C50" s="25">
        <v>1.47</v>
      </c>
    </row>
    <row r="51" spans="1:3" ht="15.75">
      <c r="A51" s="23">
        <v>2341</v>
      </c>
      <c r="B51" s="26" t="s">
        <v>23</v>
      </c>
      <c r="C51" s="25">
        <v>0.78</v>
      </c>
    </row>
    <row r="52" spans="1:3" ht="15.75" hidden="1">
      <c r="A52" s="23">
        <v>2344</v>
      </c>
      <c r="B52" s="26" t="s">
        <v>24</v>
      </c>
      <c r="C52" s="25"/>
    </row>
    <row r="53" spans="1:3" ht="15.75">
      <c r="A53" s="23">
        <v>2350</v>
      </c>
      <c r="B53" s="26" t="s">
        <v>25</v>
      </c>
      <c r="C53" s="25">
        <v>1.45</v>
      </c>
    </row>
    <row r="54" spans="1:3" ht="15.75">
      <c r="A54" s="23">
        <v>2361</v>
      </c>
      <c r="B54" s="26" t="s">
        <v>26</v>
      </c>
      <c r="C54" s="25">
        <v>1.38</v>
      </c>
    </row>
    <row r="55" spans="1:3" ht="15.75" hidden="1">
      <c r="A55" s="23">
        <v>2362</v>
      </c>
      <c r="B55" s="26" t="s">
        <v>27</v>
      </c>
      <c r="C55" s="25"/>
    </row>
    <row r="56" spans="1:3" ht="15.75" hidden="1">
      <c r="A56" s="23">
        <v>2363</v>
      </c>
      <c r="B56" s="26" t="s">
        <v>28</v>
      </c>
      <c r="C56" s="25"/>
    </row>
    <row r="57" spans="1:3" ht="15.75" hidden="1">
      <c r="A57" s="23">
        <v>2370</v>
      </c>
      <c r="B57" s="26" t="s">
        <v>29</v>
      </c>
      <c r="C57" s="25"/>
    </row>
    <row r="58" spans="1:3" ht="15.75">
      <c r="A58" s="23">
        <v>2400</v>
      </c>
      <c r="B58" s="26" t="s">
        <v>43</v>
      </c>
      <c r="C58" s="25">
        <v>0.27</v>
      </c>
    </row>
    <row r="59" spans="1:3" ht="15.75" hidden="1">
      <c r="A59" s="23">
        <v>2512</v>
      </c>
      <c r="B59" s="26" t="s">
        <v>30</v>
      </c>
      <c r="C59" s="25"/>
    </row>
    <row r="60" spans="1:3" ht="15.75">
      <c r="A60" s="23">
        <v>2513</v>
      </c>
      <c r="B60" s="26" t="s">
        <v>31</v>
      </c>
      <c r="C60" s="25">
        <v>1.45</v>
      </c>
    </row>
    <row r="61" spans="1:3" ht="15.75">
      <c r="A61" s="23">
        <v>2515</v>
      </c>
      <c r="B61" s="26" t="s">
        <v>64</v>
      </c>
      <c r="C61" s="25">
        <v>0.39</v>
      </c>
    </row>
    <row r="62" spans="1:3" ht="15.75">
      <c r="A62" s="23">
        <v>2519</v>
      </c>
      <c r="B62" s="26" t="s">
        <v>34</v>
      </c>
      <c r="C62" s="25">
        <v>0.73</v>
      </c>
    </row>
    <row r="63" spans="1:3" ht="15.75" hidden="1">
      <c r="A63" s="23">
        <v>6240</v>
      </c>
      <c r="B63" s="26"/>
      <c r="C63" s="25"/>
    </row>
    <row r="64" spans="1:3" ht="15.75" hidden="1">
      <c r="A64" s="23">
        <v>6290</v>
      </c>
      <c r="B64" s="26"/>
      <c r="C64" s="25"/>
    </row>
    <row r="65" spans="1:3" ht="15.75">
      <c r="A65" s="23">
        <v>5121</v>
      </c>
      <c r="B65" s="26" t="s">
        <v>32</v>
      </c>
      <c r="C65" s="25">
        <v>0.12</v>
      </c>
    </row>
    <row r="66" spans="1:3" ht="15.75">
      <c r="A66" s="23">
        <v>5232</v>
      </c>
      <c r="B66" s="26" t="s">
        <v>33</v>
      </c>
      <c r="C66" s="25">
        <v>0.23</v>
      </c>
    </row>
    <row r="67" spans="1:3" ht="15.75">
      <c r="A67" s="23">
        <v>5238</v>
      </c>
      <c r="B67" s="26" t="s">
        <v>35</v>
      </c>
      <c r="C67" s="25">
        <v>0.2</v>
      </c>
    </row>
    <row r="68" spans="1:3" ht="15.75" hidden="1">
      <c r="A68" s="23">
        <v>5240</v>
      </c>
      <c r="B68" s="26" t="s">
        <v>36</v>
      </c>
      <c r="C68" s="25">
        <v>0</v>
      </c>
    </row>
    <row r="69" spans="1:3" ht="15.75">
      <c r="A69" s="22">
        <v>5250</v>
      </c>
      <c r="B69" s="26" t="s">
        <v>37</v>
      </c>
      <c r="C69" s="25">
        <v>0.31</v>
      </c>
    </row>
    <row r="70" spans="1:3" ht="15.75">
      <c r="A70" s="33"/>
      <c r="B70" s="34" t="s">
        <v>65</v>
      </c>
      <c r="C70" s="28">
        <f>SUM(C27:C69)</f>
        <v>52.93</v>
      </c>
    </row>
    <row r="71" spans="1:3" ht="15.75">
      <c r="A71" s="33"/>
      <c r="B71" s="34" t="s">
        <v>66</v>
      </c>
      <c r="C71" s="28">
        <f>C25+C70</f>
        <v>226</v>
      </c>
    </row>
    <row r="72" spans="1:3" ht="15.75">
      <c r="A72" s="177"/>
      <c r="B72" s="178"/>
      <c r="C72" s="182"/>
    </row>
    <row r="73" spans="1:3" ht="15.75">
      <c r="A73" s="212" t="s">
        <v>45</v>
      </c>
      <c r="B73" s="213"/>
      <c r="C73" s="17">
        <v>50</v>
      </c>
    </row>
    <row r="74" spans="1:3" ht="15.75">
      <c r="A74" s="212" t="s">
        <v>54</v>
      </c>
      <c r="B74" s="213"/>
      <c r="C74" s="164">
        <f>ROUND(C71/C73,2)</f>
        <v>4.52</v>
      </c>
    </row>
    <row r="75" spans="1:3" ht="15.75">
      <c r="A75" s="50"/>
      <c r="B75" s="43"/>
      <c r="C75" s="51"/>
    </row>
    <row r="76" spans="1:3" ht="15.75">
      <c r="A76" s="214" t="s">
        <v>46</v>
      </c>
      <c r="B76" s="215"/>
      <c r="C76" s="44"/>
    </row>
    <row r="77" spans="1:3" ht="15.75">
      <c r="A77" s="214" t="s">
        <v>56</v>
      </c>
      <c r="B77" s="215"/>
      <c r="C77" s="44"/>
    </row>
    <row r="78" spans="1:3" ht="15.75">
      <c r="A78" s="38"/>
      <c r="B78" s="38"/>
      <c r="C78" s="38"/>
    </row>
    <row r="79" spans="1:3" ht="15.75">
      <c r="A79" s="38" t="s">
        <v>47</v>
      </c>
      <c r="B79" s="38"/>
      <c r="C79" s="38"/>
    </row>
    <row r="80" spans="1:3" ht="15.75">
      <c r="A80" s="38"/>
      <c r="B80" s="38"/>
      <c r="C80" s="38"/>
    </row>
    <row r="81" spans="1:3" ht="15.75">
      <c r="A81" s="38"/>
      <c r="B81" s="39"/>
      <c r="C81" s="38"/>
    </row>
    <row r="82" spans="1:3" ht="15.75">
      <c r="A82" s="38"/>
      <c r="B82" s="40"/>
      <c r="C82" s="38"/>
    </row>
    <row r="83" spans="1:3" ht="15.75">
      <c r="A83" s="15"/>
      <c r="B83" s="13"/>
      <c r="C83" s="98"/>
    </row>
  </sheetData>
  <sheetProtection/>
  <mergeCells count="7">
    <mergeCell ref="A74:B74"/>
    <mergeCell ref="A76:B76"/>
    <mergeCell ref="A77:B77"/>
    <mergeCell ref="A2:C2"/>
    <mergeCell ref="A4:B4"/>
    <mergeCell ref="A5:B5"/>
    <mergeCell ref="A73:B73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3.140625" style="7" customWidth="1"/>
    <col min="2" max="2" width="94.00390625" style="7" customWidth="1"/>
    <col min="3" max="3" width="19.00390625" style="7" hidden="1" customWidth="1"/>
    <col min="4" max="5" width="24.140625" style="15" hidden="1" customWidth="1"/>
    <col min="6" max="6" width="10.00390625" style="15" hidden="1" customWidth="1"/>
    <col min="7" max="7" width="32.7109375" style="15" customWidth="1"/>
  </cols>
  <sheetData>
    <row r="1" spans="1:7" ht="15.75">
      <c r="A1" s="15"/>
      <c r="B1" s="12"/>
      <c r="C1" s="76"/>
      <c r="D1" s="76"/>
      <c r="E1" s="76"/>
      <c r="F1" s="76"/>
      <c r="G1" s="9"/>
    </row>
    <row r="2" spans="1:7" ht="15.75">
      <c r="A2" s="15"/>
      <c r="B2" s="15"/>
      <c r="C2" s="77"/>
      <c r="D2" s="14"/>
      <c r="E2" s="14"/>
      <c r="F2" s="14"/>
      <c r="G2" s="14"/>
    </row>
    <row r="3" spans="1:7" ht="15.75">
      <c r="A3" s="208" t="s">
        <v>6</v>
      </c>
      <c r="B3" s="208"/>
      <c r="C3" s="208"/>
      <c r="D3" s="208"/>
      <c r="E3" s="208"/>
      <c r="F3" s="208"/>
      <c r="G3" s="208"/>
    </row>
    <row r="4" spans="1:7" ht="15.75">
      <c r="A4" s="15"/>
      <c r="B4" s="209"/>
      <c r="C4" s="209"/>
      <c r="D4" s="14"/>
      <c r="E4" s="14"/>
      <c r="F4" s="14"/>
      <c r="G4" s="14"/>
    </row>
    <row r="5" spans="1:7" ht="15.75">
      <c r="A5" s="195" t="s">
        <v>1</v>
      </c>
      <c r="B5" s="195"/>
      <c r="C5" s="195"/>
      <c r="D5" s="14"/>
      <c r="E5" s="14"/>
      <c r="F5" s="14"/>
      <c r="G5" s="14"/>
    </row>
    <row r="6" spans="1:7" ht="15.75">
      <c r="A6" s="195" t="s">
        <v>0</v>
      </c>
      <c r="B6" s="195"/>
      <c r="C6" s="195"/>
      <c r="D6" s="14"/>
      <c r="E6" s="14"/>
      <c r="F6" s="14"/>
      <c r="G6" s="14"/>
    </row>
    <row r="7" spans="1:7" ht="15.75">
      <c r="A7" s="8"/>
      <c r="B7" s="195" t="s">
        <v>44</v>
      </c>
      <c r="C7" s="195"/>
      <c r="D7" s="14"/>
      <c r="E7" s="14"/>
      <c r="F7" s="14"/>
      <c r="G7" s="14"/>
    </row>
    <row r="8" spans="1:7" ht="15.75">
      <c r="A8" s="8"/>
      <c r="B8" s="195" t="s">
        <v>57</v>
      </c>
      <c r="C8" s="195"/>
      <c r="D8" s="14"/>
      <c r="E8" s="14"/>
      <c r="F8" s="14"/>
      <c r="G8" s="14"/>
    </row>
    <row r="9" spans="1:7" ht="15.75">
      <c r="A9" s="8"/>
      <c r="B9" s="195" t="s">
        <v>83</v>
      </c>
      <c r="C9" s="195"/>
      <c r="D9" s="14"/>
      <c r="E9" s="14"/>
      <c r="F9" s="14"/>
      <c r="G9" s="14"/>
    </row>
    <row r="10" spans="1:7" ht="15.75">
      <c r="A10" s="8"/>
      <c r="B10" s="195" t="s">
        <v>84</v>
      </c>
      <c r="C10" s="195"/>
      <c r="D10" s="14"/>
      <c r="E10" s="14"/>
      <c r="F10" s="14"/>
      <c r="G10" s="14"/>
    </row>
    <row r="11" spans="1:7" ht="15.75">
      <c r="A11" s="8" t="s">
        <v>2</v>
      </c>
      <c r="B11" s="8" t="s">
        <v>205</v>
      </c>
      <c r="C11" s="8"/>
      <c r="D11" s="14"/>
      <c r="E11" s="14"/>
      <c r="F11" s="14"/>
      <c r="G11" s="14"/>
    </row>
    <row r="12" spans="1:7" ht="15.75" hidden="1">
      <c r="A12" s="15"/>
      <c r="B12" s="16"/>
      <c r="C12" s="77"/>
      <c r="D12" s="14"/>
      <c r="E12" s="14"/>
      <c r="F12" s="14"/>
      <c r="G12" s="14"/>
    </row>
    <row r="13" spans="1:7" ht="78.75">
      <c r="A13" s="59" t="s">
        <v>3</v>
      </c>
      <c r="B13" s="59" t="s">
        <v>4</v>
      </c>
      <c r="C13" s="17" t="s">
        <v>5</v>
      </c>
      <c r="D13" s="17"/>
      <c r="E13" s="17"/>
      <c r="F13" s="17"/>
      <c r="G13" s="59" t="s">
        <v>5</v>
      </c>
    </row>
    <row r="14" spans="1:7" ht="15.75">
      <c r="A14" s="18">
        <v>1</v>
      </c>
      <c r="B14" s="19">
        <v>2</v>
      </c>
      <c r="C14" s="18">
        <v>3</v>
      </c>
      <c r="D14" s="19">
        <v>3</v>
      </c>
      <c r="E14" s="19"/>
      <c r="F14" s="19"/>
      <c r="G14" s="19">
        <v>3</v>
      </c>
    </row>
    <row r="15" spans="1:7" ht="15.75">
      <c r="A15" s="20"/>
      <c r="B15" s="21" t="s">
        <v>71</v>
      </c>
      <c r="C15" s="79"/>
      <c r="D15" s="22"/>
      <c r="E15" s="22"/>
      <c r="F15" s="22"/>
      <c r="G15" s="22"/>
    </row>
    <row r="16" spans="1:7" ht="15.75">
      <c r="A16" s="23">
        <v>1100</v>
      </c>
      <c r="B16" s="24" t="s">
        <v>72</v>
      </c>
      <c r="C16" s="80">
        <v>9825.75</v>
      </c>
      <c r="D16" s="25">
        <f>C16/2405*30</f>
        <v>122.56652806652808</v>
      </c>
      <c r="E16" s="68">
        <f>ROUND(D16/0.702804,2)</f>
        <v>174.4</v>
      </c>
      <c r="F16" s="25">
        <v>221.49</v>
      </c>
      <c r="G16" s="25">
        <f>F16/30*5+5*1.8</f>
        <v>45.915</v>
      </c>
    </row>
    <row r="17" spans="1:7" ht="15" customHeight="1">
      <c r="A17" s="23">
        <v>1200</v>
      </c>
      <c r="B17" s="26" t="s">
        <v>73</v>
      </c>
      <c r="C17" s="81">
        <v>2367.02</v>
      </c>
      <c r="D17" s="25">
        <f>C17/2405*30</f>
        <v>29.526237006237004</v>
      </c>
      <c r="E17" s="68">
        <f>ROUND(D17/0.702804,2)</f>
        <v>42.01</v>
      </c>
      <c r="F17" s="25">
        <v>53.36</v>
      </c>
      <c r="G17" s="25">
        <f>F17/30*5+5*0.43</f>
        <v>11.043333333333333</v>
      </c>
    </row>
    <row r="18" spans="1:7" ht="15.75">
      <c r="A18" s="31">
        <v>2341</v>
      </c>
      <c r="B18" s="26" t="s">
        <v>23</v>
      </c>
      <c r="C18" s="80">
        <v>34.53</v>
      </c>
      <c r="D18" s="25">
        <f>C18/2405*30</f>
        <v>0.43072765072765073</v>
      </c>
      <c r="E18" s="68">
        <f>ROUND(D18/0.702804,2)</f>
        <v>0.61</v>
      </c>
      <c r="F18" s="25">
        <f>E18</f>
        <v>0.61</v>
      </c>
      <c r="G18" s="25">
        <f>F18/30*5</f>
        <v>0.10166666666666666</v>
      </c>
    </row>
    <row r="19" spans="1:7" ht="15.75" hidden="1">
      <c r="A19" s="23">
        <v>2350</v>
      </c>
      <c r="B19" s="26" t="s">
        <v>25</v>
      </c>
      <c r="C19" s="93"/>
      <c r="D19" s="25">
        <f>C19/2550*20</f>
        <v>0</v>
      </c>
      <c r="E19" s="68">
        <f>ROUND(D19/0.702804,2)</f>
        <v>0</v>
      </c>
      <c r="F19" s="25">
        <f>E19</f>
        <v>0</v>
      </c>
      <c r="G19" s="25">
        <f>F19/30*5</f>
        <v>0</v>
      </c>
    </row>
    <row r="20" spans="1:7" ht="15.75" hidden="1">
      <c r="A20" s="23"/>
      <c r="B20" s="24"/>
      <c r="C20" s="80"/>
      <c r="D20" s="25">
        <f>C20/2550*20</f>
        <v>0</v>
      </c>
      <c r="E20" s="68">
        <f>ROUND(D20/0.702804,2)</f>
        <v>0</v>
      </c>
      <c r="F20" s="25">
        <f>E20</f>
        <v>0</v>
      </c>
      <c r="G20" s="25">
        <f>F20/30*5</f>
        <v>0</v>
      </c>
    </row>
    <row r="21" spans="1:7" ht="15.75">
      <c r="A21" s="23"/>
      <c r="B21" s="27" t="s">
        <v>74</v>
      </c>
      <c r="C21" s="82">
        <f>SUM(C16:C20)</f>
        <v>12227.300000000001</v>
      </c>
      <c r="D21" s="28">
        <f>SUM(D16:D20)</f>
        <v>152.52349272349272</v>
      </c>
      <c r="E21" s="28">
        <f>SUM(E16:E20)</f>
        <v>217.02</v>
      </c>
      <c r="F21" s="28">
        <f>SUM(F16:F20)</f>
        <v>275.46000000000004</v>
      </c>
      <c r="G21" s="28">
        <f>SUM(G16:G20)</f>
        <v>57.059999999999995</v>
      </c>
    </row>
    <row r="22" spans="1:7" ht="15.75">
      <c r="A22" s="29"/>
      <c r="B22" s="24" t="s">
        <v>75</v>
      </c>
      <c r="C22" s="80"/>
      <c r="D22" s="47"/>
      <c r="E22" s="47"/>
      <c r="F22" s="47"/>
      <c r="G22" s="47"/>
    </row>
    <row r="23" spans="1:7" ht="15.75">
      <c r="A23" s="23">
        <v>1100</v>
      </c>
      <c r="B23" s="24" t="s">
        <v>72</v>
      </c>
      <c r="C23" s="80">
        <v>2719.8</v>
      </c>
      <c r="D23" s="25">
        <f aca="true" t="shared" si="0" ref="D23:D65">C23/2405*30</f>
        <v>33.926819126819126</v>
      </c>
      <c r="E23" s="68">
        <f aca="true" t="shared" si="1" ref="E23:E66">ROUND(D23/0.702804,2)</f>
        <v>48.27</v>
      </c>
      <c r="F23" s="25">
        <f aca="true" t="shared" si="2" ref="F23:F66">E23</f>
        <v>48.27</v>
      </c>
      <c r="G23" s="25">
        <f aca="true" t="shared" si="3" ref="G23:G66">F23/30*5</f>
        <v>8.045000000000002</v>
      </c>
    </row>
    <row r="24" spans="1:7" ht="15" customHeight="1">
      <c r="A24" s="23">
        <v>1200</v>
      </c>
      <c r="B24" s="26" t="s">
        <v>73</v>
      </c>
      <c r="C24" s="81">
        <v>655.2</v>
      </c>
      <c r="D24" s="25">
        <f t="shared" si="0"/>
        <v>8.172972972972973</v>
      </c>
      <c r="E24" s="68">
        <f t="shared" si="1"/>
        <v>11.63</v>
      </c>
      <c r="F24" s="25">
        <f t="shared" si="2"/>
        <v>11.63</v>
      </c>
      <c r="G24" s="25">
        <f t="shared" si="3"/>
        <v>1.9383333333333335</v>
      </c>
    </row>
    <row r="25" spans="1:7" ht="15.75" hidden="1">
      <c r="A25" s="23">
        <v>2100</v>
      </c>
      <c r="B25" s="30" t="s">
        <v>42</v>
      </c>
      <c r="C25" s="80"/>
      <c r="D25" s="25">
        <f t="shared" si="0"/>
        <v>0</v>
      </c>
      <c r="E25" s="68">
        <f t="shared" si="1"/>
        <v>0</v>
      </c>
      <c r="F25" s="25">
        <f t="shared" si="2"/>
        <v>0</v>
      </c>
      <c r="G25" s="25">
        <f t="shared" si="3"/>
        <v>0</v>
      </c>
    </row>
    <row r="26" spans="1:7" ht="15.75">
      <c r="A26" s="31">
        <v>2210</v>
      </c>
      <c r="B26" s="26" t="s">
        <v>38</v>
      </c>
      <c r="C26" s="80">
        <v>9</v>
      </c>
      <c r="D26" s="25">
        <f t="shared" si="0"/>
        <v>0.11226611226611227</v>
      </c>
      <c r="E26" s="68">
        <f t="shared" si="1"/>
        <v>0.16</v>
      </c>
      <c r="F26" s="25">
        <f t="shared" si="2"/>
        <v>0.16</v>
      </c>
      <c r="G26" s="25">
        <f t="shared" si="3"/>
        <v>0.026666666666666665</v>
      </c>
    </row>
    <row r="27" spans="1:7" ht="15.75">
      <c r="A27" s="23">
        <v>2222</v>
      </c>
      <c r="B27" s="26" t="s">
        <v>39</v>
      </c>
      <c r="C27" s="80">
        <v>58</v>
      </c>
      <c r="D27" s="25">
        <f t="shared" si="0"/>
        <v>0.7234927234927235</v>
      </c>
      <c r="E27" s="68">
        <f t="shared" si="1"/>
        <v>1.03</v>
      </c>
      <c r="F27" s="25">
        <f t="shared" si="2"/>
        <v>1.03</v>
      </c>
      <c r="G27" s="25">
        <f t="shared" si="3"/>
        <v>0.17166666666666666</v>
      </c>
    </row>
    <row r="28" spans="1:7" ht="15.75">
      <c r="A28" s="23">
        <v>2223</v>
      </c>
      <c r="B28" s="26" t="s">
        <v>40</v>
      </c>
      <c r="C28" s="80">
        <v>32</v>
      </c>
      <c r="D28" s="25">
        <f t="shared" si="0"/>
        <v>0.3991683991683992</v>
      </c>
      <c r="E28" s="68">
        <f t="shared" si="1"/>
        <v>0.57</v>
      </c>
      <c r="F28" s="25">
        <f t="shared" si="2"/>
        <v>0.57</v>
      </c>
      <c r="G28" s="25">
        <f t="shared" si="3"/>
        <v>0.095</v>
      </c>
    </row>
    <row r="29" spans="1:7" ht="15.75">
      <c r="A29" s="23">
        <v>2230</v>
      </c>
      <c r="B29" s="26" t="s">
        <v>41</v>
      </c>
      <c r="C29" s="80">
        <v>9</v>
      </c>
      <c r="D29" s="25">
        <f t="shared" si="0"/>
        <v>0.11226611226611227</v>
      </c>
      <c r="E29" s="68">
        <f t="shared" si="1"/>
        <v>0.16</v>
      </c>
      <c r="F29" s="25">
        <f t="shared" si="2"/>
        <v>0.16</v>
      </c>
      <c r="G29" s="25">
        <f t="shared" si="3"/>
        <v>0.026666666666666665</v>
      </c>
    </row>
    <row r="30" spans="1:7" ht="15.75" hidden="1">
      <c r="A30" s="23">
        <v>2241</v>
      </c>
      <c r="B30" s="26" t="s">
        <v>9</v>
      </c>
      <c r="C30" s="80"/>
      <c r="D30" s="25">
        <f t="shared" si="0"/>
        <v>0</v>
      </c>
      <c r="E30" s="68">
        <f t="shared" si="1"/>
        <v>0</v>
      </c>
      <c r="F30" s="25">
        <f t="shared" si="2"/>
        <v>0</v>
      </c>
      <c r="G30" s="25">
        <f t="shared" si="3"/>
        <v>0</v>
      </c>
    </row>
    <row r="31" spans="1:7" ht="15.75">
      <c r="A31" s="23">
        <v>2242</v>
      </c>
      <c r="B31" s="26" t="s">
        <v>10</v>
      </c>
      <c r="C31" s="80">
        <v>15</v>
      </c>
      <c r="D31" s="25">
        <f t="shared" si="0"/>
        <v>0.18711018711018712</v>
      </c>
      <c r="E31" s="68">
        <f t="shared" si="1"/>
        <v>0.27</v>
      </c>
      <c r="F31" s="25">
        <f t="shared" si="2"/>
        <v>0.27</v>
      </c>
      <c r="G31" s="25">
        <f t="shared" si="3"/>
        <v>0.045000000000000005</v>
      </c>
    </row>
    <row r="32" spans="1:7" ht="15.75">
      <c r="A32" s="23">
        <v>2243</v>
      </c>
      <c r="B32" s="26" t="s">
        <v>11</v>
      </c>
      <c r="C32" s="80">
        <v>52</v>
      </c>
      <c r="D32" s="25">
        <f t="shared" si="0"/>
        <v>0.6486486486486487</v>
      </c>
      <c r="E32" s="68">
        <f t="shared" si="1"/>
        <v>0.92</v>
      </c>
      <c r="F32" s="25">
        <f t="shared" si="2"/>
        <v>0.92</v>
      </c>
      <c r="G32" s="25">
        <f t="shared" si="3"/>
        <v>0.15333333333333335</v>
      </c>
    </row>
    <row r="33" spans="1:7" ht="15.75">
      <c r="A33" s="23">
        <v>2244</v>
      </c>
      <c r="B33" s="26" t="s">
        <v>12</v>
      </c>
      <c r="C33" s="80">
        <v>762.4</v>
      </c>
      <c r="D33" s="25">
        <f t="shared" si="0"/>
        <v>9.51018711018711</v>
      </c>
      <c r="E33" s="68">
        <f t="shared" si="1"/>
        <v>13.53</v>
      </c>
      <c r="F33" s="25">
        <f t="shared" si="2"/>
        <v>13.53</v>
      </c>
      <c r="G33" s="25">
        <f>F33/30*5+5*0.32</f>
        <v>3.855</v>
      </c>
    </row>
    <row r="34" spans="1:7" ht="15.75">
      <c r="A34" s="23">
        <v>2247</v>
      </c>
      <c r="B34" s="21" t="s">
        <v>76</v>
      </c>
      <c r="C34" s="80">
        <v>5</v>
      </c>
      <c r="D34" s="25">
        <f t="shared" si="0"/>
        <v>0.062370062370062374</v>
      </c>
      <c r="E34" s="68">
        <f t="shared" si="1"/>
        <v>0.09</v>
      </c>
      <c r="F34" s="25">
        <f t="shared" si="2"/>
        <v>0.09</v>
      </c>
      <c r="G34" s="25">
        <f t="shared" si="3"/>
        <v>0.015</v>
      </c>
    </row>
    <row r="35" spans="1:7" ht="15.75">
      <c r="A35" s="23">
        <v>2249</v>
      </c>
      <c r="B35" s="26" t="s">
        <v>13</v>
      </c>
      <c r="C35" s="80">
        <v>19</v>
      </c>
      <c r="D35" s="25">
        <f t="shared" si="0"/>
        <v>0.23700623700623702</v>
      </c>
      <c r="E35" s="68">
        <f t="shared" si="1"/>
        <v>0.34</v>
      </c>
      <c r="F35" s="25">
        <f t="shared" si="2"/>
        <v>0.34</v>
      </c>
      <c r="G35" s="25">
        <f t="shared" si="3"/>
        <v>0.05666666666666667</v>
      </c>
    </row>
    <row r="36" spans="1:7" ht="15.75">
      <c r="A36" s="23">
        <v>2251</v>
      </c>
      <c r="B36" s="26" t="s">
        <v>77</v>
      </c>
      <c r="C36" s="80">
        <v>57</v>
      </c>
      <c r="D36" s="25">
        <f t="shared" si="0"/>
        <v>0.7110187110187111</v>
      </c>
      <c r="E36" s="68">
        <f t="shared" si="1"/>
        <v>1.01</v>
      </c>
      <c r="F36" s="25">
        <f t="shared" si="2"/>
        <v>1.01</v>
      </c>
      <c r="G36" s="25">
        <f t="shared" si="3"/>
        <v>0.16833333333333333</v>
      </c>
    </row>
    <row r="37" spans="1:7" ht="15.75" hidden="1">
      <c r="A37" s="23">
        <v>2252</v>
      </c>
      <c r="B37" s="26" t="s">
        <v>7</v>
      </c>
      <c r="C37" s="80"/>
      <c r="D37" s="25">
        <f t="shared" si="0"/>
        <v>0</v>
      </c>
      <c r="E37" s="68">
        <f t="shared" si="1"/>
        <v>0</v>
      </c>
      <c r="F37" s="25">
        <f t="shared" si="2"/>
        <v>0</v>
      </c>
      <c r="G37" s="25">
        <f t="shared" si="3"/>
        <v>0</v>
      </c>
    </row>
    <row r="38" spans="1:7" ht="15.75" hidden="1">
      <c r="A38" s="23">
        <v>2259</v>
      </c>
      <c r="B38" s="26" t="s">
        <v>8</v>
      </c>
      <c r="C38" s="80"/>
      <c r="D38" s="25">
        <f t="shared" si="0"/>
        <v>0</v>
      </c>
      <c r="E38" s="68">
        <f t="shared" si="1"/>
        <v>0</v>
      </c>
      <c r="F38" s="25">
        <f t="shared" si="2"/>
        <v>0</v>
      </c>
      <c r="G38" s="25">
        <f t="shared" si="3"/>
        <v>0</v>
      </c>
    </row>
    <row r="39" spans="1:7" ht="15.75">
      <c r="A39" s="23">
        <v>2261</v>
      </c>
      <c r="B39" s="26" t="s">
        <v>14</v>
      </c>
      <c r="C39" s="80">
        <v>10</v>
      </c>
      <c r="D39" s="25">
        <f t="shared" si="0"/>
        <v>0.12474012474012475</v>
      </c>
      <c r="E39" s="68">
        <f t="shared" si="1"/>
        <v>0.18</v>
      </c>
      <c r="F39" s="25">
        <f t="shared" si="2"/>
        <v>0.18</v>
      </c>
      <c r="G39" s="25">
        <f t="shared" si="3"/>
        <v>0.03</v>
      </c>
    </row>
    <row r="40" spans="1:7" ht="15.75">
      <c r="A40" s="23">
        <v>2262</v>
      </c>
      <c r="B40" s="26" t="s">
        <v>15</v>
      </c>
      <c r="C40" s="80">
        <v>45</v>
      </c>
      <c r="D40" s="25">
        <f t="shared" si="0"/>
        <v>0.5613305613305614</v>
      </c>
      <c r="E40" s="68">
        <f t="shared" si="1"/>
        <v>0.8</v>
      </c>
      <c r="F40" s="25">
        <f t="shared" si="2"/>
        <v>0.8</v>
      </c>
      <c r="G40" s="25">
        <f t="shared" si="3"/>
        <v>0.13333333333333333</v>
      </c>
    </row>
    <row r="41" spans="1:7" ht="15.75">
      <c r="A41" s="23">
        <v>2263</v>
      </c>
      <c r="B41" s="26" t="s">
        <v>16</v>
      </c>
      <c r="C41" s="80">
        <v>167</v>
      </c>
      <c r="D41" s="25">
        <f t="shared" si="0"/>
        <v>2.083160083160083</v>
      </c>
      <c r="E41" s="68">
        <f t="shared" si="1"/>
        <v>2.96</v>
      </c>
      <c r="F41" s="25">
        <f t="shared" si="2"/>
        <v>2.96</v>
      </c>
      <c r="G41" s="25">
        <f t="shared" si="3"/>
        <v>0.49333333333333335</v>
      </c>
    </row>
    <row r="42" spans="1:7" ht="15.75" hidden="1">
      <c r="A42" s="23">
        <v>2264</v>
      </c>
      <c r="B42" s="26" t="s">
        <v>17</v>
      </c>
      <c r="C42" s="80">
        <v>1</v>
      </c>
      <c r="D42" s="25">
        <f t="shared" si="0"/>
        <v>0.012474012474012475</v>
      </c>
      <c r="E42" s="68">
        <f t="shared" si="1"/>
        <v>0.02</v>
      </c>
      <c r="F42" s="25">
        <f t="shared" si="2"/>
        <v>0.02</v>
      </c>
      <c r="G42" s="25">
        <f t="shared" si="3"/>
        <v>0.003333333333333333</v>
      </c>
    </row>
    <row r="43" spans="1:7" ht="15.75">
      <c r="A43" s="23">
        <v>2279</v>
      </c>
      <c r="B43" s="26" t="s">
        <v>18</v>
      </c>
      <c r="C43" s="80">
        <v>189</v>
      </c>
      <c r="D43" s="25">
        <f t="shared" si="0"/>
        <v>2.357588357588358</v>
      </c>
      <c r="E43" s="68">
        <f t="shared" si="1"/>
        <v>3.35</v>
      </c>
      <c r="F43" s="25">
        <f t="shared" si="2"/>
        <v>3.35</v>
      </c>
      <c r="G43" s="25">
        <f t="shared" si="3"/>
        <v>0.5583333333333333</v>
      </c>
    </row>
    <row r="44" spans="1:7" ht="15.75">
      <c r="A44" s="23">
        <v>2311</v>
      </c>
      <c r="B44" s="26" t="s">
        <v>19</v>
      </c>
      <c r="C44" s="80">
        <v>17</v>
      </c>
      <c r="D44" s="25">
        <f t="shared" si="0"/>
        <v>0.21205821205821207</v>
      </c>
      <c r="E44" s="68">
        <f t="shared" si="1"/>
        <v>0.3</v>
      </c>
      <c r="F44" s="25">
        <f t="shared" si="2"/>
        <v>0.3</v>
      </c>
      <c r="G44" s="25">
        <f t="shared" si="3"/>
        <v>0.05</v>
      </c>
    </row>
    <row r="45" spans="1:7" ht="15.75">
      <c r="A45" s="23">
        <v>2312</v>
      </c>
      <c r="B45" s="26" t="s">
        <v>20</v>
      </c>
      <c r="C45" s="80">
        <v>33</v>
      </c>
      <c r="D45" s="25">
        <f t="shared" si="0"/>
        <v>0.41164241164241167</v>
      </c>
      <c r="E45" s="68">
        <f t="shared" si="1"/>
        <v>0.59</v>
      </c>
      <c r="F45" s="25">
        <f t="shared" si="2"/>
        <v>0.59</v>
      </c>
      <c r="G45" s="25">
        <f t="shared" si="3"/>
        <v>0.09833333333333333</v>
      </c>
    </row>
    <row r="46" spans="1:7" ht="15.75">
      <c r="A46" s="23">
        <v>2321</v>
      </c>
      <c r="B46" s="26" t="s">
        <v>21</v>
      </c>
      <c r="C46" s="80">
        <v>102</v>
      </c>
      <c r="D46" s="25">
        <f t="shared" si="0"/>
        <v>1.2723492723492724</v>
      </c>
      <c r="E46" s="68">
        <f t="shared" si="1"/>
        <v>1.81</v>
      </c>
      <c r="F46" s="25">
        <f t="shared" si="2"/>
        <v>1.81</v>
      </c>
      <c r="G46" s="25">
        <f t="shared" si="3"/>
        <v>0.3016666666666667</v>
      </c>
    </row>
    <row r="47" spans="1:7" ht="15.75">
      <c r="A47" s="23">
        <v>2322</v>
      </c>
      <c r="B47" s="26" t="s">
        <v>22</v>
      </c>
      <c r="C47" s="80">
        <v>19</v>
      </c>
      <c r="D47" s="25">
        <f t="shared" si="0"/>
        <v>0.23700623700623702</v>
      </c>
      <c r="E47" s="68">
        <f t="shared" si="1"/>
        <v>0.34</v>
      </c>
      <c r="F47" s="25">
        <f t="shared" si="2"/>
        <v>0.34</v>
      </c>
      <c r="G47" s="25">
        <f t="shared" si="3"/>
        <v>0.05666666666666667</v>
      </c>
    </row>
    <row r="48" spans="1:7" ht="15.75">
      <c r="A48" s="23">
        <v>2341</v>
      </c>
      <c r="B48" s="26" t="s">
        <v>23</v>
      </c>
      <c r="C48" s="80">
        <v>24</v>
      </c>
      <c r="D48" s="25">
        <f t="shared" si="0"/>
        <v>0.2993762993762994</v>
      </c>
      <c r="E48" s="68">
        <f t="shared" si="1"/>
        <v>0.43</v>
      </c>
      <c r="F48" s="25">
        <f t="shared" si="2"/>
        <v>0.43</v>
      </c>
      <c r="G48" s="25">
        <f t="shared" si="3"/>
        <v>0.07166666666666667</v>
      </c>
    </row>
    <row r="49" spans="1:7" ht="15.75" hidden="1">
      <c r="A49" s="23">
        <v>2344</v>
      </c>
      <c r="B49" s="26" t="s">
        <v>24</v>
      </c>
      <c r="C49" s="80"/>
      <c r="D49" s="25">
        <f t="shared" si="0"/>
        <v>0</v>
      </c>
      <c r="E49" s="68">
        <f t="shared" si="1"/>
        <v>0</v>
      </c>
      <c r="F49" s="25">
        <f t="shared" si="2"/>
        <v>0</v>
      </c>
      <c r="G49" s="25">
        <f t="shared" si="3"/>
        <v>0</v>
      </c>
    </row>
    <row r="50" spans="1:7" ht="15.75">
      <c r="A50" s="23">
        <v>2350</v>
      </c>
      <c r="B50" s="26" t="s">
        <v>25</v>
      </c>
      <c r="C50" s="80">
        <v>148</v>
      </c>
      <c r="D50" s="25">
        <f t="shared" si="0"/>
        <v>1.8461538461538463</v>
      </c>
      <c r="E50" s="68">
        <f t="shared" si="1"/>
        <v>2.63</v>
      </c>
      <c r="F50" s="25">
        <f t="shared" si="2"/>
        <v>2.63</v>
      </c>
      <c r="G50" s="25">
        <f t="shared" si="3"/>
        <v>0.4383333333333333</v>
      </c>
    </row>
    <row r="51" spans="1:7" ht="15.75">
      <c r="A51" s="23">
        <v>2361</v>
      </c>
      <c r="B51" s="26" t="s">
        <v>26</v>
      </c>
      <c r="C51" s="80">
        <v>91</v>
      </c>
      <c r="D51" s="25">
        <f t="shared" si="0"/>
        <v>1.135135135135135</v>
      </c>
      <c r="E51" s="68">
        <f t="shared" si="1"/>
        <v>1.62</v>
      </c>
      <c r="F51" s="25">
        <f t="shared" si="2"/>
        <v>1.62</v>
      </c>
      <c r="G51" s="25">
        <f t="shared" si="3"/>
        <v>0.27</v>
      </c>
    </row>
    <row r="52" spans="1:7" ht="15.75" hidden="1">
      <c r="A52" s="23">
        <v>2362</v>
      </c>
      <c r="B52" s="26" t="s">
        <v>27</v>
      </c>
      <c r="C52" s="80"/>
      <c r="D52" s="25">
        <f t="shared" si="0"/>
        <v>0</v>
      </c>
      <c r="E52" s="68">
        <f t="shared" si="1"/>
        <v>0</v>
      </c>
      <c r="F52" s="25">
        <f t="shared" si="2"/>
        <v>0</v>
      </c>
      <c r="G52" s="25">
        <f t="shared" si="3"/>
        <v>0</v>
      </c>
    </row>
    <row r="53" spans="1:7" ht="15.75" hidden="1">
      <c r="A53" s="23">
        <v>2363</v>
      </c>
      <c r="B53" s="26" t="s">
        <v>28</v>
      </c>
      <c r="C53" s="80"/>
      <c r="D53" s="25">
        <f t="shared" si="0"/>
        <v>0</v>
      </c>
      <c r="E53" s="68">
        <f t="shared" si="1"/>
        <v>0</v>
      </c>
      <c r="F53" s="25">
        <f t="shared" si="2"/>
        <v>0</v>
      </c>
      <c r="G53" s="25">
        <f t="shared" si="3"/>
        <v>0</v>
      </c>
    </row>
    <row r="54" spans="1:7" ht="15.75" hidden="1">
      <c r="A54" s="23">
        <v>2370</v>
      </c>
      <c r="B54" s="26" t="s">
        <v>29</v>
      </c>
      <c r="C54" s="80"/>
      <c r="D54" s="25">
        <f t="shared" si="0"/>
        <v>0</v>
      </c>
      <c r="E54" s="68">
        <f t="shared" si="1"/>
        <v>0</v>
      </c>
      <c r="F54" s="25">
        <f t="shared" si="2"/>
        <v>0</v>
      </c>
      <c r="G54" s="25">
        <f t="shared" si="3"/>
        <v>0</v>
      </c>
    </row>
    <row r="55" spans="1:7" ht="15.75">
      <c r="A55" s="23">
        <v>2400</v>
      </c>
      <c r="B55" s="26" t="s">
        <v>43</v>
      </c>
      <c r="C55" s="80">
        <v>7</v>
      </c>
      <c r="D55" s="25">
        <f t="shared" si="0"/>
        <v>0.08731808731808732</v>
      </c>
      <c r="E55" s="68">
        <f t="shared" si="1"/>
        <v>0.12</v>
      </c>
      <c r="F55" s="25">
        <f t="shared" si="2"/>
        <v>0.12</v>
      </c>
      <c r="G55" s="25">
        <f t="shared" si="3"/>
        <v>0.02</v>
      </c>
    </row>
    <row r="56" spans="1:7" ht="15.75" hidden="1">
      <c r="A56" s="23">
        <v>2512</v>
      </c>
      <c r="B56" s="26" t="s">
        <v>30</v>
      </c>
      <c r="C56" s="80">
        <v>0</v>
      </c>
      <c r="D56" s="25">
        <f t="shared" si="0"/>
        <v>0</v>
      </c>
      <c r="E56" s="68">
        <f t="shared" si="1"/>
        <v>0</v>
      </c>
      <c r="F56" s="25">
        <f t="shared" si="2"/>
        <v>0</v>
      </c>
      <c r="G56" s="25">
        <f t="shared" si="3"/>
        <v>0</v>
      </c>
    </row>
    <row r="57" spans="1:7" ht="15.75">
      <c r="A57" s="23">
        <v>2513</v>
      </c>
      <c r="B57" s="26" t="s">
        <v>31</v>
      </c>
      <c r="C57" s="80">
        <v>120</v>
      </c>
      <c r="D57" s="25">
        <f t="shared" si="0"/>
        <v>1.496881496881497</v>
      </c>
      <c r="E57" s="68">
        <f t="shared" si="1"/>
        <v>2.13</v>
      </c>
      <c r="F57" s="25">
        <f t="shared" si="2"/>
        <v>2.13</v>
      </c>
      <c r="G57" s="25">
        <f t="shared" si="3"/>
        <v>0.355</v>
      </c>
    </row>
    <row r="58" spans="1:7" ht="15.75">
      <c r="A58" s="23">
        <v>2515</v>
      </c>
      <c r="B58" s="26" t="s">
        <v>78</v>
      </c>
      <c r="C58" s="80">
        <v>5</v>
      </c>
      <c r="D58" s="25">
        <f t="shared" si="0"/>
        <v>0.062370062370062374</v>
      </c>
      <c r="E58" s="68">
        <f t="shared" si="1"/>
        <v>0.09</v>
      </c>
      <c r="F58" s="25">
        <f t="shared" si="2"/>
        <v>0.09</v>
      </c>
      <c r="G58" s="25">
        <f t="shared" si="3"/>
        <v>0.015</v>
      </c>
    </row>
    <row r="59" spans="1:7" ht="15.75">
      <c r="A59" s="23">
        <v>2519</v>
      </c>
      <c r="B59" s="26" t="s">
        <v>34</v>
      </c>
      <c r="C59" s="80">
        <v>29</v>
      </c>
      <c r="D59" s="25">
        <f t="shared" si="0"/>
        <v>0.36174636174636177</v>
      </c>
      <c r="E59" s="68">
        <f t="shared" si="1"/>
        <v>0.51</v>
      </c>
      <c r="F59" s="25">
        <f t="shared" si="2"/>
        <v>0.51</v>
      </c>
      <c r="G59" s="25">
        <f t="shared" si="3"/>
        <v>0.085</v>
      </c>
    </row>
    <row r="60" spans="1:7" ht="15.75" hidden="1">
      <c r="A60" s="23">
        <v>6240</v>
      </c>
      <c r="B60" s="26"/>
      <c r="C60" s="80"/>
      <c r="D60" s="25">
        <f t="shared" si="0"/>
        <v>0</v>
      </c>
      <c r="E60" s="68">
        <f t="shared" si="1"/>
        <v>0</v>
      </c>
      <c r="F60" s="25">
        <f t="shared" si="2"/>
        <v>0</v>
      </c>
      <c r="G60" s="25">
        <f t="shared" si="3"/>
        <v>0</v>
      </c>
    </row>
    <row r="61" spans="1:7" ht="15.75" hidden="1">
      <c r="A61" s="23">
        <v>6290</v>
      </c>
      <c r="B61" s="26"/>
      <c r="C61" s="80"/>
      <c r="D61" s="25">
        <f t="shared" si="0"/>
        <v>0</v>
      </c>
      <c r="E61" s="68">
        <f t="shared" si="1"/>
        <v>0</v>
      </c>
      <c r="F61" s="25">
        <f t="shared" si="2"/>
        <v>0</v>
      </c>
      <c r="G61" s="25">
        <f t="shared" si="3"/>
        <v>0</v>
      </c>
    </row>
    <row r="62" spans="1:7" ht="15.75">
      <c r="A62" s="23">
        <v>5121</v>
      </c>
      <c r="B62" s="26" t="s">
        <v>32</v>
      </c>
      <c r="C62" s="80">
        <v>21</v>
      </c>
      <c r="D62" s="25">
        <f t="shared" si="0"/>
        <v>0.26195426195426197</v>
      </c>
      <c r="E62" s="68">
        <v>0.35</v>
      </c>
      <c r="F62" s="25">
        <v>0.31</v>
      </c>
      <c r="G62" s="25">
        <f t="shared" si="3"/>
        <v>0.051666666666666666</v>
      </c>
    </row>
    <row r="63" spans="1:7" ht="15.75">
      <c r="A63" s="23">
        <v>5232</v>
      </c>
      <c r="B63" s="26" t="s">
        <v>33</v>
      </c>
      <c r="C63" s="80">
        <v>3</v>
      </c>
      <c r="D63" s="25">
        <f t="shared" si="0"/>
        <v>0.037422037422037424</v>
      </c>
      <c r="E63" s="68">
        <f t="shared" si="1"/>
        <v>0.05</v>
      </c>
      <c r="F63" s="25">
        <f t="shared" si="2"/>
        <v>0.05</v>
      </c>
      <c r="G63" s="25">
        <f t="shared" si="3"/>
        <v>0.008333333333333333</v>
      </c>
    </row>
    <row r="64" spans="1:7" ht="15.75" hidden="1">
      <c r="A64" s="22">
        <v>5238</v>
      </c>
      <c r="B64" s="26" t="s">
        <v>35</v>
      </c>
      <c r="C64" s="80">
        <v>0</v>
      </c>
      <c r="D64" s="25">
        <f t="shared" si="0"/>
        <v>0</v>
      </c>
      <c r="E64" s="68">
        <f t="shared" si="1"/>
        <v>0</v>
      </c>
      <c r="F64" s="25">
        <f t="shared" si="2"/>
        <v>0</v>
      </c>
      <c r="G64" s="25">
        <f t="shared" si="3"/>
        <v>0</v>
      </c>
    </row>
    <row r="65" spans="1:7" ht="15.75" hidden="1">
      <c r="A65" s="22">
        <v>5240</v>
      </c>
      <c r="B65" s="26" t="s">
        <v>36</v>
      </c>
      <c r="C65" s="80">
        <v>1</v>
      </c>
      <c r="D65" s="25">
        <f t="shared" si="0"/>
        <v>0.012474012474012475</v>
      </c>
      <c r="E65" s="68">
        <f t="shared" si="1"/>
        <v>0.02</v>
      </c>
      <c r="F65" s="25">
        <f t="shared" si="2"/>
        <v>0.02</v>
      </c>
      <c r="G65" s="25">
        <f t="shared" si="3"/>
        <v>0.003333333333333333</v>
      </c>
    </row>
    <row r="66" spans="1:7" ht="15.75" hidden="1">
      <c r="A66" s="22">
        <v>5250</v>
      </c>
      <c r="B66" s="26" t="s">
        <v>37</v>
      </c>
      <c r="C66" s="80"/>
      <c r="D66" s="25">
        <f>C66/2550*20</f>
        <v>0</v>
      </c>
      <c r="E66" s="68">
        <f t="shared" si="1"/>
        <v>0</v>
      </c>
      <c r="F66" s="25">
        <f t="shared" si="2"/>
        <v>0</v>
      </c>
      <c r="G66" s="25">
        <f t="shared" si="3"/>
        <v>0</v>
      </c>
    </row>
    <row r="67" spans="1:7" ht="15.75">
      <c r="A67" s="33"/>
      <c r="B67" s="34" t="s">
        <v>79</v>
      </c>
      <c r="C67" s="82">
        <f>SUM(C23:C66)</f>
        <v>5425.4</v>
      </c>
      <c r="D67" s="28">
        <f>SUM(D23:D66)</f>
        <v>67.67650727650725</v>
      </c>
      <c r="E67" s="28">
        <f>SUM(E23:E66)</f>
        <v>96.28000000000002</v>
      </c>
      <c r="F67" s="28">
        <f>SUM(F23:F66)</f>
        <v>96.24000000000002</v>
      </c>
      <c r="G67" s="28">
        <f>SUM(G23:G66)</f>
        <v>17.640000000000004</v>
      </c>
    </row>
    <row r="68" spans="1:7" ht="15.75">
      <c r="A68" s="33"/>
      <c r="B68" s="34" t="s">
        <v>80</v>
      </c>
      <c r="C68" s="82">
        <f>C67+C21</f>
        <v>17652.7</v>
      </c>
      <c r="D68" s="28">
        <f>D67+D21</f>
        <v>220.2</v>
      </c>
      <c r="E68" s="28">
        <f>E67+E21</f>
        <v>313.3</v>
      </c>
      <c r="F68" s="28">
        <f>F67+F21</f>
        <v>371.70000000000005</v>
      </c>
      <c r="G68" s="28">
        <f>G67+G21</f>
        <v>74.7</v>
      </c>
    </row>
    <row r="69" spans="1:7" ht="15.75">
      <c r="A69" s="9"/>
      <c r="B69" s="14"/>
      <c r="C69" s="35"/>
      <c r="D69" s="35"/>
      <c r="E69" s="35"/>
      <c r="F69" s="35"/>
      <c r="G69" s="35"/>
    </row>
    <row r="70" spans="1:7" ht="15.75" customHeight="1">
      <c r="A70" s="212" t="s">
        <v>45</v>
      </c>
      <c r="B70" s="213"/>
      <c r="C70" s="36">
        <v>2405</v>
      </c>
      <c r="D70" s="17">
        <v>30</v>
      </c>
      <c r="E70" s="17">
        <v>30</v>
      </c>
      <c r="F70" s="17">
        <v>30</v>
      </c>
      <c r="G70" s="160">
        <v>5</v>
      </c>
    </row>
    <row r="71" spans="1:7" ht="15.75" customHeight="1">
      <c r="A71" s="212" t="s">
        <v>54</v>
      </c>
      <c r="B71" s="213"/>
      <c r="C71" s="95">
        <f>C68/C70</f>
        <v>7.340000000000001</v>
      </c>
      <c r="D71" s="82">
        <f>D68/D70</f>
        <v>7.34</v>
      </c>
      <c r="E71" s="82">
        <f>E68/E70</f>
        <v>10.443333333333333</v>
      </c>
      <c r="F71" s="82">
        <f>F68/F70</f>
        <v>12.390000000000002</v>
      </c>
      <c r="G71" s="161">
        <f>G68/G70</f>
        <v>14.940000000000001</v>
      </c>
    </row>
    <row r="72" spans="1:7" ht="15.75">
      <c r="A72" s="86"/>
      <c r="B72" s="87"/>
      <c r="C72" s="11"/>
      <c r="G72" s="94"/>
    </row>
    <row r="73" spans="1:7" ht="15.75" customHeight="1">
      <c r="A73" s="214" t="s">
        <v>46</v>
      </c>
      <c r="B73" s="215"/>
      <c r="C73" s="37"/>
      <c r="D73" s="37"/>
      <c r="E73" s="37"/>
      <c r="F73" s="37"/>
      <c r="G73" s="37"/>
    </row>
    <row r="74" spans="1:7" ht="15.75" customHeight="1">
      <c r="A74" s="214" t="s">
        <v>56</v>
      </c>
      <c r="B74" s="215"/>
      <c r="C74" s="37"/>
      <c r="D74" s="37"/>
      <c r="E74" s="37"/>
      <c r="F74" s="37"/>
      <c r="G74" s="37"/>
    </row>
    <row r="75" spans="1:7" ht="15.75">
      <c r="A75" s="38"/>
      <c r="B75" s="38"/>
      <c r="C75" s="38"/>
      <c r="D75" s="38"/>
      <c r="E75" s="38"/>
      <c r="F75" s="38"/>
      <c r="G75" s="38"/>
    </row>
    <row r="76" spans="1:7" ht="15.75">
      <c r="A76" s="38" t="s">
        <v>47</v>
      </c>
      <c r="B76" s="38"/>
      <c r="C76" s="38"/>
      <c r="D76" s="38"/>
      <c r="E76" s="38"/>
      <c r="F76" s="38"/>
      <c r="G76" s="38"/>
    </row>
    <row r="77" spans="1:7" ht="15.75">
      <c r="A77" s="38"/>
      <c r="B77" s="38"/>
      <c r="C77" s="38"/>
      <c r="D77" s="38"/>
      <c r="E77" s="38"/>
      <c r="F77" s="38"/>
      <c r="G77" s="38"/>
    </row>
    <row r="78" spans="1:7" ht="15.75">
      <c r="A78" s="38"/>
      <c r="B78" s="39"/>
      <c r="C78" s="38"/>
      <c r="D78" s="38"/>
      <c r="E78" s="38"/>
      <c r="F78" s="38"/>
      <c r="G78" s="38"/>
    </row>
    <row r="79" spans="1:7" ht="15.75">
      <c r="A79" s="38"/>
      <c r="B79" s="40"/>
      <c r="C79" s="38"/>
      <c r="D79" s="38"/>
      <c r="E79" s="38"/>
      <c r="F79" s="38"/>
      <c r="G79" s="38"/>
    </row>
  </sheetData>
  <sheetProtection/>
  <mergeCells count="12">
    <mergeCell ref="A74:B74"/>
    <mergeCell ref="B8:C8"/>
    <mergeCell ref="B9:C9"/>
    <mergeCell ref="B10:C10"/>
    <mergeCell ref="A70:B70"/>
    <mergeCell ref="A71:B71"/>
    <mergeCell ref="A73:B73"/>
    <mergeCell ref="A3:G3"/>
    <mergeCell ref="B4:C4"/>
    <mergeCell ref="A5:C5"/>
    <mergeCell ref="A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workbookViewId="0" topLeftCell="A1">
      <selection activeCell="B8" sqref="B8"/>
    </sheetView>
  </sheetViews>
  <sheetFormatPr defaultColWidth="9.140625" defaultRowHeight="12.75"/>
  <cols>
    <col min="1" max="1" width="13.28125" style="1" customWidth="1"/>
    <col min="2" max="2" width="95.28125" style="1" customWidth="1"/>
    <col min="3" max="3" width="3.7109375" style="4" hidden="1" customWidth="1"/>
    <col min="4" max="4" width="31.421875" style="4" customWidth="1"/>
    <col min="5" max="5" width="40.421875" style="1" customWidth="1"/>
    <col min="6" max="16384" width="9.140625" style="1" customWidth="1"/>
  </cols>
  <sheetData>
    <row r="1" spans="2:4" s="4" customFormat="1" ht="15.75">
      <c r="B1" s="12"/>
      <c r="C1" s="9"/>
      <c r="D1" s="9"/>
    </row>
    <row r="2" spans="1:4" ht="15">
      <c r="A2" s="4"/>
      <c r="B2" s="4"/>
      <c r="C2" s="2"/>
      <c r="D2" s="2"/>
    </row>
    <row r="3" spans="1:4" ht="15.75" customHeight="1">
      <c r="A3" s="193" t="s">
        <v>6</v>
      </c>
      <c r="B3" s="193"/>
      <c r="C3" s="193"/>
      <c r="D3" s="193"/>
    </row>
    <row r="4" spans="1:4" ht="15.75" customHeight="1">
      <c r="A4" s="4"/>
      <c r="B4" s="60"/>
      <c r="C4" s="2"/>
      <c r="D4" s="2"/>
    </row>
    <row r="5" spans="1:4" ht="15.75" customHeight="1">
      <c r="A5" s="195" t="s">
        <v>1</v>
      </c>
      <c r="B5" s="195"/>
      <c r="C5" s="14"/>
      <c r="D5" s="14"/>
    </row>
    <row r="6" spans="1:4" ht="15" customHeight="1">
      <c r="A6" s="195" t="s">
        <v>0</v>
      </c>
      <c r="B6" s="195"/>
      <c r="C6" s="14"/>
      <c r="D6" s="14"/>
    </row>
    <row r="7" spans="1:4" ht="15" customHeight="1">
      <c r="A7" s="8"/>
      <c r="B7" s="8" t="s">
        <v>44</v>
      </c>
      <c r="C7" s="14"/>
      <c r="D7" s="14"/>
    </row>
    <row r="8" spans="1:4" ht="15" customHeight="1">
      <c r="A8" s="8"/>
      <c r="B8" s="8" t="s">
        <v>57</v>
      </c>
      <c r="C8" s="14"/>
      <c r="D8" s="14"/>
    </row>
    <row r="9" spans="1:4" ht="15" customHeight="1">
      <c r="A9" s="8"/>
      <c r="B9" s="8" t="s">
        <v>58</v>
      </c>
      <c r="C9" s="14"/>
      <c r="D9" s="14"/>
    </row>
    <row r="10" spans="1:4" ht="15.75">
      <c r="A10" s="8" t="s">
        <v>2</v>
      </c>
      <c r="B10" s="8" t="s">
        <v>205</v>
      </c>
      <c r="C10" s="14"/>
      <c r="D10" s="14"/>
    </row>
    <row r="11" spans="1:4" ht="15.75" hidden="1">
      <c r="A11" s="15"/>
      <c r="B11" s="16"/>
      <c r="C11" s="14"/>
      <c r="D11" s="14"/>
    </row>
    <row r="12" spans="1:4" ht="67.5" customHeight="1">
      <c r="A12" s="59" t="s">
        <v>3</v>
      </c>
      <c r="B12" s="59" t="s">
        <v>4</v>
      </c>
      <c r="C12" s="59"/>
      <c r="D12" s="59" t="s">
        <v>5</v>
      </c>
    </row>
    <row r="13" spans="1:4" ht="15.75">
      <c r="A13" s="18">
        <v>1</v>
      </c>
      <c r="B13" s="19">
        <v>2</v>
      </c>
      <c r="C13" s="19"/>
      <c r="D13" s="19">
        <v>3</v>
      </c>
    </row>
    <row r="14" spans="1:4" ht="15.75">
      <c r="A14" s="20"/>
      <c r="B14" s="45" t="s">
        <v>68</v>
      </c>
      <c r="C14" s="23"/>
      <c r="D14" s="23"/>
    </row>
    <row r="15" spans="1:4" ht="15.75">
      <c r="A15" s="23">
        <v>1100</v>
      </c>
      <c r="B15" s="23" t="s">
        <v>59</v>
      </c>
      <c r="C15" s="25">
        <v>662.8</v>
      </c>
      <c r="D15" s="25">
        <f>C15/80*10+10*2.3</f>
        <v>105.85</v>
      </c>
    </row>
    <row r="16" spans="1:4" ht="15" customHeight="1">
      <c r="A16" s="23">
        <v>1200</v>
      </c>
      <c r="B16" s="32" t="s">
        <v>60</v>
      </c>
      <c r="C16" s="25">
        <v>159.67</v>
      </c>
      <c r="D16" s="25">
        <f>C16/80*10+10*0.55</f>
        <v>25.45875</v>
      </c>
    </row>
    <row r="17" spans="1:4" ht="15.75" hidden="1">
      <c r="A17" s="23">
        <v>2222</v>
      </c>
      <c r="B17" s="32" t="s">
        <v>39</v>
      </c>
      <c r="C17" s="25"/>
      <c r="D17" s="25">
        <f>C17/80*10</f>
        <v>0</v>
      </c>
    </row>
    <row r="18" spans="1:4" ht="16.5" customHeight="1" hidden="1">
      <c r="A18" s="23">
        <v>2243</v>
      </c>
      <c r="B18" s="32" t="s">
        <v>11</v>
      </c>
      <c r="C18" s="25"/>
      <c r="D18" s="25">
        <f>C18/80*10</f>
        <v>0</v>
      </c>
    </row>
    <row r="19" spans="1:4" ht="15.75">
      <c r="A19" s="31">
        <v>2341</v>
      </c>
      <c r="B19" s="32" t="s">
        <v>23</v>
      </c>
      <c r="C19" s="25">
        <v>8.61</v>
      </c>
      <c r="D19" s="25">
        <f>C19/80*10</f>
        <v>1.07625</v>
      </c>
    </row>
    <row r="20" spans="1:4" ht="15.75" customHeight="1">
      <c r="A20" s="23">
        <v>2350</v>
      </c>
      <c r="B20" s="32" t="s">
        <v>25</v>
      </c>
      <c r="C20" s="25">
        <v>1.63</v>
      </c>
      <c r="D20" s="25">
        <f>C20/80*10</f>
        <v>0.20375</v>
      </c>
    </row>
    <row r="21" spans="1:4" ht="97.5" customHeight="1" hidden="1">
      <c r="A21" s="23"/>
      <c r="B21" s="23"/>
      <c r="C21" s="47"/>
      <c r="D21" s="47"/>
    </row>
    <row r="22" spans="1:4" ht="15.75">
      <c r="A22" s="23"/>
      <c r="B22" s="46" t="s">
        <v>67</v>
      </c>
      <c r="C22" s="28">
        <f>SUM(C15:C21)</f>
        <v>832.7099999999999</v>
      </c>
      <c r="D22" s="28">
        <f>SUM(D15:D21)</f>
        <v>132.58875</v>
      </c>
    </row>
    <row r="23" spans="1:4" ht="15.75">
      <c r="A23" s="29"/>
      <c r="B23" s="23" t="s">
        <v>61</v>
      </c>
      <c r="C23" s="25"/>
      <c r="D23" s="25"/>
    </row>
    <row r="24" spans="1:4" ht="15.75">
      <c r="A24" s="23">
        <v>1100</v>
      </c>
      <c r="B24" s="23" t="s">
        <v>59</v>
      </c>
      <c r="C24" s="25">
        <v>128.71</v>
      </c>
      <c r="D24" s="25">
        <f aca="true" t="shared" si="0" ref="D24:D66">C24/80*10</f>
        <v>16.08875</v>
      </c>
    </row>
    <row r="25" spans="1:4" ht="15" customHeight="1">
      <c r="A25" s="23">
        <v>1200</v>
      </c>
      <c r="B25" s="32" t="s">
        <v>60</v>
      </c>
      <c r="C25" s="25">
        <v>31.01</v>
      </c>
      <c r="D25" s="25">
        <f t="shared" si="0"/>
        <v>3.8762499999999998</v>
      </c>
    </row>
    <row r="26" spans="1:4" ht="15.75" hidden="1">
      <c r="A26" s="23">
        <v>2100</v>
      </c>
      <c r="B26" s="30" t="s">
        <v>42</v>
      </c>
      <c r="C26" s="25"/>
      <c r="D26" s="25">
        <f t="shared" si="0"/>
        <v>0</v>
      </c>
    </row>
    <row r="27" spans="1:4" ht="15.75">
      <c r="A27" s="31">
        <v>2210</v>
      </c>
      <c r="B27" s="32" t="s">
        <v>38</v>
      </c>
      <c r="C27" s="25">
        <v>0.9</v>
      </c>
      <c r="D27" s="25">
        <f t="shared" si="0"/>
        <v>0.11249999999999999</v>
      </c>
    </row>
    <row r="28" spans="1:4" ht="15.75">
      <c r="A28" s="23">
        <v>2222</v>
      </c>
      <c r="B28" s="32" t="s">
        <v>39</v>
      </c>
      <c r="C28" s="25">
        <v>12.24</v>
      </c>
      <c r="D28" s="25">
        <f t="shared" si="0"/>
        <v>1.53</v>
      </c>
    </row>
    <row r="29" spans="1:4" ht="15.75">
      <c r="A29" s="23">
        <v>2223</v>
      </c>
      <c r="B29" s="32" t="s">
        <v>40</v>
      </c>
      <c r="C29" s="25">
        <v>11.52</v>
      </c>
      <c r="D29" s="25">
        <f t="shared" si="0"/>
        <v>1.44</v>
      </c>
    </row>
    <row r="30" spans="1:4" ht="15.75">
      <c r="A30" s="23">
        <v>2230</v>
      </c>
      <c r="B30" s="32" t="s">
        <v>41</v>
      </c>
      <c r="C30" s="25">
        <v>0.45</v>
      </c>
      <c r="D30" s="25">
        <f t="shared" si="0"/>
        <v>0.056249999999999994</v>
      </c>
    </row>
    <row r="31" spans="1:4" ht="15.75" hidden="1">
      <c r="A31" s="23">
        <v>2241</v>
      </c>
      <c r="B31" s="32" t="s">
        <v>9</v>
      </c>
      <c r="C31" s="25"/>
      <c r="D31" s="25">
        <f t="shared" si="0"/>
        <v>0</v>
      </c>
    </row>
    <row r="32" spans="1:4" ht="15.75">
      <c r="A32" s="23">
        <v>2242</v>
      </c>
      <c r="B32" s="32" t="s">
        <v>10</v>
      </c>
      <c r="C32" s="25">
        <v>0.72</v>
      </c>
      <c r="D32" s="25">
        <f t="shared" si="0"/>
        <v>0.09</v>
      </c>
    </row>
    <row r="33" spans="1:4" ht="15.75">
      <c r="A33" s="23">
        <v>2243</v>
      </c>
      <c r="B33" s="32" t="s">
        <v>11</v>
      </c>
      <c r="C33" s="25">
        <v>2.47</v>
      </c>
      <c r="D33" s="25">
        <f t="shared" si="0"/>
        <v>0.30875</v>
      </c>
    </row>
    <row r="34" spans="1:4" ht="15.75">
      <c r="A34" s="23">
        <v>2244</v>
      </c>
      <c r="B34" s="32" t="s">
        <v>12</v>
      </c>
      <c r="C34" s="25">
        <v>6.39</v>
      </c>
      <c r="D34" s="25">
        <f>C34/80*10+10*0.16</f>
        <v>2.39875</v>
      </c>
    </row>
    <row r="35" spans="1:4" ht="15.75">
      <c r="A35" s="23">
        <v>2247</v>
      </c>
      <c r="B35" s="45" t="s">
        <v>62</v>
      </c>
      <c r="C35" s="25">
        <v>0.18</v>
      </c>
      <c r="D35" s="25">
        <f t="shared" si="0"/>
        <v>0.0225</v>
      </c>
    </row>
    <row r="36" spans="1:4" ht="15.75">
      <c r="A36" s="23">
        <v>2249</v>
      </c>
      <c r="B36" s="32" t="s">
        <v>13</v>
      </c>
      <c r="C36" s="25">
        <v>0.9</v>
      </c>
      <c r="D36" s="25">
        <f t="shared" si="0"/>
        <v>0.11249999999999999</v>
      </c>
    </row>
    <row r="37" spans="1:4" ht="15.75">
      <c r="A37" s="23">
        <v>2251</v>
      </c>
      <c r="B37" s="32" t="s">
        <v>63</v>
      </c>
      <c r="C37" s="25">
        <v>2.69</v>
      </c>
      <c r="D37" s="25">
        <f t="shared" si="0"/>
        <v>0.33625000000000005</v>
      </c>
    </row>
    <row r="38" spans="1:4" ht="15.75" hidden="1">
      <c r="A38" s="23">
        <v>2252</v>
      </c>
      <c r="B38" s="32" t="s">
        <v>7</v>
      </c>
      <c r="C38" s="25"/>
      <c r="D38" s="25">
        <f t="shared" si="0"/>
        <v>0</v>
      </c>
    </row>
    <row r="39" spans="1:4" ht="15.75" hidden="1">
      <c r="A39" s="23">
        <v>2259</v>
      </c>
      <c r="B39" s="32" t="s">
        <v>8</v>
      </c>
      <c r="C39" s="25"/>
      <c r="D39" s="25">
        <f t="shared" si="0"/>
        <v>0</v>
      </c>
    </row>
    <row r="40" spans="1:4" ht="15.75">
      <c r="A40" s="23">
        <v>2261</v>
      </c>
      <c r="B40" s="32" t="s">
        <v>14</v>
      </c>
      <c r="C40" s="25">
        <v>0.49</v>
      </c>
      <c r="D40" s="25">
        <f t="shared" si="0"/>
        <v>0.06125</v>
      </c>
    </row>
    <row r="41" spans="1:4" ht="15.75">
      <c r="A41" s="23">
        <v>2262</v>
      </c>
      <c r="B41" s="32" t="s">
        <v>15</v>
      </c>
      <c r="C41" s="25">
        <v>2.11</v>
      </c>
      <c r="D41" s="25">
        <f t="shared" si="0"/>
        <v>0.26375</v>
      </c>
    </row>
    <row r="42" spans="1:4" ht="15.75">
      <c r="A42" s="23">
        <v>2263</v>
      </c>
      <c r="B42" s="32" t="s">
        <v>16</v>
      </c>
      <c r="C42" s="25">
        <v>7.85</v>
      </c>
      <c r="D42" s="25">
        <f t="shared" si="0"/>
        <v>0.98125</v>
      </c>
    </row>
    <row r="43" spans="1:4" ht="15.75">
      <c r="A43" s="23">
        <v>2264</v>
      </c>
      <c r="B43" s="32" t="s">
        <v>17</v>
      </c>
      <c r="C43" s="25">
        <v>0.04</v>
      </c>
      <c r="D43" s="25">
        <f t="shared" si="0"/>
        <v>0.005</v>
      </c>
    </row>
    <row r="44" spans="1:4" ht="15.75">
      <c r="A44" s="23">
        <v>2279</v>
      </c>
      <c r="B44" s="32" t="s">
        <v>18</v>
      </c>
      <c r="C44" s="25">
        <v>8.88</v>
      </c>
      <c r="D44" s="25">
        <f t="shared" si="0"/>
        <v>1.11</v>
      </c>
    </row>
    <row r="45" spans="1:4" ht="15.75">
      <c r="A45" s="23">
        <v>2311</v>
      </c>
      <c r="B45" s="32" t="s">
        <v>19</v>
      </c>
      <c r="C45" s="25">
        <v>0.81</v>
      </c>
      <c r="D45" s="25">
        <f t="shared" si="0"/>
        <v>0.10125</v>
      </c>
    </row>
    <row r="46" spans="1:4" ht="15.75">
      <c r="A46" s="23">
        <v>2312</v>
      </c>
      <c r="B46" s="32" t="s">
        <v>20</v>
      </c>
      <c r="C46" s="25">
        <v>1.52</v>
      </c>
      <c r="D46" s="25">
        <f t="shared" si="0"/>
        <v>0.19</v>
      </c>
    </row>
    <row r="47" spans="1:4" ht="15.75">
      <c r="A47" s="23">
        <v>2321</v>
      </c>
      <c r="B47" s="32" t="s">
        <v>21</v>
      </c>
      <c r="C47" s="25">
        <v>14.31</v>
      </c>
      <c r="D47" s="25">
        <f t="shared" si="0"/>
        <v>1.78875</v>
      </c>
    </row>
    <row r="48" spans="1:4" ht="15.75">
      <c r="A48" s="23">
        <v>2322</v>
      </c>
      <c r="B48" s="32" t="s">
        <v>22</v>
      </c>
      <c r="C48" s="25">
        <v>1.39</v>
      </c>
      <c r="D48" s="25">
        <f t="shared" si="0"/>
        <v>0.17375</v>
      </c>
    </row>
    <row r="49" spans="1:4" ht="15.75">
      <c r="A49" s="23">
        <v>2341</v>
      </c>
      <c r="B49" s="32" t="s">
        <v>23</v>
      </c>
      <c r="C49" s="25">
        <v>1.12</v>
      </c>
      <c r="D49" s="25">
        <f t="shared" si="0"/>
        <v>0.14</v>
      </c>
    </row>
    <row r="50" spans="1:4" ht="15.75" hidden="1">
      <c r="A50" s="23">
        <v>2344</v>
      </c>
      <c r="B50" s="32" t="s">
        <v>24</v>
      </c>
      <c r="C50" s="25"/>
      <c r="D50" s="25">
        <f t="shared" si="0"/>
        <v>0</v>
      </c>
    </row>
    <row r="51" spans="1:4" ht="15.75">
      <c r="A51" s="23">
        <v>2350</v>
      </c>
      <c r="B51" s="32" t="s">
        <v>25</v>
      </c>
      <c r="C51" s="25">
        <v>7</v>
      </c>
      <c r="D51" s="25">
        <f t="shared" si="0"/>
        <v>0.875</v>
      </c>
    </row>
    <row r="52" spans="1:4" ht="15" customHeight="1">
      <c r="A52" s="23">
        <v>2361</v>
      </c>
      <c r="B52" s="32" t="s">
        <v>26</v>
      </c>
      <c r="C52" s="25">
        <v>4.31</v>
      </c>
      <c r="D52" s="25">
        <f t="shared" si="0"/>
        <v>0.53875</v>
      </c>
    </row>
    <row r="53" spans="1:4" ht="15.75" hidden="1">
      <c r="A53" s="23">
        <v>2362</v>
      </c>
      <c r="B53" s="32" t="s">
        <v>27</v>
      </c>
      <c r="C53" s="25"/>
      <c r="D53" s="25">
        <f t="shared" si="0"/>
        <v>0</v>
      </c>
    </row>
    <row r="54" spans="1:4" ht="15.75" hidden="1">
      <c r="A54" s="23">
        <v>2363</v>
      </c>
      <c r="B54" s="32" t="s">
        <v>28</v>
      </c>
      <c r="C54" s="25"/>
      <c r="D54" s="25">
        <f t="shared" si="0"/>
        <v>0</v>
      </c>
    </row>
    <row r="55" spans="1:4" ht="15.75" hidden="1">
      <c r="A55" s="23">
        <v>2370</v>
      </c>
      <c r="B55" s="32" t="s">
        <v>29</v>
      </c>
      <c r="C55" s="25"/>
      <c r="D55" s="25">
        <f t="shared" si="0"/>
        <v>0</v>
      </c>
    </row>
    <row r="56" spans="1:4" ht="15.75">
      <c r="A56" s="23">
        <v>2400</v>
      </c>
      <c r="B56" s="32" t="s">
        <v>43</v>
      </c>
      <c r="C56" s="25">
        <v>0.31</v>
      </c>
      <c r="D56" s="25">
        <f t="shared" si="0"/>
        <v>0.03875</v>
      </c>
    </row>
    <row r="57" spans="1:4" ht="15.75" hidden="1">
      <c r="A57" s="23">
        <v>2512</v>
      </c>
      <c r="B57" s="32" t="s">
        <v>30</v>
      </c>
      <c r="C57" s="25"/>
      <c r="D57" s="25">
        <f t="shared" si="0"/>
        <v>0</v>
      </c>
    </row>
    <row r="58" spans="1:4" ht="15.75" customHeight="1">
      <c r="A58" s="23">
        <v>2513</v>
      </c>
      <c r="B58" s="32" t="s">
        <v>31</v>
      </c>
      <c r="C58" s="25">
        <v>5.7</v>
      </c>
      <c r="D58" s="25">
        <f t="shared" si="0"/>
        <v>0.7125000000000001</v>
      </c>
    </row>
    <row r="59" spans="1:4" ht="15.75">
      <c r="A59" s="23">
        <v>2515</v>
      </c>
      <c r="B59" s="32" t="s">
        <v>64</v>
      </c>
      <c r="C59" s="25">
        <v>0.22</v>
      </c>
      <c r="D59" s="25">
        <f t="shared" si="0"/>
        <v>0.027499999999999997</v>
      </c>
    </row>
    <row r="60" spans="1:4" ht="15.75">
      <c r="A60" s="23">
        <v>2519</v>
      </c>
      <c r="B60" s="32" t="s">
        <v>34</v>
      </c>
      <c r="C60" s="25">
        <v>1.36</v>
      </c>
      <c r="D60" s="25">
        <f t="shared" si="0"/>
        <v>0.17</v>
      </c>
    </row>
    <row r="61" spans="1:4" ht="15.75" hidden="1">
      <c r="A61" s="23">
        <v>6240</v>
      </c>
      <c r="B61" s="32"/>
      <c r="C61" s="25"/>
      <c r="D61" s="25">
        <f t="shared" si="0"/>
        <v>0</v>
      </c>
    </row>
    <row r="62" spans="1:4" ht="15.75" hidden="1">
      <c r="A62" s="23">
        <v>6290</v>
      </c>
      <c r="B62" s="32"/>
      <c r="C62" s="25"/>
      <c r="D62" s="25">
        <f t="shared" si="0"/>
        <v>0</v>
      </c>
    </row>
    <row r="63" spans="1:4" ht="15.75">
      <c r="A63" s="23">
        <v>5121</v>
      </c>
      <c r="B63" s="32" t="s">
        <v>32</v>
      </c>
      <c r="C63" s="25">
        <v>0.99</v>
      </c>
      <c r="D63" s="25">
        <f t="shared" si="0"/>
        <v>0.12375</v>
      </c>
    </row>
    <row r="64" spans="1:4" ht="15.75">
      <c r="A64" s="23">
        <v>5232</v>
      </c>
      <c r="B64" s="32" t="s">
        <v>33</v>
      </c>
      <c r="C64" s="25">
        <v>0.26</v>
      </c>
      <c r="D64" s="25">
        <f t="shared" si="0"/>
        <v>0.0325</v>
      </c>
    </row>
    <row r="65" spans="1:4" ht="15.75" hidden="1">
      <c r="A65" s="23">
        <v>5238</v>
      </c>
      <c r="B65" s="32" t="s">
        <v>35</v>
      </c>
      <c r="C65" s="25"/>
      <c r="D65" s="25">
        <f t="shared" si="0"/>
        <v>0</v>
      </c>
    </row>
    <row r="66" spans="1:4" ht="15.75">
      <c r="A66" s="23">
        <v>5240</v>
      </c>
      <c r="B66" s="32" t="s">
        <v>36</v>
      </c>
      <c r="C66" s="25">
        <v>0.04</v>
      </c>
      <c r="D66" s="25">
        <f t="shared" si="0"/>
        <v>0.005</v>
      </c>
    </row>
    <row r="67" spans="1:4" ht="15.75" hidden="1">
      <c r="A67" s="23">
        <v>5250</v>
      </c>
      <c r="B67" s="32" t="s">
        <v>37</v>
      </c>
      <c r="C67" s="25"/>
      <c r="D67" s="25"/>
    </row>
    <row r="68" spans="1:4" ht="15.75">
      <c r="A68" s="29"/>
      <c r="B68" s="48" t="s">
        <v>65</v>
      </c>
      <c r="C68" s="28">
        <f>SUM(C23:C67)</f>
        <v>256.89000000000004</v>
      </c>
      <c r="D68" s="28">
        <f>SUM(D23:D67)</f>
        <v>33.71125000000001</v>
      </c>
    </row>
    <row r="69" spans="1:4" ht="15.75">
      <c r="A69" s="29"/>
      <c r="B69" s="48" t="s">
        <v>66</v>
      </c>
      <c r="C69" s="28">
        <f>C68+C22</f>
        <v>1089.6</v>
      </c>
      <c r="D69" s="28">
        <f>D68+D22</f>
        <v>166.3</v>
      </c>
    </row>
    <row r="70" spans="1:4" ht="15.75">
      <c r="A70" s="49"/>
      <c r="B70" s="50"/>
      <c r="C70" s="41"/>
      <c r="D70" s="41"/>
    </row>
    <row r="71" spans="1:4" ht="15.75" customHeight="1">
      <c r="A71" s="214" t="s">
        <v>45</v>
      </c>
      <c r="B71" s="215"/>
      <c r="C71" s="42">
        <v>80</v>
      </c>
      <c r="D71" s="162">
        <v>10</v>
      </c>
    </row>
    <row r="72" spans="1:4" ht="15.75">
      <c r="A72" s="216" t="s">
        <v>54</v>
      </c>
      <c r="B72" s="216"/>
      <c r="C72" s="54">
        <f>ROUND(C69/C71,2)</f>
        <v>13.62</v>
      </c>
      <c r="D72" s="163">
        <f>ROUND(D69/D71,2)</f>
        <v>16.63</v>
      </c>
    </row>
    <row r="73" spans="1:4" ht="15.75">
      <c r="A73" s="14"/>
      <c r="B73" s="11"/>
      <c r="C73" s="52"/>
      <c r="D73" s="52"/>
    </row>
    <row r="74" spans="1:4" s="3" customFormat="1" ht="15.75">
      <c r="A74" s="212" t="s">
        <v>46</v>
      </c>
      <c r="B74" s="213"/>
      <c r="C74" s="53"/>
      <c r="D74" s="53"/>
    </row>
    <row r="75" spans="1:4" s="3" customFormat="1" ht="15.75" customHeight="1">
      <c r="A75" s="212" t="s">
        <v>55</v>
      </c>
      <c r="B75" s="213"/>
      <c r="C75" s="37"/>
      <c r="D75" s="37"/>
    </row>
    <row r="76" spans="1:4" s="3" customFormat="1" ht="15.75">
      <c r="A76" s="38"/>
      <c r="B76" s="38"/>
      <c r="C76" s="38"/>
      <c r="D76" s="38"/>
    </row>
    <row r="77" spans="1:4" s="3" customFormat="1" ht="15.75">
      <c r="A77" s="38" t="s">
        <v>47</v>
      </c>
      <c r="B77" s="38"/>
      <c r="C77" s="38"/>
      <c r="D77" s="38"/>
    </row>
    <row r="78" spans="1:4" s="3" customFormat="1" ht="15.75">
      <c r="A78" s="38"/>
      <c r="B78" s="38"/>
      <c r="C78" s="38"/>
      <c r="D78" s="38"/>
    </row>
    <row r="79" spans="1:4" s="3" customFormat="1" ht="15.75">
      <c r="A79" s="38"/>
      <c r="B79" s="39"/>
      <c r="C79" s="38"/>
      <c r="D79" s="38"/>
    </row>
    <row r="80" spans="1:4" s="3" customFormat="1" ht="13.5" customHeight="1">
      <c r="A80" s="38"/>
      <c r="B80" s="40"/>
      <c r="C80" s="38"/>
      <c r="D80" s="38"/>
    </row>
    <row r="81" spans="1:4" ht="15.75">
      <c r="A81" s="7"/>
      <c r="B81" s="7"/>
      <c r="C81" s="15"/>
      <c r="D81" s="15"/>
    </row>
  </sheetData>
  <sheetProtection/>
  <mergeCells count="7">
    <mergeCell ref="A74:B74"/>
    <mergeCell ref="A75:B75"/>
    <mergeCell ref="A71:B71"/>
    <mergeCell ref="A72:B72"/>
    <mergeCell ref="A5:B5"/>
    <mergeCell ref="A3:D3"/>
    <mergeCell ref="A6:B6"/>
  </mergeCells>
  <printOptions/>
  <pageMargins left="0.9448818897637796" right="0.5511811023622047" top="0.6692913385826772" bottom="0.984251968503937" header="0.5118110236220472" footer="0.5118110236220472"/>
  <pageSetup firstPageNumber="2" useFirstPageNumber="1" fitToHeight="0" fitToWidth="1" horizontalDpi="600" verticalDpi="600" orientation="portrait" paperSize="9" scale="62" r:id="rId1"/>
  <headerFooter alignWithMargins="0">
    <oddHeader>&amp;C&amp;P</oddHeader>
    <oddFooter>&amp;C&amp;"Times New Roman,Regular"&amp;11LManotp3_100519;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13.28125" style="1" customWidth="1"/>
    <col min="2" max="2" width="71.57421875" style="1" customWidth="1"/>
    <col min="3" max="3" width="12.421875" style="4" customWidth="1"/>
  </cols>
  <sheetData>
    <row r="1" spans="1:3" ht="15">
      <c r="A1" s="4"/>
      <c r="B1" s="4"/>
      <c r="C1" s="2"/>
    </row>
    <row r="2" spans="1:3" ht="18.75">
      <c r="A2" s="193" t="s">
        <v>6</v>
      </c>
      <c r="B2" s="193"/>
      <c r="C2" s="193"/>
    </row>
    <row r="3" spans="1:3" ht="15">
      <c r="A3" s="4"/>
      <c r="B3" s="60"/>
      <c r="C3" s="2"/>
    </row>
    <row r="4" spans="1:3" ht="15.75">
      <c r="A4" s="195" t="s">
        <v>1</v>
      </c>
      <c r="B4" s="195"/>
      <c r="C4" s="14"/>
    </row>
    <row r="5" spans="1:3" ht="15.75">
      <c r="A5" s="195" t="s">
        <v>0</v>
      </c>
      <c r="B5" s="195"/>
      <c r="C5" s="14"/>
    </row>
    <row r="6" spans="1:3" ht="15.75">
      <c r="A6" s="8"/>
      <c r="B6" s="8" t="s">
        <v>44</v>
      </c>
      <c r="C6" s="14"/>
    </row>
    <row r="7" spans="1:3" ht="15.75">
      <c r="A7" s="8"/>
      <c r="B7" s="8" t="s">
        <v>57</v>
      </c>
      <c r="C7" s="14"/>
    </row>
    <row r="8" spans="1:3" ht="15.75">
      <c r="A8" s="8"/>
      <c r="B8" s="8" t="s">
        <v>231</v>
      </c>
      <c r="C8" s="14"/>
    </row>
    <row r="9" spans="1:3" ht="15.75">
      <c r="A9" s="8" t="s">
        <v>2</v>
      </c>
      <c r="B9" s="8" t="s">
        <v>205</v>
      </c>
      <c r="C9" s="14"/>
    </row>
    <row r="10" spans="1:3" ht="15.75" hidden="1">
      <c r="A10" s="15"/>
      <c r="B10" s="16"/>
      <c r="C10" s="14"/>
    </row>
    <row r="11" spans="1:3" ht="61.5" customHeight="1">
      <c r="A11" s="59" t="s">
        <v>3</v>
      </c>
      <c r="B11" s="59" t="s">
        <v>4</v>
      </c>
      <c r="C11" s="59" t="s">
        <v>5</v>
      </c>
    </row>
    <row r="12" spans="1:3" ht="15.75">
      <c r="A12" s="18">
        <v>1</v>
      </c>
      <c r="B12" s="19">
        <v>2</v>
      </c>
      <c r="C12" s="19">
        <v>3</v>
      </c>
    </row>
    <row r="13" spans="1:3" ht="15.75">
      <c r="A13" s="20"/>
      <c r="B13" s="45" t="s">
        <v>68</v>
      </c>
      <c r="C13" s="23"/>
    </row>
    <row r="14" spans="1:3" s="92" customFormat="1" ht="15.75">
      <c r="A14" s="23">
        <v>1100</v>
      </c>
      <c r="B14" s="23" t="s">
        <v>59</v>
      </c>
      <c r="C14" s="174">
        <v>183.68</v>
      </c>
    </row>
    <row r="15" spans="1:3" s="92" customFormat="1" ht="20.25" customHeight="1">
      <c r="A15" s="23">
        <v>1200</v>
      </c>
      <c r="B15" s="32" t="s">
        <v>60</v>
      </c>
      <c r="C15" s="174">
        <v>44.24</v>
      </c>
    </row>
    <row r="16" spans="1:3" s="92" customFormat="1" ht="15.75" hidden="1">
      <c r="A16" s="23">
        <v>2222</v>
      </c>
      <c r="B16" s="32" t="s">
        <v>39</v>
      </c>
      <c r="C16" s="25"/>
    </row>
    <row r="17" spans="1:3" s="92" customFormat="1" ht="15.75" hidden="1">
      <c r="A17" s="23">
        <v>2243</v>
      </c>
      <c r="B17" s="32" t="s">
        <v>11</v>
      </c>
      <c r="C17" s="25"/>
    </row>
    <row r="18" spans="1:3" s="92" customFormat="1" ht="15.75">
      <c r="A18" s="23">
        <v>2312</v>
      </c>
      <c r="B18" s="32" t="s">
        <v>20</v>
      </c>
      <c r="C18" s="25">
        <v>6.2</v>
      </c>
    </row>
    <row r="19" spans="1:3" s="92" customFormat="1" ht="15.75" hidden="1">
      <c r="A19" s="31">
        <v>2341</v>
      </c>
      <c r="B19" s="32" t="s">
        <v>23</v>
      </c>
      <c r="C19" s="25"/>
    </row>
    <row r="20" spans="1:3" s="92" customFormat="1" ht="15.75" hidden="1">
      <c r="A20" s="23">
        <v>2350</v>
      </c>
      <c r="B20" s="32" t="s">
        <v>25</v>
      </c>
      <c r="C20" s="25"/>
    </row>
    <row r="21" spans="1:3" s="92" customFormat="1" ht="15.75">
      <c r="A21" s="23">
        <v>5220</v>
      </c>
      <c r="B21" s="32" t="s">
        <v>229</v>
      </c>
      <c r="C21" s="25">
        <v>2.2</v>
      </c>
    </row>
    <row r="22" spans="1:3" ht="15.75">
      <c r="A22" s="23"/>
      <c r="B22" s="46" t="s">
        <v>67</v>
      </c>
      <c r="C22" s="28">
        <f>SUM(C14:C21)</f>
        <v>236.32</v>
      </c>
    </row>
    <row r="23" spans="1:3" ht="15.75">
      <c r="A23" s="29"/>
      <c r="B23" s="23" t="s">
        <v>61</v>
      </c>
      <c r="C23" s="25"/>
    </row>
    <row r="24" spans="1:3" ht="15.75">
      <c r="A24" s="23">
        <v>1100</v>
      </c>
      <c r="B24" s="23" t="s">
        <v>59</v>
      </c>
      <c r="C24" s="25">
        <v>26.24</v>
      </c>
    </row>
    <row r="25" spans="1:3" ht="15.75" customHeight="1">
      <c r="A25" s="23">
        <v>1200</v>
      </c>
      <c r="B25" s="32" t="s">
        <v>60</v>
      </c>
      <c r="C25" s="25">
        <v>6.32</v>
      </c>
    </row>
    <row r="26" spans="1:3" ht="15.75" hidden="1">
      <c r="A26" s="23">
        <v>2100</v>
      </c>
      <c r="B26" s="30" t="s">
        <v>42</v>
      </c>
      <c r="C26" s="25"/>
    </row>
    <row r="27" spans="1:3" ht="15.75">
      <c r="A27" s="31">
        <v>2210</v>
      </c>
      <c r="B27" s="32" t="s">
        <v>38</v>
      </c>
      <c r="C27" s="25">
        <v>0.22</v>
      </c>
    </row>
    <row r="28" spans="1:3" ht="15.75">
      <c r="A28" s="23">
        <v>2222</v>
      </c>
      <c r="B28" s="32" t="s">
        <v>39</v>
      </c>
      <c r="C28" s="25">
        <v>3.06</v>
      </c>
    </row>
    <row r="29" spans="1:3" ht="15.75">
      <c r="A29" s="23">
        <v>2223</v>
      </c>
      <c r="B29" s="32" t="s">
        <v>40</v>
      </c>
      <c r="C29" s="25">
        <v>2.88</v>
      </c>
    </row>
    <row r="30" spans="1:3" ht="15.75">
      <c r="A30" s="23">
        <v>2230</v>
      </c>
      <c r="B30" s="32" t="s">
        <v>41</v>
      </c>
      <c r="C30" s="25">
        <v>0.15</v>
      </c>
    </row>
    <row r="31" spans="1:3" ht="15.75" hidden="1">
      <c r="A31" s="23">
        <v>2241</v>
      </c>
      <c r="B31" s="32" t="s">
        <v>9</v>
      </c>
      <c r="C31" s="25"/>
    </row>
    <row r="32" spans="1:3" ht="15.75">
      <c r="A32" s="23">
        <v>2242</v>
      </c>
      <c r="B32" s="32" t="s">
        <v>10</v>
      </c>
      <c r="C32" s="25">
        <v>0.18</v>
      </c>
    </row>
    <row r="33" spans="1:3" ht="15.75">
      <c r="A33" s="23">
        <v>2243</v>
      </c>
      <c r="B33" s="32" t="s">
        <v>11</v>
      </c>
      <c r="C33" s="25">
        <v>0.62</v>
      </c>
    </row>
    <row r="34" spans="1:3" ht="15.75">
      <c r="A34" s="23">
        <v>2244</v>
      </c>
      <c r="B34" s="32" t="s">
        <v>12</v>
      </c>
      <c r="C34" s="174">
        <v>5.59</v>
      </c>
    </row>
    <row r="35" spans="1:3" ht="15.75">
      <c r="A35" s="23">
        <v>2247</v>
      </c>
      <c r="B35" s="45" t="s">
        <v>62</v>
      </c>
      <c r="C35" s="25">
        <v>0.04</v>
      </c>
    </row>
    <row r="36" spans="1:3" ht="15.75">
      <c r="A36" s="23">
        <v>2249</v>
      </c>
      <c r="B36" s="32" t="s">
        <v>13</v>
      </c>
      <c r="C36" s="25">
        <v>0.22</v>
      </c>
    </row>
    <row r="37" spans="1:3" ht="15.75">
      <c r="A37" s="23">
        <v>2251</v>
      </c>
      <c r="B37" s="32" t="s">
        <v>63</v>
      </c>
      <c r="C37" s="25">
        <v>0.68</v>
      </c>
    </row>
    <row r="38" spans="1:3" ht="15.75" hidden="1">
      <c r="A38" s="23">
        <v>2252</v>
      </c>
      <c r="B38" s="32" t="s">
        <v>7</v>
      </c>
      <c r="C38" s="25"/>
    </row>
    <row r="39" spans="1:3" ht="15.75" hidden="1">
      <c r="A39" s="23">
        <v>2259</v>
      </c>
      <c r="B39" s="32" t="s">
        <v>8</v>
      </c>
      <c r="C39" s="25"/>
    </row>
    <row r="40" spans="1:3" ht="15.75">
      <c r="A40" s="23">
        <v>2261</v>
      </c>
      <c r="B40" s="32" t="s">
        <v>14</v>
      </c>
      <c r="C40" s="25">
        <v>0.12</v>
      </c>
    </row>
    <row r="41" spans="1:3" ht="15.75">
      <c r="A41" s="23">
        <v>2262</v>
      </c>
      <c r="B41" s="32" t="s">
        <v>15</v>
      </c>
      <c r="C41" s="25">
        <v>0.52</v>
      </c>
    </row>
    <row r="42" spans="1:3" ht="15.75">
      <c r="A42" s="23">
        <v>2263</v>
      </c>
      <c r="B42" s="32" t="s">
        <v>16</v>
      </c>
      <c r="C42" s="25">
        <v>1.96</v>
      </c>
    </row>
    <row r="43" spans="1:3" ht="15.75">
      <c r="A43" s="23">
        <v>2264</v>
      </c>
      <c r="B43" s="32" t="s">
        <v>17</v>
      </c>
      <c r="C43" s="25">
        <v>0.02</v>
      </c>
    </row>
    <row r="44" spans="1:3" ht="15.75">
      <c r="A44" s="23">
        <v>2279</v>
      </c>
      <c r="B44" s="32" t="s">
        <v>18</v>
      </c>
      <c r="C44" s="25">
        <v>2.22</v>
      </c>
    </row>
    <row r="45" spans="1:3" ht="15.75">
      <c r="A45" s="23">
        <v>2311</v>
      </c>
      <c r="B45" s="32" t="s">
        <v>19</v>
      </c>
      <c r="C45" s="25">
        <v>0.2</v>
      </c>
    </row>
    <row r="46" spans="1:3" ht="15.75">
      <c r="A46" s="23">
        <v>2312</v>
      </c>
      <c r="B46" s="32" t="s">
        <v>20</v>
      </c>
      <c r="C46" s="25">
        <v>0.38</v>
      </c>
    </row>
    <row r="47" spans="1:3" ht="15.75">
      <c r="A47" s="23">
        <v>2321</v>
      </c>
      <c r="B47" s="32" t="s">
        <v>21</v>
      </c>
      <c r="C47" s="25">
        <v>3.58</v>
      </c>
    </row>
    <row r="48" spans="1:3" ht="15.75">
      <c r="A48" s="23">
        <v>2322</v>
      </c>
      <c r="B48" s="32" t="s">
        <v>22</v>
      </c>
      <c r="C48" s="25">
        <v>0.34</v>
      </c>
    </row>
    <row r="49" spans="1:3" ht="15.75">
      <c r="A49" s="23">
        <v>2341</v>
      </c>
      <c r="B49" s="32" t="s">
        <v>23</v>
      </c>
      <c r="C49" s="25">
        <v>0.28</v>
      </c>
    </row>
    <row r="50" spans="1:3" ht="15.75" hidden="1">
      <c r="A50" s="23">
        <v>2344</v>
      </c>
      <c r="B50" s="32" t="s">
        <v>24</v>
      </c>
      <c r="C50" s="25"/>
    </row>
    <row r="51" spans="1:3" ht="15.75">
      <c r="A51" s="23">
        <v>2350</v>
      </c>
      <c r="B51" s="32" t="s">
        <v>25</v>
      </c>
      <c r="C51" s="25">
        <v>1.76</v>
      </c>
    </row>
    <row r="52" spans="1:3" ht="15.75">
      <c r="A52" s="23">
        <v>2361</v>
      </c>
      <c r="B52" s="32" t="s">
        <v>26</v>
      </c>
      <c r="C52" s="25">
        <v>1.08</v>
      </c>
    </row>
    <row r="53" spans="1:3" ht="15.75" hidden="1">
      <c r="A53" s="23">
        <v>2362</v>
      </c>
      <c r="B53" s="32" t="s">
        <v>27</v>
      </c>
      <c r="C53" s="25"/>
    </row>
    <row r="54" spans="1:3" ht="15.75" hidden="1">
      <c r="A54" s="23">
        <v>2363</v>
      </c>
      <c r="B54" s="32" t="s">
        <v>28</v>
      </c>
      <c r="C54" s="25"/>
    </row>
    <row r="55" spans="1:3" ht="15.75" hidden="1">
      <c r="A55" s="23">
        <v>2370</v>
      </c>
      <c r="B55" s="32" t="s">
        <v>29</v>
      </c>
      <c r="C55" s="25"/>
    </row>
    <row r="56" spans="1:3" ht="15.75">
      <c r="A56" s="23">
        <v>2400</v>
      </c>
      <c r="B56" s="32" t="s">
        <v>43</v>
      </c>
      <c r="C56" s="25">
        <v>0.08</v>
      </c>
    </row>
    <row r="57" spans="1:3" ht="15.75" hidden="1">
      <c r="A57" s="23">
        <v>2512</v>
      </c>
      <c r="B57" s="32" t="s">
        <v>30</v>
      </c>
      <c r="C57" s="25"/>
    </row>
    <row r="58" spans="1:3" ht="15.75">
      <c r="A58" s="23">
        <v>2513</v>
      </c>
      <c r="B58" s="32" t="s">
        <v>31</v>
      </c>
      <c r="C58" s="25">
        <v>1.42</v>
      </c>
    </row>
    <row r="59" spans="1:3" ht="15.75">
      <c r="A59" s="23">
        <v>2515</v>
      </c>
      <c r="B59" s="32" t="s">
        <v>64</v>
      </c>
      <c r="C59" s="25">
        <v>0.06</v>
      </c>
    </row>
    <row r="60" spans="1:3" ht="15.75">
      <c r="A60" s="23">
        <v>2519</v>
      </c>
      <c r="B60" s="32" t="s">
        <v>34</v>
      </c>
      <c r="C60" s="25">
        <v>0.34</v>
      </c>
    </row>
    <row r="61" spans="1:3" ht="15.75" hidden="1">
      <c r="A61" s="23">
        <v>6240</v>
      </c>
      <c r="B61" s="32"/>
      <c r="C61" s="25"/>
    </row>
    <row r="62" spans="1:3" ht="15.75" hidden="1">
      <c r="A62" s="23">
        <v>6290</v>
      </c>
      <c r="B62" s="32"/>
      <c r="C62" s="25"/>
    </row>
    <row r="63" spans="1:3" ht="15.75">
      <c r="A63" s="23">
        <v>5121</v>
      </c>
      <c r="B63" s="32" t="s">
        <v>32</v>
      </c>
      <c r="C63" s="25">
        <v>0.24</v>
      </c>
    </row>
    <row r="64" spans="1:3" ht="15.75">
      <c r="A64" s="23">
        <v>5232</v>
      </c>
      <c r="B64" s="32" t="s">
        <v>33</v>
      </c>
      <c r="C64" s="25">
        <v>0.06</v>
      </c>
    </row>
    <row r="65" spans="1:3" ht="15.75" hidden="1">
      <c r="A65" s="23">
        <v>5238</v>
      </c>
      <c r="B65" s="32" t="s">
        <v>35</v>
      </c>
      <c r="C65" s="25"/>
    </row>
    <row r="66" spans="1:3" ht="15.75">
      <c r="A66" s="23">
        <v>5240</v>
      </c>
      <c r="B66" s="32" t="s">
        <v>36</v>
      </c>
      <c r="C66" s="25">
        <v>0.02</v>
      </c>
    </row>
    <row r="67" spans="1:3" ht="15.75" hidden="1">
      <c r="A67" s="23">
        <v>5250</v>
      </c>
      <c r="B67" s="32" t="s">
        <v>37</v>
      </c>
      <c r="C67" s="25"/>
    </row>
    <row r="68" spans="1:3" ht="15.75">
      <c r="A68" s="29"/>
      <c r="B68" s="48" t="s">
        <v>65</v>
      </c>
      <c r="C68" s="28">
        <f>SUM(C23:C67)</f>
        <v>60.880000000000024</v>
      </c>
    </row>
    <row r="69" spans="1:3" ht="15.75">
      <c r="A69" s="29"/>
      <c r="B69" s="48" t="s">
        <v>66</v>
      </c>
      <c r="C69" s="28">
        <f>C68+C22</f>
        <v>297.20000000000005</v>
      </c>
    </row>
    <row r="70" spans="1:3" ht="15.75">
      <c r="A70" s="49"/>
      <c r="B70" s="50"/>
      <c r="C70" s="41"/>
    </row>
    <row r="71" spans="1:3" ht="15.75">
      <c r="A71" s="214" t="s">
        <v>45</v>
      </c>
      <c r="B71" s="215"/>
      <c r="C71" s="162">
        <v>20</v>
      </c>
    </row>
    <row r="72" spans="1:3" ht="15.75">
      <c r="A72" s="216" t="s">
        <v>54</v>
      </c>
      <c r="B72" s="216"/>
      <c r="C72" s="163">
        <f>ROUND(C69/C71,2)</f>
        <v>14.86</v>
      </c>
    </row>
    <row r="73" spans="1:3" ht="15.75">
      <c r="A73" s="14"/>
      <c r="B73" s="11"/>
      <c r="C73" s="52"/>
    </row>
    <row r="74" spans="1:3" ht="15.75">
      <c r="A74" s="212" t="s">
        <v>46</v>
      </c>
      <c r="B74" s="213"/>
      <c r="C74" s="53"/>
    </row>
    <row r="75" spans="1:3" ht="15.75">
      <c r="A75" s="212" t="s">
        <v>55</v>
      </c>
      <c r="B75" s="213"/>
      <c r="C75" s="37"/>
    </row>
    <row r="76" spans="1:3" ht="15.75">
      <c r="A76" s="38"/>
      <c r="B76" s="38"/>
      <c r="C76" s="38"/>
    </row>
    <row r="77" spans="1:3" ht="15.75">
      <c r="A77" s="38" t="s">
        <v>47</v>
      </c>
      <c r="B77" s="38"/>
      <c r="C77" s="38"/>
    </row>
    <row r="78" spans="1:3" ht="15.75">
      <c r="A78" s="38"/>
      <c r="B78" s="38"/>
      <c r="C78" s="38"/>
    </row>
    <row r="79" spans="1:3" ht="15.75">
      <c r="A79" s="38"/>
      <c r="B79" s="39"/>
      <c r="C79" s="38"/>
    </row>
    <row r="80" spans="1:3" ht="15.75">
      <c r="A80" s="38"/>
      <c r="B80" s="40"/>
      <c r="C80" s="38"/>
    </row>
    <row r="81" spans="1:3" ht="15.75">
      <c r="A81" s="7"/>
      <c r="B81" s="7"/>
      <c r="C81" s="15"/>
    </row>
  </sheetData>
  <sheetProtection/>
  <mergeCells count="7">
    <mergeCell ref="A75:B75"/>
    <mergeCell ref="A2:C2"/>
    <mergeCell ref="A4:B4"/>
    <mergeCell ref="A5:B5"/>
    <mergeCell ref="A71:B71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Footer>&amp;CLManotp3_100519; Ministru kabineta noteikumu projekts "Grozījumi Ministru kabineta 2013. gada 24. septembra noteikumos Nr.1002 "Sociālās integrācijas valsts aģentūras sniegto maksas pakalpojumu cenrādis""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Layout" workbookViewId="0" topLeftCell="A56">
      <selection activeCell="B10" sqref="B10"/>
    </sheetView>
  </sheetViews>
  <sheetFormatPr defaultColWidth="9.140625" defaultRowHeight="12.75"/>
  <cols>
    <col min="1" max="1" width="13.7109375" style="1" customWidth="1"/>
    <col min="2" max="2" width="99.7109375" style="1" customWidth="1"/>
    <col min="3" max="3" width="20.8515625" style="1" hidden="1" customWidth="1"/>
    <col min="4" max="5" width="21.57421875" style="1" hidden="1" customWidth="1"/>
    <col min="6" max="7" width="21.57421875" style="4" hidden="1" customWidth="1"/>
    <col min="8" max="8" width="28.140625" style="4" hidden="1" customWidth="1"/>
    <col min="9" max="9" width="24.57421875" style="4" customWidth="1"/>
  </cols>
  <sheetData>
    <row r="1" spans="1:9" ht="15.75">
      <c r="A1" s="4"/>
      <c r="B1" s="12"/>
      <c r="C1" s="12"/>
      <c r="D1" s="12"/>
      <c r="E1" s="76"/>
      <c r="F1" s="76"/>
      <c r="G1" s="76"/>
      <c r="H1" s="9" t="s">
        <v>204</v>
      </c>
      <c r="I1" s="9"/>
    </row>
    <row r="2" spans="1:9" ht="15">
      <c r="A2" s="4"/>
      <c r="B2" s="4"/>
      <c r="C2" s="4"/>
      <c r="D2" s="4"/>
      <c r="E2" s="64"/>
      <c r="F2" s="2"/>
      <c r="G2" s="2"/>
      <c r="H2" s="2"/>
      <c r="I2" s="2"/>
    </row>
    <row r="3" spans="1:9" ht="18.75">
      <c r="A3" s="193" t="s">
        <v>6</v>
      </c>
      <c r="B3" s="193"/>
      <c r="C3" s="193"/>
      <c r="D3" s="193"/>
      <c r="E3" s="193"/>
      <c r="F3" s="193"/>
      <c r="G3" s="193"/>
      <c r="H3" s="193"/>
      <c r="I3" s="70"/>
    </row>
    <row r="4" spans="1:9" ht="15">
      <c r="A4" s="4"/>
      <c r="B4" s="218"/>
      <c r="C4" s="218"/>
      <c r="D4" s="218"/>
      <c r="E4" s="218"/>
      <c r="F4" s="2"/>
      <c r="G4" s="2"/>
      <c r="H4" s="2"/>
      <c r="I4" s="2"/>
    </row>
    <row r="5" spans="1:9" ht="15.75">
      <c r="A5" s="195" t="s">
        <v>1</v>
      </c>
      <c r="B5" s="195"/>
      <c r="C5" s="195"/>
      <c r="D5" s="195"/>
      <c r="E5" s="195"/>
      <c r="F5" s="14"/>
      <c r="G5" s="14"/>
      <c r="H5" s="14"/>
      <c r="I5" s="14"/>
    </row>
    <row r="6" spans="1:9" ht="15.75">
      <c r="A6" s="195" t="s">
        <v>0</v>
      </c>
      <c r="B6" s="195"/>
      <c r="C6" s="195"/>
      <c r="D6" s="195"/>
      <c r="E6" s="195"/>
      <c r="F6" s="14"/>
      <c r="G6" s="14"/>
      <c r="H6" s="14"/>
      <c r="I6" s="14"/>
    </row>
    <row r="7" spans="1:9" ht="15.75">
      <c r="A7" s="8"/>
      <c r="B7" s="195" t="s">
        <v>44</v>
      </c>
      <c r="C7" s="195"/>
      <c r="D7" s="195"/>
      <c r="E7" s="195"/>
      <c r="F7" s="14"/>
      <c r="G7" s="14"/>
      <c r="H7" s="14"/>
      <c r="I7" s="14"/>
    </row>
    <row r="8" spans="1:9" ht="15.75">
      <c r="A8" s="8"/>
      <c r="B8" s="195" t="s">
        <v>85</v>
      </c>
      <c r="C8" s="195"/>
      <c r="D8" s="195"/>
      <c r="E8" s="195"/>
      <c r="F8" s="14"/>
      <c r="G8" s="14"/>
      <c r="H8" s="14"/>
      <c r="I8" s="14"/>
    </row>
    <row r="9" spans="1:9" ht="15.75">
      <c r="A9" s="8"/>
      <c r="B9" s="195" t="s">
        <v>86</v>
      </c>
      <c r="C9" s="195"/>
      <c r="D9" s="195"/>
      <c r="E9" s="195"/>
      <c r="F9" s="14"/>
      <c r="G9" s="14"/>
      <c r="H9" s="14"/>
      <c r="I9" s="14"/>
    </row>
    <row r="10" spans="1:9" ht="15.75">
      <c r="A10" s="8" t="s">
        <v>2</v>
      </c>
      <c r="B10" s="8" t="s">
        <v>205</v>
      </c>
      <c r="C10" s="8"/>
      <c r="D10" s="8"/>
      <c r="E10" s="8"/>
      <c r="F10" s="14"/>
      <c r="G10" s="14"/>
      <c r="H10" s="14"/>
      <c r="I10" s="14"/>
    </row>
    <row r="11" spans="1:9" ht="15.75" hidden="1">
      <c r="A11" s="15"/>
      <c r="B11" s="16"/>
      <c r="C11" s="16"/>
      <c r="D11" s="16"/>
      <c r="E11" s="77"/>
      <c r="F11" s="14"/>
      <c r="G11" s="14"/>
      <c r="H11" s="14"/>
      <c r="I11" s="14"/>
    </row>
    <row r="12" spans="1:9" ht="62.25" customHeight="1">
      <c r="A12" s="59" t="s">
        <v>3</v>
      </c>
      <c r="B12" s="59" t="s">
        <v>4</v>
      </c>
      <c r="C12" s="59"/>
      <c r="D12" s="59"/>
      <c r="E12" s="59"/>
      <c r="F12" s="59"/>
      <c r="G12" s="59"/>
      <c r="H12" s="59" t="s">
        <v>5</v>
      </c>
      <c r="I12" s="59" t="s">
        <v>5</v>
      </c>
    </row>
    <row r="13" spans="1:9" ht="15.75">
      <c r="A13" s="18">
        <v>1</v>
      </c>
      <c r="B13" s="19">
        <v>2</v>
      </c>
      <c r="C13" s="19"/>
      <c r="D13" s="19"/>
      <c r="E13" s="18">
        <v>3</v>
      </c>
      <c r="F13" s="19">
        <v>4</v>
      </c>
      <c r="G13" s="19"/>
      <c r="H13" s="19"/>
      <c r="I13" s="19">
        <v>3</v>
      </c>
    </row>
    <row r="14" spans="1:9" ht="15.75">
      <c r="A14" s="20"/>
      <c r="B14" s="45" t="s">
        <v>71</v>
      </c>
      <c r="C14" s="45"/>
      <c r="D14" s="45"/>
      <c r="E14" s="97"/>
      <c r="F14" s="23"/>
      <c r="G14" s="23"/>
      <c r="H14" s="23"/>
      <c r="I14" s="23"/>
    </row>
    <row r="15" spans="1:9" ht="15.75">
      <c r="A15" s="23">
        <v>1100</v>
      </c>
      <c r="B15" s="23" t="s">
        <v>72</v>
      </c>
      <c r="C15" s="25">
        <v>4843.25</v>
      </c>
      <c r="D15" s="68">
        <f aca="true" t="shared" si="0" ref="D15:D20">ROUND(C15/0.702804,2)</f>
        <v>6891.32</v>
      </c>
      <c r="E15" s="25">
        <f aca="true" t="shared" si="1" ref="E15:E20">ROUND(D15/2030*250,2)</f>
        <v>848.68</v>
      </c>
      <c r="F15" s="25">
        <v>880.23</v>
      </c>
      <c r="G15" s="25">
        <v>1117.89</v>
      </c>
      <c r="H15" s="25">
        <f>G15/250*180+180*0.3</f>
        <v>858.8808</v>
      </c>
      <c r="I15" s="25">
        <f>H15/180*1080</f>
        <v>5153.2848</v>
      </c>
    </row>
    <row r="16" spans="1:9" ht="15.75">
      <c r="A16" s="23">
        <v>1200</v>
      </c>
      <c r="B16" s="32" t="s">
        <v>73</v>
      </c>
      <c r="C16" s="47">
        <v>1142.52</v>
      </c>
      <c r="D16" s="68">
        <f t="shared" si="0"/>
        <v>1625.66</v>
      </c>
      <c r="E16" s="25">
        <f t="shared" si="1"/>
        <v>200.2</v>
      </c>
      <c r="F16" s="25">
        <v>207.65</v>
      </c>
      <c r="G16" s="25">
        <v>269.3</v>
      </c>
      <c r="H16" s="25">
        <f>G16/250*180+180*0.07</f>
        <v>206.49599999999998</v>
      </c>
      <c r="I16" s="25">
        <f aca="true" t="shared" si="2" ref="I16:I64">H16/180*1080</f>
        <v>1238.9759999999999</v>
      </c>
    </row>
    <row r="17" spans="1:9" ht="15.75">
      <c r="A17" s="23">
        <v>2222</v>
      </c>
      <c r="B17" s="32" t="s">
        <v>39</v>
      </c>
      <c r="C17" s="25">
        <v>1078.1</v>
      </c>
      <c r="D17" s="68">
        <f t="shared" si="0"/>
        <v>1534</v>
      </c>
      <c r="E17" s="25">
        <f t="shared" si="1"/>
        <v>188.92</v>
      </c>
      <c r="F17" s="25">
        <f aca="true" t="shared" si="3" ref="F17:G20">E17</f>
        <v>188.92</v>
      </c>
      <c r="G17" s="25">
        <f t="shared" si="3"/>
        <v>188.92</v>
      </c>
      <c r="H17" s="25">
        <f>G17/250*180</f>
        <v>136.02239999999998</v>
      </c>
      <c r="I17" s="25">
        <f t="shared" si="2"/>
        <v>816.1343999999999</v>
      </c>
    </row>
    <row r="18" spans="1:9" ht="15.75">
      <c r="A18" s="23">
        <v>2243</v>
      </c>
      <c r="B18" s="32" t="s">
        <v>11</v>
      </c>
      <c r="C18" s="25">
        <v>956.59</v>
      </c>
      <c r="D18" s="68">
        <f t="shared" si="0"/>
        <v>1361.1</v>
      </c>
      <c r="E18" s="25">
        <f t="shared" si="1"/>
        <v>167.62</v>
      </c>
      <c r="F18" s="25">
        <f t="shared" si="3"/>
        <v>167.62</v>
      </c>
      <c r="G18" s="25">
        <f t="shared" si="3"/>
        <v>167.62</v>
      </c>
      <c r="H18" s="25">
        <f>G18/250*180</f>
        <v>120.68639999999999</v>
      </c>
      <c r="I18" s="25">
        <f t="shared" si="2"/>
        <v>724.1184</v>
      </c>
    </row>
    <row r="19" spans="1:9" ht="15.75">
      <c r="A19" s="31">
        <v>2341</v>
      </c>
      <c r="B19" s="32" t="s">
        <v>23</v>
      </c>
      <c r="C19" s="25">
        <v>121.6</v>
      </c>
      <c r="D19" s="68">
        <f t="shared" si="0"/>
        <v>173.02</v>
      </c>
      <c r="E19" s="25">
        <f t="shared" si="1"/>
        <v>21.31</v>
      </c>
      <c r="F19" s="25">
        <f t="shared" si="3"/>
        <v>21.31</v>
      </c>
      <c r="G19" s="25">
        <f t="shared" si="3"/>
        <v>21.31</v>
      </c>
      <c r="H19" s="25">
        <f>G19/250*180</f>
        <v>15.3432</v>
      </c>
      <c r="I19" s="25">
        <f t="shared" si="2"/>
        <v>92.05919999999999</v>
      </c>
    </row>
    <row r="20" spans="1:9" ht="15.75">
      <c r="A20" s="23">
        <v>2350</v>
      </c>
      <c r="B20" s="32" t="s">
        <v>25</v>
      </c>
      <c r="C20" s="25">
        <v>209.36</v>
      </c>
      <c r="D20" s="68">
        <f t="shared" si="0"/>
        <v>297.89</v>
      </c>
      <c r="E20" s="25">
        <f t="shared" si="1"/>
        <v>36.69</v>
      </c>
      <c r="F20" s="25">
        <f t="shared" si="3"/>
        <v>36.69</v>
      </c>
      <c r="G20" s="25">
        <f t="shared" si="3"/>
        <v>36.69</v>
      </c>
      <c r="H20" s="25">
        <f>G20/250*180</f>
        <v>26.416800000000002</v>
      </c>
      <c r="I20" s="25">
        <f t="shared" si="2"/>
        <v>158.5008</v>
      </c>
    </row>
    <row r="21" spans="1:9" ht="15.75" hidden="1">
      <c r="A21" s="23"/>
      <c r="B21" s="23"/>
      <c r="C21" s="25"/>
      <c r="D21" s="23"/>
      <c r="E21" s="25"/>
      <c r="F21" s="47"/>
      <c r="G21" s="47"/>
      <c r="H21" s="47"/>
      <c r="I21" s="25">
        <f t="shared" si="2"/>
        <v>0</v>
      </c>
    </row>
    <row r="22" spans="1:9" ht="15.75">
      <c r="A22" s="23"/>
      <c r="B22" s="46" t="s">
        <v>74</v>
      </c>
      <c r="C22" s="28">
        <f aca="true" t="shared" si="4" ref="C22:H22">SUM(C15:C21)</f>
        <v>8351.420000000002</v>
      </c>
      <c r="D22" s="28">
        <f t="shared" si="4"/>
        <v>11882.99</v>
      </c>
      <c r="E22" s="28">
        <f t="shared" si="4"/>
        <v>1463.42</v>
      </c>
      <c r="F22" s="28">
        <f t="shared" si="4"/>
        <v>1502.42</v>
      </c>
      <c r="G22" s="28">
        <f t="shared" si="4"/>
        <v>1801.73</v>
      </c>
      <c r="H22" s="28">
        <f t="shared" si="4"/>
        <v>1363.8456</v>
      </c>
      <c r="I22" s="28">
        <f>SUM(I15:I21)</f>
        <v>8183.0736</v>
      </c>
    </row>
    <row r="23" spans="1:9" ht="15.75">
      <c r="A23" s="29"/>
      <c r="B23" s="23" t="s">
        <v>75</v>
      </c>
      <c r="C23" s="25"/>
      <c r="D23" s="23"/>
      <c r="E23" s="25"/>
      <c r="F23" s="25"/>
      <c r="G23" s="25"/>
      <c r="H23" s="25"/>
      <c r="I23" s="25"/>
    </row>
    <row r="24" spans="1:9" ht="15.75">
      <c r="A24" s="23">
        <v>1100</v>
      </c>
      <c r="B24" s="23" t="s">
        <v>72</v>
      </c>
      <c r="C24" s="25">
        <v>1365</v>
      </c>
      <c r="D24" s="68">
        <f aca="true" t="shared" si="5" ref="D24:D64">ROUND(C24/0.702804,2)</f>
        <v>1942.22</v>
      </c>
      <c r="E24" s="25">
        <f aca="true" t="shared" si="6" ref="E24:E63">ROUND(D24/2030*250,2)</f>
        <v>239.19</v>
      </c>
      <c r="F24" s="25">
        <v>246.37</v>
      </c>
      <c r="G24" s="25">
        <v>245.38</v>
      </c>
      <c r="H24" s="25">
        <f aca="true" t="shared" si="7" ref="H24:H67">G24/250*180</f>
        <v>176.6736</v>
      </c>
      <c r="I24" s="25">
        <f t="shared" si="2"/>
        <v>1060.0416</v>
      </c>
    </row>
    <row r="25" spans="1:9" ht="15.75">
      <c r="A25" s="23">
        <v>1200</v>
      </c>
      <c r="B25" s="32" t="s">
        <v>73</v>
      </c>
      <c r="C25" s="47">
        <v>322</v>
      </c>
      <c r="D25" s="68">
        <f t="shared" si="5"/>
        <v>458.16</v>
      </c>
      <c r="E25" s="25">
        <f t="shared" si="6"/>
        <v>56.42</v>
      </c>
      <c r="F25" s="25">
        <v>58.12</v>
      </c>
      <c r="G25" s="25">
        <v>59.11</v>
      </c>
      <c r="H25" s="25">
        <f t="shared" si="7"/>
        <v>42.559200000000004</v>
      </c>
      <c r="I25" s="25">
        <f t="shared" si="2"/>
        <v>255.35520000000002</v>
      </c>
    </row>
    <row r="26" spans="1:9" ht="15.75" hidden="1">
      <c r="A26" s="23">
        <v>2100</v>
      </c>
      <c r="B26" s="30" t="s">
        <v>42</v>
      </c>
      <c r="C26" s="25"/>
      <c r="D26" s="68">
        <f t="shared" si="5"/>
        <v>0</v>
      </c>
      <c r="E26" s="25">
        <f t="shared" si="6"/>
        <v>0</v>
      </c>
      <c r="F26" s="25">
        <f aca="true" t="shared" si="8" ref="F26:F64">E26</f>
        <v>0</v>
      </c>
      <c r="G26" s="25">
        <f aca="true" t="shared" si="9" ref="G26:G63">F26</f>
        <v>0</v>
      </c>
      <c r="H26" s="25">
        <f t="shared" si="7"/>
        <v>0</v>
      </c>
      <c r="I26" s="25">
        <f t="shared" si="2"/>
        <v>0</v>
      </c>
    </row>
    <row r="27" spans="1:9" ht="15.75">
      <c r="A27" s="31">
        <v>2210</v>
      </c>
      <c r="B27" s="32" t="s">
        <v>38</v>
      </c>
      <c r="C27" s="25">
        <v>9</v>
      </c>
      <c r="D27" s="68">
        <f t="shared" si="5"/>
        <v>12.81</v>
      </c>
      <c r="E27" s="25">
        <f t="shared" si="6"/>
        <v>1.58</v>
      </c>
      <c r="F27" s="25">
        <f t="shared" si="8"/>
        <v>1.58</v>
      </c>
      <c r="G27" s="25">
        <f t="shared" si="9"/>
        <v>1.58</v>
      </c>
      <c r="H27" s="25">
        <f t="shared" si="7"/>
        <v>1.1376</v>
      </c>
      <c r="I27" s="25">
        <f t="shared" si="2"/>
        <v>6.8256</v>
      </c>
    </row>
    <row r="28" spans="1:9" ht="15.75">
      <c r="A28" s="23">
        <v>2222</v>
      </c>
      <c r="B28" s="32" t="s">
        <v>39</v>
      </c>
      <c r="C28" s="25">
        <v>24</v>
      </c>
      <c r="D28" s="68">
        <f t="shared" si="5"/>
        <v>34.15</v>
      </c>
      <c r="E28" s="25">
        <f t="shared" si="6"/>
        <v>4.21</v>
      </c>
      <c r="F28" s="25">
        <f t="shared" si="8"/>
        <v>4.21</v>
      </c>
      <c r="G28" s="25">
        <f t="shared" si="9"/>
        <v>4.21</v>
      </c>
      <c r="H28" s="25">
        <f t="shared" si="7"/>
        <v>3.0312</v>
      </c>
      <c r="I28" s="25">
        <f t="shared" si="2"/>
        <v>18.1872</v>
      </c>
    </row>
    <row r="29" spans="1:9" ht="15.75">
      <c r="A29" s="23">
        <v>2223</v>
      </c>
      <c r="B29" s="32" t="s">
        <v>40</v>
      </c>
      <c r="C29" s="25">
        <v>13</v>
      </c>
      <c r="D29" s="68">
        <f t="shared" si="5"/>
        <v>18.5</v>
      </c>
      <c r="E29" s="25">
        <f t="shared" si="6"/>
        <v>2.28</v>
      </c>
      <c r="F29" s="25">
        <f t="shared" si="8"/>
        <v>2.28</v>
      </c>
      <c r="G29" s="25">
        <f t="shared" si="9"/>
        <v>2.28</v>
      </c>
      <c r="H29" s="25">
        <f t="shared" si="7"/>
        <v>1.6416</v>
      </c>
      <c r="I29" s="25">
        <f t="shared" si="2"/>
        <v>9.849599999999999</v>
      </c>
    </row>
    <row r="30" spans="1:9" ht="15.75">
      <c r="A30" s="23">
        <v>2230</v>
      </c>
      <c r="B30" s="32" t="s">
        <v>41</v>
      </c>
      <c r="C30" s="25">
        <v>8</v>
      </c>
      <c r="D30" s="68">
        <f t="shared" si="5"/>
        <v>11.38</v>
      </c>
      <c r="E30" s="25">
        <f t="shared" si="6"/>
        <v>1.4</v>
      </c>
      <c r="F30" s="25">
        <f t="shared" si="8"/>
        <v>1.4</v>
      </c>
      <c r="G30" s="25">
        <f t="shared" si="9"/>
        <v>1.4</v>
      </c>
      <c r="H30" s="25">
        <f t="shared" si="7"/>
        <v>1.008</v>
      </c>
      <c r="I30" s="25">
        <f t="shared" si="2"/>
        <v>6.048</v>
      </c>
    </row>
    <row r="31" spans="1:9" ht="15.75" hidden="1">
      <c r="A31" s="23">
        <v>2241</v>
      </c>
      <c r="B31" s="32" t="s">
        <v>9</v>
      </c>
      <c r="C31" s="25"/>
      <c r="D31" s="68">
        <f t="shared" si="5"/>
        <v>0</v>
      </c>
      <c r="E31" s="25">
        <f t="shared" si="6"/>
        <v>0</v>
      </c>
      <c r="F31" s="25">
        <f t="shared" si="8"/>
        <v>0</v>
      </c>
      <c r="G31" s="25">
        <f t="shared" si="9"/>
        <v>0</v>
      </c>
      <c r="H31" s="25">
        <f t="shared" si="7"/>
        <v>0</v>
      </c>
      <c r="I31" s="25">
        <f t="shared" si="2"/>
        <v>0</v>
      </c>
    </row>
    <row r="32" spans="1:9" ht="15.75">
      <c r="A32" s="23">
        <v>2242</v>
      </c>
      <c r="B32" s="32" t="s">
        <v>10</v>
      </c>
      <c r="C32" s="25">
        <v>8</v>
      </c>
      <c r="D32" s="68">
        <f t="shared" si="5"/>
        <v>11.38</v>
      </c>
      <c r="E32" s="25">
        <f t="shared" si="6"/>
        <v>1.4</v>
      </c>
      <c r="F32" s="25">
        <f t="shared" si="8"/>
        <v>1.4</v>
      </c>
      <c r="G32" s="25">
        <f t="shared" si="9"/>
        <v>1.4</v>
      </c>
      <c r="H32" s="25">
        <f t="shared" si="7"/>
        <v>1.008</v>
      </c>
      <c r="I32" s="25">
        <f t="shared" si="2"/>
        <v>6.048</v>
      </c>
    </row>
    <row r="33" spans="1:9" ht="15.75">
      <c r="A33" s="23">
        <v>2243</v>
      </c>
      <c r="B33" s="32" t="s">
        <v>11</v>
      </c>
      <c r="C33" s="25">
        <v>26</v>
      </c>
      <c r="D33" s="68">
        <f t="shared" si="5"/>
        <v>36.99</v>
      </c>
      <c r="E33" s="25">
        <f t="shared" si="6"/>
        <v>4.56</v>
      </c>
      <c r="F33" s="25">
        <f t="shared" si="8"/>
        <v>4.56</v>
      </c>
      <c r="G33" s="25">
        <f t="shared" si="9"/>
        <v>4.56</v>
      </c>
      <c r="H33" s="25">
        <f t="shared" si="7"/>
        <v>3.2832</v>
      </c>
      <c r="I33" s="25">
        <f t="shared" si="2"/>
        <v>19.699199999999998</v>
      </c>
    </row>
    <row r="34" spans="1:9" ht="15.75">
      <c r="A34" s="23">
        <v>2244</v>
      </c>
      <c r="B34" s="32" t="s">
        <v>12</v>
      </c>
      <c r="C34" s="25">
        <v>383</v>
      </c>
      <c r="D34" s="68">
        <f t="shared" si="5"/>
        <v>544.96</v>
      </c>
      <c r="E34" s="25">
        <f t="shared" si="6"/>
        <v>67.11</v>
      </c>
      <c r="F34" s="25">
        <f t="shared" si="8"/>
        <v>67.11</v>
      </c>
      <c r="G34" s="25">
        <f t="shared" si="9"/>
        <v>67.11</v>
      </c>
      <c r="H34" s="25">
        <f t="shared" si="7"/>
        <v>48.3192</v>
      </c>
      <c r="I34" s="25">
        <f t="shared" si="2"/>
        <v>289.9152</v>
      </c>
    </row>
    <row r="35" spans="1:9" ht="15.75">
      <c r="A35" s="23">
        <v>2247</v>
      </c>
      <c r="B35" s="45" t="s">
        <v>76</v>
      </c>
      <c r="C35" s="25">
        <v>2</v>
      </c>
      <c r="D35" s="68">
        <f t="shared" si="5"/>
        <v>2.85</v>
      </c>
      <c r="E35" s="25">
        <f t="shared" si="6"/>
        <v>0.35</v>
      </c>
      <c r="F35" s="25">
        <f t="shared" si="8"/>
        <v>0.35</v>
      </c>
      <c r="G35" s="25">
        <f t="shared" si="9"/>
        <v>0.35</v>
      </c>
      <c r="H35" s="25">
        <f t="shared" si="7"/>
        <v>0.252</v>
      </c>
      <c r="I35" s="25">
        <f t="shared" si="2"/>
        <v>1.512</v>
      </c>
    </row>
    <row r="36" spans="1:9" ht="15.75">
      <c r="A36" s="23">
        <v>2249</v>
      </c>
      <c r="B36" s="32" t="s">
        <v>13</v>
      </c>
      <c r="C36" s="25">
        <v>9</v>
      </c>
      <c r="D36" s="68">
        <f t="shared" si="5"/>
        <v>12.81</v>
      </c>
      <c r="E36" s="25">
        <f t="shared" si="6"/>
        <v>1.58</v>
      </c>
      <c r="F36" s="25">
        <f t="shared" si="8"/>
        <v>1.58</v>
      </c>
      <c r="G36" s="25">
        <f t="shared" si="9"/>
        <v>1.58</v>
      </c>
      <c r="H36" s="25">
        <f t="shared" si="7"/>
        <v>1.1376</v>
      </c>
      <c r="I36" s="25">
        <f t="shared" si="2"/>
        <v>6.8256</v>
      </c>
    </row>
    <row r="37" spans="1:9" ht="15.75">
      <c r="A37" s="23">
        <v>2251</v>
      </c>
      <c r="B37" s="32" t="s">
        <v>77</v>
      </c>
      <c r="C37" s="25">
        <v>29</v>
      </c>
      <c r="D37" s="68">
        <f t="shared" si="5"/>
        <v>41.26</v>
      </c>
      <c r="E37" s="25">
        <f t="shared" si="6"/>
        <v>5.08</v>
      </c>
      <c r="F37" s="25">
        <f t="shared" si="8"/>
        <v>5.08</v>
      </c>
      <c r="G37" s="25">
        <f t="shared" si="9"/>
        <v>5.08</v>
      </c>
      <c r="H37" s="25">
        <f t="shared" si="7"/>
        <v>3.6576000000000004</v>
      </c>
      <c r="I37" s="25">
        <f t="shared" si="2"/>
        <v>21.945600000000002</v>
      </c>
    </row>
    <row r="38" spans="1:9" ht="15.75" hidden="1">
      <c r="A38" s="23">
        <v>2252</v>
      </c>
      <c r="B38" s="32" t="s">
        <v>7</v>
      </c>
      <c r="C38" s="25"/>
      <c r="D38" s="68">
        <f t="shared" si="5"/>
        <v>0</v>
      </c>
      <c r="E38" s="25">
        <f t="shared" si="6"/>
        <v>0</v>
      </c>
      <c r="F38" s="25">
        <f t="shared" si="8"/>
        <v>0</v>
      </c>
      <c r="G38" s="25">
        <f t="shared" si="9"/>
        <v>0</v>
      </c>
      <c r="H38" s="25">
        <f t="shared" si="7"/>
        <v>0</v>
      </c>
      <c r="I38" s="25">
        <f t="shared" si="2"/>
        <v>0</v>
      </c>
    </row>
    <row r="39" spans="1:9" ht="15.75" hidden="1">
      <c r="A39" s="23">
        <v>2259</v>
      </c>
      <c r="B39" s="32" t="s">
        <v>8</v>
      </c>
      <c r="C39" s="25"/>
      <c r="D39" s="68">
        <f t="shared" si="5"/>
        <v>0</v>
      </c>
      <c r="E39" s="25">
        <f t="shared" si="6"/>
        <v>0</v>
      </c>
      <c r="F39" s="25">
        <f t="shared" si="8"/>
        <v>0</v>
      </c>
      <c r="G39" s="25">
        <f t="shared" si="9"/>
        <v>0</v>
      </c>
      <c r="H39" s="25">
        <f t="shared" si="7"/>
        <v>0</v>
      </c>
      <c r="I39" s="25">
        <f t="shared" si="2"/>
        <v>0</v>
      </c>
    </row>
    <row r="40" spans="1:9" ht="15.75">
      <c r="A40" s="23">
        <v>2261</v>
      </c>
      <c r="B40" s="32" t="s">
        <v>14</v>
      </c>
      <c r="C40" s="25">
        <v>5</v>
      </c>
      <c r="D40" s="68">
        <f t="shared" si="5"/>
        <v>7.11</v>
      </c>
      <c r="E40" s="25">
        <f t="shared" si="6"/>
        <v>0.88</v>
      </c>
      <c r="F40" s="25">
        <f t="shared" si="8"/>
        <v>0.88</v>
      </c>
      <c r="G40" s="25">
        <f t="shared" si="9"/>
        <v>0.88</v>
      </c>
      <c r="H40" s="25">
        <f t="shared" si="7"/>
        <v>0.6336</v>
      </c>
      <c r="I40" s="25">
        <f t="shared" si="2"/>
        <v>3.8016</v>
      </c>
    </row>
    <row r="41" spans="1:9" ht="15.75">
      <c r="A41" s="23">
        <v>2262</v>
      </c>
      <c r="B41" s="32" t="s">
        <v>15</v>
      </c>
      <c r="C41" s="25">
        <v>22</v>
      </c>
      <c r="D41" s="68">
        <f t="shared" si="5"/>
        <v>31.3</v>
      </c>
      <c r="E41" s="25">
        <f t="shared" si="6"/>
        <v>3.85</v>
      </c>
      <c r="F41" s="25">
        <f t="shared" si="8"/>
        <v>3.85</v>
      </c>
      <c r="G41" s="25">
        <f t="shared" si="9"/>
        <v>3.85</v>
      </c>
      <c r="H41" s="25">
        <f t="shared" si="7"/>
        <v>2.7720000000000002</v>
      </c>
      <c r="I41" s="25">
        <f t="shared" si="2"/>
        <v>16.632</v>
      </c>
    </row>
    <row r="42" spans="1:9" ht="15.75">
      <c r="A42" s="23">
        <v>2263</v>
      </c>
      <c r="B42" s="32" t="s">
        <v>16</v>
      </c>
      <c r="C42" s="25">
        <v>83</v>
      </c>
      <c r="D42" s="68">
        <f t="shared" si="5"/>
        <v>118.1</v>
      </c>
      <c r="E42" s="25">
        <f t="shared" si="6"/>
        <v>14.54</v>
      </c>
      <c r="F42" s="25">
        <f t="shared" si="8"/>
        <v>14.54</v>
      </c>
      <c r="G42" s="25">
        <f t="shared" si="9"/>
        <v>14.54</v>
      </c>
      <c r="H42" s="25">
        <f t="shared" si="7"/>
        <v>10.4688</v>
      </c>
      <c r="I42" s="25">
        <f t="shared" si="2"/>
        <v>62.812799999999996</v>
      </c>
    </row>
    <row r="43" spans="1:9" ht="15.75" hidden="1">
      <c r="A43" s="23">
        <v>2264</v>
      </c>
      <c r="B43" s="32" t="s">
        <v>17</v>
      </c>
      <c r="C43" s="25">
        <v>0</v>
      </c>
      <c r="D43" s="68">
        <f t="shared" si="5"/>
        <v>0</v>
      </c>
      <c r="E43" s="25">
        <f t="shared" si="6"/>
        <v>0</v>
      </c>
      <c r="F43" s="25">
        <f t="shared" si="8"/>
        <v>0</v>
      </c>
      <c r="G43" s="25">
        <f t="shared" si="9"/>
        <v>0</v>
      </c>
      <c r="H43" s="25">
        <f t="shared" si="7"/>
        <v>0</v>
      </c>
      <c r="I43" s="25">
        <f t="shared" si="2"/>
        <v>0</v>
      </c>
    </row>
    <row r="44" spans="1:9" ht="15.75">
      <c r="A44" s="23">
        <v>2279</v>
      </c>
      <c r="B44" s="32" t="s">
        <v>18</v>
      </c>
      <c r="C44" s="25">
        <v>96.08</v>
      </c>
      <c r="D44" s="68">
        <f t="shared" si="5"/>
        <v>136.71</v>
      </c>
      <c r="E44" s="25">
        <f t="shared" si="6"/>
        <v>16.84</v>
      </c>
      <c r="F44" s="25">
        <f t="shared" si="8"/>
        <v>16.84</v>
      </c>
      <c r="G44" s="25">
        <f t="shared" si="9"/>
        <v>16.84</v>
      </c>
      <c r="H44" s="25">
        <f t="shared" si="7"/>
        <v>12.1248</v>
      </c>
      <c r="I44" s="25">
        <f t="shared" si="2"/>
        <v>72.7488</v>
      </c>
    </row>
    <row r="45" spans="1:9" ht="15.75">
      <c r="A45" s="23">
        <v>2311</v>
      </c>
      <c r="B45" s="32" t="s">
        <v>19</v>
      </c>
      <c r="C45" s="25">
        <v>9</v>
      </c>
      <c r="D45" s="68">
        <f t="shared" si="5"/>
        <v>12.81</v>
      </c>
      <c r="E45" s="25">
        <f t="shared" si="6"/>
        <v>1.58</v>
      </c>
      <c r="F45" s="25">
        <f t="shared" si="8"/>
        <v>1.58</v>
      </c>
      <c r="G45" s="25">
        <f t="shared" si="9"/>
        <v>1.58</v>
      </c>
      <c r="H45" s="25">
        <f t="shared" si="7"/>
        <v>1.1376</v>
      </c>
      <c r="I45" s="25">
        <f t="shared" si="2"/>
        <v>6.8256</v>
      </c>
    </row>
    <row r="46" spans="1:9" ht="15.75">
      <c r="A46" s="23">
        <v>2312</v>
      </c>
      <c r="B46" s="32" t="s">
        <v>20</v>
      </c>
      <c r="C46" s="25">
        <v>16</v>
      </c>
      <c r="D46" s="68">
        <f t="shared" si="5"/>
        <v>22.77</v>
      </c>
      <c r="E46" s="25">
        <f t="shared" si="6"/>
        <v>2.8</v>
      </c>
      <c r="F46" s="25">
        <f t="shared" si="8"/>
        <v>2.8</v>
      </c>
      <c r="G46" s="25">
        <f t="shared" si="9"/>
        <v>2.8</v>
      </c>
      <c r="H46" s="25">
        <f t="shared" si="7"/>
        <v>2.016</v>
      </c>
      <c r="I46" s="25">
        <f t="shared" si="2"/>
        <v>12.096</v>
      </c>
    </row>
    <row r="47" spans="1:9" ht="15.75">
      <c r="A47" s="23">
        <v>2321</v>
      </c>
      <c r="B47" s="32" t="s">
        <v>21</v>
      </c>
      <c r="C47" s="25">
        <v>48</v>
      </c>
      <c r="D47" s="68">
        <f t="shared" si="5"/>
        <v>68.3</v>
      </c>
      <c r="E47" s="25">
        <f t="shared" si="6"/>
        <v>8.41</v>
      </c>
      <c r="F47" s="25">
        <f t="shared" si="8"/>
        <v>8.41</v>
      </c>
      <c r="G47" s="25">
        <f t="shared" si="9"/>
        <v>8.41</v>
      </c>
      <c r="H47" s="25">
        <f t="shared" si="7"/>
        <v>6.055200000000001</v>
      </c>
      <c r="I47" s="25">
        <f t="shared" si="2"/>
        <v>36.3312</v>
      </c>
    </row>
    <row r="48" spans="1:9" ht="15.75">
      <c r="A48" s="23">
        <v>2322</v>
      </c>
      <c r="B48" s="32" t="s">
        <v>22</v>
      </c>
      <c r="C48" s="25">
        <v>12</v>
      </c>
      <c r="D48" s="68">
        <v>12.65</v>
      </c>
      <c r="E48" s="25">
        <v>0.94</v>
      </c>
      <c r="F48" s="25">
        <v>0.56</v>
      </c>
      <c r="G48" s="25">
        <f t="shared" si="9"/>
        <v>0.56</v>
      </c>
      <c r="H48" s="25">
        <f t="shared" si="7"/>
        <v>0.40320000000000006</v>
      </c>
      <c r="I48" s="25">
        <f t="shared" si="2"/>
        <v>2.4192000000000005</v>
      </c>
    </row>
    <row r="49" spans="1:9" ht="15.75">
      <c r="A49" s="23">
        <v>2341</v>
      </c>
      <c r="B49" s="32" t="s">
        <v>23</v>
      </c>
      <c r="C49" s="25">
        <v>12</v>
      </c>
      <c r="D49" s="68">
        <f t="shared" si="5"/>
        <v>17.07</v>
      </c>
      <c r="E49" s="25">
        <f t="shared" si="6"/>
        <v>2.1</v>
      </c>
      <c r="F49" s="25">
        <f t="shared" si="8"/>
        <v>2.1</v>
      </c>
      <c r="G49" s="25">
        <f t="shared" si="9"/>
        <v>2.1</v>
      </c>
      <c r="H49" s="25">
        <f t="shared" si="7"/>
        <v>1.5120000000000002</v>
      </c>
      <c r="I49" s="25">
        <f t="shared" si="2"/>
        <v>9.072000000000001</v>
      </c>
    </row>
    <row r="50" spans="1:10" ht="15.75" hidden="1">
      <c r="A50" s="23">
        <v>2344</v>
      </c>
      <c r="B50" s="32" t="s">
        <v>24</v>
      </c>
      <c r="C50" s="25"/>
      <c r="D50" s="68">
        <f t="shared" si="5"/>
        <v>0</v>
      </c>
      <c r="E50" s="25">
        <f t="shared" si="6"/>
        <v>0</v>
      </c>
      <c r="F50" s="25">
        <f t="shared" si="8"/>
        <v>0</v>
      </c>
      <c r="G50" s="25">
        <f t="shared" si="9"/>
        <v>0</v>
      </c>
      <c r="H50" s="25">
        <f t="shared" si="7"/>
        <v>0</v>
      </c>
      <c r="I50" s="25">
        <f t="shared" si="2"/>
        <v>0</v>
      </c>
      <c r="J50">
        <f>H50/180*1080</f>
        <v>0</v>
      </c>
    </row>
    <row r="51" spans="1:9" ht="15.75">
      <c r="A51" s="23">
        <v>2350</v>
      </c>
      <c r="B51" s="32" t="s">
        <v>25</v>
      </c>
      <c r="C51" s="25">
        <v>74</v>
      </c>
      <c r="D51" s="68">
        <f t="shared" si="5"/>
        <v>105.29</v>
      </c>
      <c r="E51" s="25">
        <f t="shared" si="6"/>
        <v>12.97</v>
      </c>
      <c r="F51" s="25">
        <f t="shared" si="8"/>
        <v>12.97</v>
      </c>
      <c r="G51" s="25">
        <f t="shared" si="9"/>
        <v>12.97</v>
      </c>
      <c r="H51" s="25">
        <f t="shared" si="7"/>
        <v>9.3384</v>
      </c>
      <c r="I51" s="25">
        <f t="shared" si="2"/>
        <v>56.0304</v>
      </c>
    </row>
    <row r="52" spans="1:9" ht="15.75">
      <c r="A52" s="23">
        <v>2361</v>
      </c>
      <c r="B52" s="32" t="s">
        <v>26</v>
      </c>
      <c r="C52" s="25">
        <v>45</v>
      </c>
      <c r="D52" s="68">
        <f t="shared" si="5"/>
        <v>64.03</v>
      </c>
      <c r="E52" s="25">
        <f t="shared" si="6"/>
        <v>7.89</v>
      </c>
      <c r="F52" s="25">
        <f t="shared" si="8"/>
        <v>7.89</v>
      </c>
      <c r="G52" s="25">
        <f t="shared" si="9"/>
        <v>7.89</v>
      </c>
      <c r="H52" s="25">
        <f t="shared" si="7"/>
        <v>5.6808</v>
      </c>
      <c r="I52" s="25">
        <f t="shared" si="2"/>
        <v>34.084799999999994</v>
      </c>
    </row>
    <row r="53" spans="1:9" ht="15.75" hidden="1">
      <c r="A53" s="23">
        <v>2362</v>
      </c>
      <c r="B53" s="32" t="s">
        <v>27</v>
      </c>
      <c r="C53" s="25"/>
      <c r="D53" s="68">
        <f t="shared" si="5"/>
        <v>0</v>
      </c>
      <c r="E53" s="25">
        <f t="shared" si="6"/>
        <v>0</v>
      </c>
      <c r="F53" s="25">
        <f t="shared" si="8"/>
        <v>0</v>
      </c>
      <c r="G53" s="25">
        <f t="shared" si="9"/>
        <v>0</v>
      </c>
      <c r="H53" s="25">
        <f t="shared" si="7"/>
        <v>0</v>
      </c>
      <c r="I53" s="25">
        <f t="shared" si="2"/>
        <v>0</v>
      </c>
    </row>
    <row r="54" spans="1:9" ht="15.75" hidden="1">
      <c r="A54" s="23">
        <v>2363</v>
      </c>
      <c r="B54" s="32" t="s">
        <v>28</v>
      </c>
      <c r="C54" s="25"/>
      <c r="D54" s="68">
        <f t="shared" si="5"/>
        <v>0</v>
      </c>
      <c r="E54" s="25">
        <f t="shared" si="6"/>
        <v>0</v>
      </c>
      <c r="F54" s="25">
        <f t="shared" si="8"/>
        <v>0</v>
      </c>
      <c r="G54" s="25">
        <f t="shared" si="9"/>
        <v>0</v>
      </c>
      <c r="H54" s="25">
        <f t="shared" si="7"/>
        <v>0</v>
      </c>
      <c r="I54" s="25">
        <f t="shared" si="2"/>
        <v>0</v>
      </c>
    </row>
    <row r="55" spans="1:9" ht="15.75" hidden="1">
      <c r="A55" s="23">
        <v>2370</v>
      </c>
      <c r="B55" s="32" t="s">
        <v>29</v>
      </c>
      <c r="C55" s="25"/>
      <c r="D55" s="68">
        <f t="shared" si="5"/>
        <v>0</v>
      </c>
      <c r="E55" s="25">
        <f t="shared" si="6"/>
        <v>0</v>
      </c>
      <c r="F55" s="25">
        <f t="shared" si="8"/>
        <v>0</v>
      </c>
      <c r="G55" s="25">
        <f t="shared" si="9"/>
        <v>0</v>
      </c>
      <c r="H55" s="25">
        <f t="shared" si="7"/>
        <v>0</v>
      </c>
      <c r="I55" s="25">
        <f t="shared" si="2"/>
        <v>0</v>
      </c>
    </row>
    <row r="56" spans="1:9" ht="15.75">
      <c r="A56" s="23">
        <v>2400</v>
      </c>
      <c r="B56" s="32" t="s">
        <v>43</v>
      </c>
      <c r="C56" s="25">
        <v>3</v>
      </c>
      <c r="D56" s="68">
        <f t="shared" si="5"/>
        <v>4.27</v>
      </c>
      <c r="E56" s="25">
        <f t="shared" si="6"/>
        <v>0.53</v>
      </c>
      <c r="F56" s="25">
        <f t="shared" si="8"/>
        <v>0.53</v>
      </c>
      <c r="G56" s="25">
        <f t="shared" si="9"/>
        <v>0.53</v>
      </c>
      <c r="H56" s="25">
        <f t="shared" si="7"/>
        <v>0.3816</v>
      </c>
      <c r="I56" s="25">
        <f t="shared" si="2"/>
        <v>2.2896</v>
      </c>
    </row>
    <row r="57" spans="1:9" ht="15.75" hidden="1">
      <c r="A57" s="23">
        <v>2512</v>
      </c>
      <c r="B57" s="32" t="s">
        <v>30</v>
      </c>
      <c r="C57" s="25">
        <v>0</v>
      </c>
      <c r="D57" s="68">
        <f t="shared" si="5"/>
        <v>0</v>
      </c>
      <c r="E57" s="25">
        <f t="shared" si="6"/>
        <v>0</v>
      </c>
      <c r="F57" s="25">
        <f t="shared" si="8"/>
        <v>0</v>
      </c>
      <c r="G57" s="25">
        <f t="shared" si="9"/>
        <v>0</v>
      </c>
      <c r="H57" s="25">
        <f t="shared" si="7"/>
        <v>0</v>
      </c>
      <c r="I57" s="25">
        <f t="shared" si="2"/>
        <v>0</v>
      </c>
    </row>
    <row r="58" spans="1:9" ht="15.75">
      <c r="A58" s="23">
        <v>2513</v>
      </c>
      <c r="B58" s="32" t="s">
        <v>31</v>
      </c>
      <c r="C58" s="25">
        <v>60</v>
      </c>
      <c r="D58" s="68">
        <f t="shared" si="5"/>
        <v>85.37</v>
      </c>
      <c r="E58" s="25">
        <f t="shared" si="6"/>
        <v>10.51</v>
      </c>
      <c r="F58" s="25">
        <f t="shared" si="8"/>
        <v>10.51</v>
      </c>
      <c r="G58" s="25">
        <f t="shared" si="9"/>
        <v>10.51</v>
      </c>
      <c r="H58" s="25">
        <f t="shared" si="7"/>
        <v>7.567200000000001</v>
      </c>
      <c r="I58" s="25">
        <f t="shared" si="2"/>
        <v>45.4032</v>
      </c>
    </row>
    <row r="59" spans="1:9" ht="15.75">
      <c r="A59" s="23">
        <v>2515</v>
      </c>
      <c r="B59" s="32" t="s">
        <v>78</v>
      </c>
      <c r="C59" s="25">
        <v>2</v>
      </c>
      <c r="D59" s="68">
        <f t="shared" si="5"/>
        <v>2.85</v>
      </c>
      <c r="E59" s="25">
        <f t="shared" si="6"/>
        <v>0.35</v>
      </c>
      <c r="F59" s="25">
        <f t="shared" si="8"/>
        <v>0.35</v>
      </c>
      <c r="G59" s="25">
        <f t="shared" si="9"/>
        <v>0.35</v>
      </c>
      <c r="H59" s="25">
        <f t="shared" si="7"/>
        <v>0.252</v>
      </c>
      <c r="I59" s="25">
        <f t="shared" si="2"/>
        <v>1.512</v>
      </c>
    </row>
    <row r="60" spans="1:9" ht="15.75">
      <c r="A60" s="23">
        <v>2519</v>
      </c>
      <c r="B60" s="32" t="s">
        <v>34</v>
      </c>
      <c r="C60" s="25">
        <v>15</v>
      </c>
      <c r="D60" s="68">
        <f t="shared" si="5"/>
        <v>21.34</v>
      </c>
      <c r="E60" s="25">
        <f t="shared" si="6"/>
        <v>2.63</v>
      </c>
      <c r="F60" s="25">
        <f t="shared" si="8"/>
        <v>2.63</v>
      </c>
      <c r="G60" s="25">
        <f t="shared" si="9"/>
        <v>2.63</v>
      </c>
      <c r="H60" s="25">
        <f t="shared" si="7"/>
        <v>1.8936</v>
      </c>
      <c r="I60" s="25">
        <f t="shared" si="2"/>
        <v>11.3616</v>
      </c>
    </row>
    <row r="61" spans="1:9" ht="15.75" hidden="1">
      <c r="A61" s="23">
        <v>6240</v>
      </c>
      <c r="B61" s="32"/>
      <c r="C61" s="25"/>
      <c r="D61" s="68">
        <f t="shared" si="5"/>
        <v>0</v>
      </c>
      <c r="E61" s="25">
        <f t="shared" si="6"/>
        <v>0</v>
      </c>
      <c r="F61" s="25">
        <f t="shared" si="8"/>
        <v>0</v>
      </c>
      <c r="G61" s="25">
        <f t="shared" si="9"/>
        <v>0</v>
      </c>
      <c r="H61" s="25">
        <f t="shared" si="7"/>
        <v>0</v>
      </c>
      <c r="I61" s="25">
        <f t="shared" si="2"/>
        <v>0</v>
      </c>
    </row>
    <row r="62" spans="1:9" ht="15.75" hidden="1">
      <c r="A62" s="23">
        <v>6290</v>
      </c>
      <c r="B62" s="32"/>
      <c r="C62" s="25"/>
      <c r="D62" s="68">
        <f t="shared" si="5"/>
        <v>0</v>
      </c>
      <c r="E62" s="25">
        <f t="shared" si="6"/>
        <v>0</v>
      </c>
      <c r="F62" s="25">
        <f t="shared" si="8"/>
        <v>0</v>
      </c>
      <c r="G62" s="25">
        <f t="shared" si="9"/>
        <v>0</v>
      </c>
      <c r="H62" s="25">
        <f t="shared" si="7"/>
        <v>0</v>
      </c>
      <c r="I62" s="25">
        <f t="shared" si="2"/>
        <v>0</v>
      </c>
    </row>
    <row r="63" spans="1:9" ht="15.75">
      <c r="A63" s="23">
        <v>5121</v>
      </c>
      <c r="B63" s="32" t="s">
        <v>32</v>
      </c>
      <c r="C63" s="25">
        <v>11</v>
      </c>
      <c r="D63" s="68">
        <f t="shared" si="5"/>
        <v>15.65</v>
      </c>
      <c r="E63" s="25">
        <f t="shared" si="6"/>
        <v>1.93</v>
      </c>
      <c r="F63" s="25">
        <f t="shared" si="8"/>
        <v>1.93</v>
      </c>
      <c r="G63" s="25">
        <f t="shared" si="9"/>
        <v>1.93</v>
      </c>
      <c r="H63" s="25">
        <f t="shared" si="7"/>
        <v>1.3896</v>
      </c>
      <c r="I63" s="25">
        <f t="shared" si="2"/>
        <v>8.3376</v>
      </c>
    </row>
    <row r="64" spans="1:9" ht="15.75">
      <c r="A64" s="23">
        <v>5232</v>
      </c>
      <c r="B64" s="32" t="s">
        <v>33</v>
      </c>
      <c r="C64" s="25">
        <v>1</v>
      </c>
      <c r="D64" s="68">
        <f t="shared" si="5"/>
        <v>1.42</v>
      </c>
      <c r="E64" s="25">
        <f>ROUND(D64/2030*250,2)</f>
        <v>0.17</v>
      </c>
      <c r="F64" s="25">
        <f t="shared" si="8"/>
        <v>0.17</v>
      </c>
      <c r="G64" s="25">
        <v>0.86</v>
      </c>
      <c r="H64" s="25">
        <f t="shared" si="7"/>
        <v>0.6192</v>
      </c>
      <c r="I64" s="25">
        <f t="shared" si="2"/>
        <v>3.7152</v>
      </c>
    </row>
    <row r="65" spans="1:9" ht="15.75" hidden="1">
      <c r="A65" s="23">
        <v>5238</v>
      </c>
      <c r="B65" s="32" t="s">
        <v>35</v>
      </c>
      <c r="C65" s="25">
        <v>0</v>
      </c>
      <c r="D65" s="32"/>
      <c r="E65" s="25">
        <v>0</v>
      </c>
      <c r="F65" s="25">
        <f>E65/2550*20</f>
        <v>0</v>
      </c>
      <c r="G65" s="25">
        <f>F65</f>
        <v>0</v>
      </c>
      <c r="H65" s="25">
        <f t="shared" si="7"/>
        <v>0</v>
      </c>
      <c r="I65" s="25"/>
    </row>
    <row r="66" spans="1:9" ht="15.75" hidden="1">
      <c r="A66" s="23">
        <v>5240</v>
      </c>
      <c r="B66" s="32" t="s">
        <v>36</v>
      </c>
      <c r="C66" s="25">
        <v>0</v>
      </c>
      <c r="D66" s="32"/>
      <c r="E66" s="25">
        <v>0</v>
      </c>
      <c r="F66" s="25">
        <f>E66/2550*20</f>
        <v>0</v>
      </c>
      <c r="G66" s="25">
        <f>F66</f>
        <v>0</v>
      </c>
      <c r="H66" s="25">
        <f t="shared" si="7"/>
        <v>0</v>
      </c>
      <c r="I66" s="25"/>
    </row>
    <row r="67" spans="1:9" ht="15.75" hidden="1">
      <c r="A67" s="23">
        <v>5250</v>
      </c>
      <c r="B67" s="32" t="s">
        <v>37</v>
      </c>
      <c r="C67" s="25"/>
      <c r="D67" s="32"/>
      <c r="E67" s="25"/>
      <c r="F67" s="25">
        <f>E67/2550*20</f>
        <v>0</v>
      </c>
      <c r="G67" s="25">
        <f>F67</f>
        <v>0</v>
      </c>
      <c r="H67" s="25">
        <f t="shared" si="7"/>
        <v>0</v>
      </c>
      <c r="I67" s="25"/>
    </row>
    <row r="68" spans="1:9" ht="15.75">
      <c r="A68" s="29"/>
      <c r="B68" s="48" t="s">
        <v>79</v>
      </c>
      <c r="C68" s="28">
        <f aca="true" t="shared" si="10" ref="C68:H68">SUM(C24:C67)</f>
        <v>2712.08</v>
      </c>
      <c r="D68" s="28">
        <f t="shared" si="10"/>
        <v>3854.510000000001</v>
      </c>
      <c r="E68" s="28">
        <f t="shared" si="10"/>
        <v>474.08</v>
      </c>
      <c r="F68" s="28">
        <f t="shared" si="10"/>
        <v>482.58</v>
      </c>
      <c r="G68" s="28">
        <f t="shared" si="10"/>
        <v>483.27</v>
      </c>
      <c r="H68" s="28">
        <f t="shared" si="10"/>
        <v>347.9544</v>
      </c>
      <c r="I68" s="28">
        <f>SUM(I24:I64)</f>
        <v>2087.7264000000005</v>
      </c>
    </row>
    <row r="69" spans="1:9" ht="15.75">
      <c r="A69" s="29"/>
      <c r="B69" s="48" t="s">
        <v>80</v>
      </c>
      <c r="C69" s="28">
        <f aca="true" t="shared" si="11" ref="C69:H69">C68+C22</f>
        <v>11063.500000000002</v>
      </c>
      <c r="D69" s="28">
        <f t="shared" si="11"/>
        <v>15737.5</v>
      </c>
      <c r="E69" s="28">
        <f t="shared" si="11"/>
        <v>1937.5</v>
      </c>
      <c r="F69" s="28">
        <f t="shared" si="11"/>
        <v>1985</v>
      </c>
      <c r="G69" s="28">
        <f t="shared" si="11"/>
        <v>2285</v>
      </c>
      <c r="H69" s="28">
        <f t="shared" si="11"/>
        <v>1711.8000000000002</v>
      </c>
      <c r="I69" s="28">
        <f>I22+I68</f>
        <v>10270.8</v>
      </c>
    </row>
    <row r="70" spans="1:9" ht="15.75">
      <c r="A70" s="49"/>
      <c r="B70" s="50"/>
      <c r="C70" s="41"/>
      <c r="D70" s="41"/>
      <c r="E70" s="41"/>
      <c r="F70" s="41"/>
      <c r="G70" s="41"/>
      <c r="H70" s="41"/>
      <c r="I70" s="41"/>
    </row>
    <row r="71" spans="1:9" ht="15.75">
      <c r="A71" s="214" t="s">
        <v>45</v>
      </c>
      <c r="B71" s="215"/>
      <c r="C71" s="69">
        <v>2030</v>
      </c>
      <c r="D71" s="69">
        <v>2030</v>
      </c>
      <c r="E71" s="42">
        <v>250</v>
      </c>
      <c r="F71" s="42">
        <v>250</v>
      </c>
      <c r="G71" s="42">
        <v>250</v>
      </c>
      <c r="H71" s="162">
        <v>180</v>
      </c>
      <c r="I71" s="162">
        <v>1080</v>
      </c>
    </row>
    <row r="72" spans="1:9" ht="15.75">
      <c r="A72" s="216" t="s">
        <v>54</v>
      </c>
      <c r="B72" s="216"/>
      <c r="C72" s="124">
        <f>C69/C71</f>
        <v>5.450000000000001</v>
      </c>
      <c r="D72" s="124">
        <f aca="true" t="shared" si="12" ref="D72:I72">ROUND(D69/D71,2)</f>
        <v>7.75</v>
      </c>
      <c r="E72" s="54">
        <f t="shared" si="12"/>
        <v>7.75</v>
      </c>
      <c r="F72" s="54">
        <f t="shared" si="12"/>
        <v>7.94</v>
      </c>
      <c r="G72" s="54">
        <f t="shared" si="12"/>
        <v>9.14</v>
      </c>
      <c r="H72" s="163">
        <f t="shared" si="12"/>
        <v>9.51</v>
      </c>
      <c r="I72" s="164">
        <f t="shared" si="12"/>
        <v>9.51</v>
      </c>
    </row>
    <row r="73" spans="1:9" ht="15.75">
      <c r="A73" s="14"/>
      <c r="B73" s="11"/>
      <c r="C73" s="125"/>
      <c r="D73" s="125"/>
      <c r="E73" s="125"/>
      <c r="F73" s="52"/>
      <c r="G73" s="52"/>
      <c r="H73" s="52"/>
      <c r="I73" s="14"/>
    </row>
    <row r="74" spans="1:9" ht="15.75">
      <c r="A74" s="212" t="s">
        <v>46</v>
      </c>
      <c r="B74" s="213"/>
      <c r="C74" s="72"/>
      <c r="D74" s="72"/>
      <c r="E74" s="53"/>
      <c r="F74" s="53"/>
      <c r="G74" s="53"/>
      <c r="H74" s="53"/>
      <c r="I74" s="37"/>
    </row>
    <row r="75" spans="1:9" ht="15.75">
      <c r="A75" s="212" t="s">
        <v>55</v>
      </c>
      <c r="B75" s="213"/>
      <c r="C75" s="72"/>
      <c r="D75" s="72"/>
      <c r="E75" s="37"/>
      <c r="F75" s="37"/>
      <c r="G75" s="37"/>
      <c r="H75" s="37"/>
      <c r="I75" s="37"/>
    </row>
    <row r="76" spans="1:9" ht="15.7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.75">
      <c r="A77" s="38" t="s">
        <v>47</v>
      </c>
      <c r="B77" s="38"/>
      <c r="C77" s="38"/>
      <c r="D77" s="38"/>
      <c r="E77" s="38"/>
      <c r="F77" s="38"/>
      <c r="G77" s="38"/>
      <c r="H77" s="38"/>
      <c r="I77" s="38"/>
    </row>
    <row r="78" spans="1:9" ht="15.7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5.75">
      <c r="A79" s="38"/>
      <c r="B79" s="39"/>
      <c r="C79" s="39"/>
      <c r="D79" s="39"/>
      <c r="E79" s="38"/>
      <c r="F79" s="38"/>
      <c r="G79" s="38"/>
      <c r="H79" s="38"/>
      <c r="I79" s="38"/>
    </row>
    <row r="80" spans="1:9" ht="15.75">
      <c r="A80" s="38"/>
      <c r="B80" s="40"/>
      <c r="C80" s="40"/>
      <c r="D80" s="40"/>
      <c r="E80" s="38"/>
      <c r="F80" s="38"/>
      <c r="G80" s="38"/>
      <c r="H80" s="38"/>
      <c r="I80" s="38"/>
    </row>
    <row r="81" spans="1:9" ht="15.75">
      <c r="A81" s="7"/>
      <c r="B81" s="7"/>
      <c r="C81" s="7"/>
      <c r="D81" s="7"/>
      <c r="E81" s="7"/>
      <c r="F81" s="15"/>
      <c r="G81" s="15"/>
      <c r="H81" s="15"/>
      <c r="I81" s="15"/>
    </row>
  </sheetData>
  <sheetProtection/>
  <mergeCells count="11">
    <mergeCell ref="A74:B74"/>
    <mergeCell ref="A75:B75"/>
    <mergeCell ref="A6:E6"/>
    <mergeCell ref="B7:E7"/>
    <mergeCell ref="B8:E8"/>
    <mergeCell ref="B9:E9"/>
    <mergeCell ref="A71:B71"/>
    <mergeCell ref="A72:B72"/>
    <mergeCell ref="A3:H3"/>
    <mergeCell ref="B4:E4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Roman,Regular"LManotp3_100519; Ministru kabineta noteikumu projekts "Grozījumi Ministru kabineta 2013. gada 24. septembra noteikumos Nr.1002 "Sociālās integrācijas valsts aģentūras sniegto maksas pakalpojumu cenrādis""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Ķīse, 67021651, Inese.Kise@lm.gov.lv, fakss 67021678</dc:description>
  <cp:lastModifiedBy>Inga Martinsone</cp:lastModifiedBy>
  <cp:lastPrinted>2019-05-10T12:43:07Z</cp:lastPrinted>
  <dcterms:created xsi:type="dcterms:W3CDTF">2008-09-26T08:09:16Z</dcterms:created>
  <dcterms:modified xsi:type="dcterms:W3CDTF">2019-05-10T12:43:16Z</dcterms:modified>
  <cp:category/>
  <cp:version/>
  <cp:contentType/>
  <cp:contentStatus/>
</cp:coreProperties>
</file>